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4376" windowHeight="9636" activeTab="4"/>
  </bookViews>
  <sheets>
    <sheet name="Jurisdictional Study" sheetId="12" r:id="rId1"/>
    <sheet name="WSS-26" sheetId="1" r:id="rId2"/>
    <sheet name="WSS-28" sheetId="2" r:id="rId3"/>
    <sheet name="Subsidy Calcs" sheetId="13" r:id="rId4"/>
    <sheet name="Exhibit JTS-1"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[1]EGSplit!#REF!</definedName>
    <definedName name="\\" hidden="1">#REF!</definedName>
    <definedName name="\\\" hidden="1">#REF!</definedName>
    <definedName name="\\\\" hidden="1">#REF!</definedName>
    <definedName name="\0">#REF!</definedName>
    <definedName name="\A">#REF!</definedName>
    <definedName name="\C">#REF!</definedName>
    <definedName name="\D">#REF!</definedName>
    <definedName name="\E">#REF!</definedName>
    <definedName name="\M">#REF!</definedName>
    <definedName name="\P">[2]dbase!#REF!</definedName>
    <definedName name="\R">#REF!</definedName>
    <definedName name="\S">[2]dbase!#REF!</definedName>
    <definedName name="\T">#REF!</definedName>
    <definedName name="\Y">[3]d20!#REF!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10NON_UTILITY">#REF!</definedName>
    <definedName name="_12MonResults_KWH_Total">'[4]12MonResults'!$K$4:$K$1467</definedName>
    <definedName name="_12MonResults_Rate">'[4]12MonResults'!$C$4:$C$1467</definedName>
    <definedName name="_1GAS_FINANCING">#REF!</definedName>
    <definedName name="_xlnm._FilterDatabase" localSheetId="1" hidden="1">'WSS-26'!$C$1:$C$616</definedName>
    <definedName name="_xlnm._FilterDatabase" localSheetId="2" hidden="1">'WSS-28'!$D$2:$E$664</definedName>
    <definedName name="_may1">#REF!</definedName>
    <definedName name="_Order1" hidden="1">0</definedName>
    <definedName name="_Order2" hidden="1">0</definedName>
    <definedName name="_P">#REF!</definedName>
    <definedName name="_PG1">#REF!</definedName>
    <definedName name="_PG2">#REF!</definedName>
    <definedName name="A">#REF!</definedName>
    <definedName name="ACTUAL">"'Vol_Revs'!R5C3:R5C14"</definedName>
    <definedName name="ADJSUTW3">#REF!</definedName>
    <definedName name="ADJUSRN">#REF!</definedName>
    <definedName name="Adjust2">#REF!</definedName>
    <definedName name="ADJUSTA">#REF!</definedName>
    <definedName name="ADJUSTAA">#REF!</definedName>
    <definedName name="ADJUSTB">#REF!</definedName>
    <definedName name="ADJUSTC">#REF!</definedName>
    <definedName name="ADJUSTD1">#REF!</definedName>
    <definedName name="ADJUSTD2">#REF!</definedName>
    <definedName name="ADJUSTD3">#REF!</definedName>
    <definedName name="ADJUSTD4">#REF!</definedName>
    <definedName name="ADJUSTG1">#REF!</definedName>
    <definedName name="ADJUSTG2">#REF!</definedName>
    <definedName name="ADJUSTG3">#REF!</definedName>
    <definedName name="ADJUSTG4">#REF!</definedName>
    <definedName name="ADJUSTH">#REF!</definedName>
    <definedName name="ADJUSTI">#REF!</definedName>
    <definedName name="ADJUSTK">#REF!</definedName>
    <definedName name="ADJUSTM">#REF!</definedName>
    <definedName name="ADJUSTN">#REF!</definedName>
    <definedName name="ADJUSTO">#REF!</definedName>
    <definedName name="ADJUSTP">#REF!</definedName>
    <definedName name="ADJUSTQ">#REF!</definedName>
    <definedName name="ADJUSTR">#REF!</definedName>
    <definedName name="ADJUSTS">#REF!</definedName>
    <definedName name="ADJUSTT">#REF!</definedName>
    <definedName name="ADJUSTW1">#REF!</definedName>
    <definedName name="ADJUSTW2">#REF!</definedName>
    <definedName name="ADJUSTX">#REF!</definedName>
    <definedName name="ADJUSTY">#REF!</definedName>
    <definedName name="ALERT2">#REF!</definedName>
    <definedName name="Annual_Sales_KU">'[5]LGE Sales'!#REF!</definedName>
    <definedName name="assets">#REF!</definedName>
    <definedName name="B">#REF!</definedName>
    <definedName name="Billed_Revenues_Dollars">#REF!</definedName>
    <definedName name="Billed_Sales__KWh">#REF!</definedName>
    <definedName name="BudCol01">[6]BudgetDatabase!$J$5:$J$443</definedName>
    <definedName name="BudCol02">[6]BudgetDatabase!$K$5:$K$443</definedName>
    <definedName name="BudCol03">[6]BudgetDatabase!$L$5:$L$443</definedName>
    <definedName name="BudCol04">[6]BudgetDatabase!$M$5:$M$443</definedName>
    <definedName name="BudCol05">[6]BudgetDatabase!$N$5:$N$443</definedName>
    <definedName name="BudCol06">[6]BudgetDatabase!$O$5:$O$443</definedName>
    <definedName name="BudCol07">[6]BudgetDatabase!$P$5:$P$443</definedName>
    <definedName name="BudCol08">[6]BudgetDatabase!$Q$5:$Q$443</definedName>
    <definedName name="BudCol09">[6]BudgetDatabase!$R$5:$R$443</definedName>
    <definedName name="BudCol10">[6]BudgetDatabase!$S$5:$S$443</definedName>
    <definedName name="BudCol11">[6]BudgetDatabase!$T$5:$T$443</definedName>
    <definedName name="BudCol12">[6]BudgetDatabase!$U$5:$U$443</definedName>
    <definedName name="BudCol13">[6]BudgetDatabase!$V$5:$V$443</definedName>
    <definedName name="BudCol14">[6]BudgetDatabase!$W$5:$W$443</definedName>
    <definedName name="BudCol15">[6]BudgetDatabase!$X$5:$X$443</definedName>
    <definedName name="BudCol16">[6]BudgetDatabase!$Y$5:$Y$443</definedName>
    <definedName name="BudCol17">[6]BudgetDatabase!$Z$5:$Z$443</definedName>
    <definedName name="BudCol18">[6]BudgetDatabase!$AA$5:$AA$443</definedName>
    <definedName name="BudCol19">[6]BudgetDatabase!$AB$5:$AB$443</definedName>
    <definedName name="BudCol20">[6]BudgetDatabase!$AC$5:$AC$443</definedName>
    <definedName name="BudCol21">[6]BudgetDatabase!$AD$5:$AD$443</definedName>
    <definedName name="BudCol22">[6]BudgetDatabase!$AE$5:$AE$443</definedName>
    <definedName name="BudCol23">[6]BudgetDatabase!$AF$5:$AF$443</definedName>
    <definedName name="BudCol24">[6]BudgetDatabase!$AG$5:$AG$443</definedName>
    <definedName name="BudCol25">[6]BudgetDatabase!$AH$5:$AH$443</definedName>
    <definedName name="BudColTmp">[6]BudgetDatabase!$AJ$5:$AJ$443</definedName>
    <definedName name="C_">#REF!</definedName>
    <definedName name="Choices_Wrapper">[7]!Choices_Wrapper</definedName>
    <definedName name="CM">#REF!</definedName>
    <definedName name="Coal_Annual_KU">'[5]LGE Coal'!#REF!</definedName>
    <definedName name="coal_hide_ku_01">'[5]LGE Coal'!#REF!</definedName>
    <definedName name="coal_hide_lge_01">'[5]LGE Coal'!#REF!</definedName>
    <definedName name="coal_ku_01">'[5]LGE Coal'!#REF!</definedName>
    <definedName name="ColumnAttributes1">#REF!</definedName>
    <definedName name="ColumnHeadings1">#REF!</definedName>
    <definedName name="Comp">[7]!Comp</definedName>
    <definedName name="ConsEarnings">#REF!</definedName>
    <definedName name="CONSOLIDATED">#REF!</definedName>
    <definedName name="CORPORATE">#REF!</definedName>
    <definedName name="counter">#REF!</definedName>
    <definedName name="CREDIT">#REF!</definedName>
    <definedName name="CurReptgMo">[6]Input!$K$19</definedName>
    <definedName name="CurReptgYr">[6]Input!$K$21</definedName>
    <definedName name="D">#REF!</definedName>
    <definedName name="data">#REF!</definedName>
    <definedName name="data1">'[8]1'!#REF!</definedName>
    <definedName name="DateTimeNow">[6]Input!$AE$12</definedName>
    <definedName name="DEBIT">#REF!</definedName>
    <definedName name="Detail">#REF!</definedName>
    <definedName name="ELEC_NET_OP_INC">#REF!</definedName>
    <definedName name="ELIMS">#REF!</definedName>
    <definedName name="EXHIB1A">'[9]#REF'!#REF!</definedName>
    <definedName name="EXHIB1B">#REF!</definedName>
    <definedName name="EXHIB1C">#REF!</definedName>
    <definedName name="EXHIB2B">'[10]Ex 2'!#REF!</definedName>
    <definedName name="EXHIB3">#REF!</definedName>
    <definedName name="EXHIB6">'[10]not used Ex 4'!#REF!</definedName>
    <definedName name="F">#REF!</definedName>
    <definedName name="Fac_2000">'[5]LGE Base Fuel &amp; FAC'!#REF!</definedName>
    <definedName name="fac_annual_ku">'[5]LGE Base Fuel &amp; FAC'!#REF!</definedName>
    <definedName name="fac_hide_ku_01">'[5]LGE Base Fuel &amp; FAC'!#REF!</definedName>
    <definedName name="fac_hide_lge_01">'[5]LGE Base Fuel &amp; FAC'!#REF!</definedName>
    <definedName name="fac_ku_01">'[5]LGE Base Fuel &amp; FAC'!#REF!</definedName>
    <definedName name="FOOTER">#REF!</definedName>
    <definedName name="FORECAST">"'IFPSReport'!R5C3:R5C14"</definedName>
    <definedName name="fuelcost">#REF!</definedName>
    <definedName name="Gas_Annual_NetRev">#REF!</definedName>
    <definedName name="Gas_Annual_Revenue">#REF!</definedName>
    <definedName name="gas_data">#REF!</definedName>
    <definedName name="Gas_Monthly_NetRevenue">#REF!</definedName>
    <definedName name="GAS_NET_OP_INC">#REF!</definedName>
    <definedName name="Gas_Sales_Revenues">#REF!</definedName>
    <definedName name="GenEx_Annual_KU">'[5]LGE Cost of Sales'!#REF!</definedName>
    <definedName name="genex_hide_ku_01">'[5]LGE Cost of Sales'!#REF!</definedName>
    <definedName name="genex_hide_lge_01">'[5]LGE Cost of Sales'!#REF!</definedName>
    <definedName name="genex_ku_01">'[5]LGE Cost of Sales'!#REF!</definedName>
    <definedName name="H">#REF!</definedName>
    <definedName name="Home_KU">#REF!</definedName>
    <definedName name="INPUT1">#REF!</definedName>
    <definedName name="INPUT2">#REF!</definedName>
    <definedName name="INPUTCOL">#REF!</definedName>
    <definedName name="INPUTROW">#REF!</definedName>
    <definedName name="InputSec01">[6]Input!$M$30</definedName>
    <definedName name="InputSec02">[6]Input!$M$40:$M$75</definedName>
    <definedName name="InputSec03">[6]Input!$K$87:$Q$89</definedName>
    <definedName name="InputSec04">[6]Input!$O$100:$Q$100</definedName>
    <definedName name="InputSec05A">[6]Input!$O$110:$Q$110</definedName>
    <definedName name="InputSec05B">[6]Input!$O$116:$Q$122</definedName>
    <definedName name="InputSec06">[6]Input!$M$133:$O$142</definedName>
    <definedName name="InputSec07">[6]Input!$O$151:$O$181</definedName>
    <definedName name="InputSec08A">[6]Input!$O$259:$O$283</definedName>
    <definedName name="InputSec08B">[6]Input!$G$296:$Q$296</definedName>
    <definedName name="InputSec08C">[6]Input!$I$306:$K$306</definedName>
    <definedName name="InputSec09A">[6]Input!$K$316:$Q$318</definedName>
    <definedName name="InputSec09B">[6]Input!$K$328:$M$330</definedName>
    <definedName name="InputSec10A">[6]Input!$K$345:$O$349</definedName>
    <definedName name="InputSec10B">[6]Input!$K$355:$O$355</definedName>
    <definedName name="InputSec10C">[6]Input!$K$362:$O$364</definedName>
    <definedName name="InputSec10D">[6]Input!$K$370:$O$370</definedName>
    <definedName name="InputSec11">[6]Input!$M$383:$O$391</definedName>
    <definedName name="InputSec12A">[6]Input!$M$406:$M$418</definedName>
    <definedName name="InputSec12B">[6]Input!$M$424</definedName>
    <definedName name="InputSec13">[6]Input!$M$433:$O$433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UELIMBAL">#REF!</definedName>
    <definedName name="KUELIMCASH">#REF!</definedName>
    <definedName name="KUPWRGENIS">#REF!</definedName>
    <definedName name="KWHCol01">[6]KWHDistDatabase!$I$5:$I$425</definedName>
    <definedName name="KWHCol02">[6]KWHDistDatabase!$J$5:$J$425</definedName>
    <definedName name="KWHCol03">[6]KWHDistDatabase!$K$5:$K$425</definedName>
    <definedName name="KWHCol04">[6]KWHDistDatabase!$L$5:$L$425</definedName>
    <definedName name="KWHCol05">[6]KWHDistDatabase!$M$5:$M$425</definedName>
    <definedName name="KWHCol06">[6]KWHDistDatabase!$N$5:$N$425</definedName>
    <definedName name="KWHCol07">[6]KWHDistDatabase!$O$5:$O$425</definedName>
    <definedName name="KWHCol08">[6]KWHDistDatabase!$P$5:$P$425</definedName>
    <definedName name="KWHCol09">[6]KWHDistDatabase!$Q$5:$Q$425</definedName>
    <definedName name="KWHCol10">[6]KWHDistDatabase!$R$5:$R$425</definedName>
    <definedName name="KWHCol11">[6]KWHDistDatabase!$S$5:$S$425</definedName>
    <definedName name="KWHCol12">[6]KWHDistDatabase!$T$5:$T$425</definedName>
    <definedName name="KWHCol13">[6]KWHDistDatabase!$U$5:$U$425</definedName>
    <definedName name="KWHCol14">[6]KWHDistDatabase!$V$5:$V$425</definedName>
    <definedName name="KWHCol15">[6]KWHDistDatabase!$W$5:$W$425</definedName>
    <definedName name="KWHCol16">[6]KWHDistDatabase!$X$5:$X$425</definedName>
    <definedName name="KWHCol17">[6]KWHDistDatabase!$Y$5:$Y$425</definedName>
    <definedName name="KWHCol18">[6]KWHDistDatabase!$Z$5:$Z$425</definedName>
    <definedName name="KWHCol19">[6]KWHDistDatabase!$AA$5:$AA$425</definedName>
    <definedName name="KWHCol20">[6]KWHDistDatabase!$AB$5:$AB$425</definedName>
    <definedName name="KWHCol21">[6]KWHDistDatabase!$AC$5:$AC$425</definedName>
    <definedName name="KWHCol22">[6]KWHDistDatabase!$AD$5:$AD$425</definedName>
    <definedName name="KWHCol23">[6]KWHDistDatabase!$AE$5:$AE$425</definedName>
    <definedName name="KWHCol24">[6]KWHDistDatabase!$AF$5:$AF$425</definedName>
    <definedName name="KWHCol25">[6]KWHDistDatabase!$AG$5:$AG$425</definedName>
    <definedName name="KWHColTmp">[6]KWHDistDatabase!$AI$5:$AI$425</definedName>
    <definedName name="LEC">#REF!</definedName>
    <definedName name="LECBAL">#REF!</definedName>
    <definedName name="LECCASH">#REF!</definedName>
    <definedName name="LES">#REF!</definedName>
    <definedName name="LGE">#REF!</definedName>
    <definedName name="LNGCL">#REF!</definedName>
    <definedName name="Losses_by_State">#REF!</definedName>
    <definedName name="LOUPHONECOBAL">#REF!</definedName>
    <definedName name="LOUPHONECOCASH">#REF!</definedName>
    <definedName name="LOUPHONECOIS">#REF!</definedName>
    <definedName name="LPI">#REF!</definedName>
    <definedName name="MAIN">#REF!</definedName>
    <definedName name="MESG1">#REF!</definedName>
    <definedName name="MESG2">#REF!</definedName>
    <definedName name="MONTH_NAME">#REF!</definedName>
    <definedName name="MONTHCOUNT">#REF!</definedName>
    <definedName name="NATURAL">#REF!</definedName>
    <definedName name="NET_OP_INC">#REF!</definedName>
    <definedName name="Net_Revenues">#REF!</definedName>
    <definedName name="Net_Unbilled_KWh">#REF!</definedName>
    <definedName name="Net_Unbilled_Revenue_Dollars">#REF!</definedName>
    <definedName name="netrev_hide_ku_01">'[5]LGE Gross Margin-Inc.Stmt'!#REF!</definedName>
    <definedName name="netrev_hide_lge_01">'[5]LGE Gross Margin-Inc.Stmt'!#REF!</definedName>
    <definedName name="netrev_ku_01">'[5]LGE Gross Margin-Inc.Stmt'!#REF!</definedName>
    <definedName name="NetRevenue_Annual_KU">'[5]LGE Gross Margin-Inc.Stmt'!#REF!</definedName>
    <definedName name="NetRevenues">#REF!</definedName>
    <definedName name="NextReptgMo">[6]Input!$AE$19</definedName>
    <definedName name="NextReptgYr">[6]Input!$AE$21</definedName>
    <definedName name="Operating_Revenue_Dollars">#REF!</definedName>
    <definedName name="Operating_Sales__KWh">#REF!</definedName>
    <definedName name="PAGE">#REF!</definedName>
    <definedName name="PAGE10">#REF!</definedName>
    <definedName name="PAGE1B">[3]d20!#REF!</definedName>
    <definedName name="PAGE7">#REF!</definedName>
    <definedName name="page8">#REF!</definedName>
    <definedName name="PAGE9">#REF!</definedName>
    <definedName name="PgFERC_449">#REF!</definedName>
    <definedName name="Plan">#REF!</definedName>
    <definedName name="_xlnm.Print_Area" localSheetId="0">'Jurisdictional Study'!$A$1:$P$1441</definedName>
    <definedName name="_xlnm.Print_Area" localSheetId="1">'WSS-26'!$F$5:$AJ$617</definedName>
    <definedName name="_xlnm.Print_Area" localSheetId="2">'WSS-28'!$F$4:$U$963</definedName>
    <definedName name="_xlnm.Print_Titles" localSheetId="0">'Jurisdictional Study'!$19:$22</definedName>
    <definedName name="_xlnm.Print_Titles" localSheetId="1">'WSS-26'!$A:$E,'WSS-26'!$1:$4</definedName>
    <definedName name="_xlnm.Print_Titles" localSheetId="2">'WSS-28'!$A:$E,'WSS-28'!$1:$3</definedName>
    <definedName name="PRINT1">#REF!</definedName>
    <definedName name="PWRGENBAL">#REF!</definedName>
    <definedName name="PWRGENCASH">#REF!</definedName>
    <definedName name="QtrbyMonth">#REF!</definedName>
    <definedName name="RangeRptgMo">[11]Main!$K$11</definedName>
    <definedName name="RangeRptgYr">[12]Main!$G$5</definedName>
    <definedName name="REPORT">#REF!</definedName>
    <definedName name="ReportTitle1">#REF!</definedName>
    <definedName name="require_hide_ku_01">'[5]LGE Require &amp; Source'!#REF!</definedName>
    <definedName name="require_hide_lge_01">'[5]LGE Require &amp; Source'!#REF!</definedName>
    <definedName name="require_ku_01">'[5]LGE Require &amp; Source'!#REF!</definedName>
    <definedName name="Requirements_Annual_KU">'[5]LGE Require &amp; Source'!#REF!</definedName>
    <definedName name="Requirements_Data">'[5]LGE Require &amp; Source'!#REF!</definedName>
    <definedName name="Requirements_KU">'[5]LGE Require &amp; Source'!#REF!</definedName>
    <definedName name="RevCol01">#REF!</definedName>
    <definedName name="RevCol01A">#REF!</definedName>
    <definedName name="RevCol01B">#REF!</definedName>
    <definedName name="RevCol02">#REF!</definedName>
    <definedName name="RevCol02A">#REF!</definedName>
    <definedName name="RevCol02B">#REF!</definedName>
    <definedName name="RevCol03">#REF!</definedName>
    <definedName name="RevCol04">#REF!</definedName>
    <definedName name="RevCol05">#REF!</definedName>
    <definedName name="RevCol06">#REF!</definedName>
    <definedName name="RevCol07">#REF!</definedName>
    <definedName name="RevCol08">#REF!</definedName>
    <definedName name="RevCol09">#REF!</definedName>
    <definedName name="RevCol10">#REF!</definedName>
    <definedName name="RevCol11">#REF!</definedName>
    <definedName name="RevCol12">#REF!</definedName>
    <definedName name="RevCol13">#REF!</definedName>
    <definedName name="RevCol14">#REF!</definedName>
    <definedName name="RevCol15">#REF!</definedName>
    <definedName name="RevCol16">#REF!</definedName>
    <definedName name="RevCol17">#REF!</definedName>
    <definedName name="RevCol18">#REF!</definedName>
    <definedName name="RevCol19">#REF!</definedName>
    <definedName name="RevCol20">#REF!</definedName>
    <definedName name="RevCol21">#REF!</definedName>
    <definedName name="RevCol22">#REF!</definedName>
    <definedName name="RevCol23">#REF!</definedName>
    <definedName name="RevCol24">#REF!</definedName>
    <definedName name="RevCol25">#REF!</definedName>
    <definedName name="RevCol26">#REF!</definedName>
    <definedName name="RevCol27">#REF!</definedName>
    <definedName name="RevCol28">#REF!</definedName>
    <definedName name="RevCol29">#REF!</definedName>
    <definedName name="RevCol30">#REF!</definedName>
    <definedName name="RevCol31">#REF!</definedName>
    <definedName name="RevCol32">#REF!</definedName>
    <definedName name="RevCol33">#REF!</definedName>
    <definedName name="RevCol34">#REF!</definedName>
    <definedName name="RevCol35">#REF!</definedName>
    <definedName name="RevCol36">#REF!</definedName>
    <definedName name="RevCol37">#REF!</definedName>
    <definedName name="RevColTmp">#REF!</definedName>
    <definedName name="RevColTmpA">#REF!</definedName>
    <definedName name="RevColTmpB">#REF!</definedName>
    <definedName name="revenues_hide_ku_01">'[5]KU Other Electric Revenues'!#REF!</definedName>
    <definedName name="revenues_ku_01">'[5]KU Other Electric Revenues'!#REF!</definedName>
    <definedName name="RowDetails1">#REF!</definedName>
    <definedName name="RPTCOL">#REF!</definedName>
    <definedName name="RPTROW">#REF!</definedName>
    <definedName name="Sales">'[5]LGE Sales'!#REF!</definedName>
    <definedName name="sales_hide_ku_01">'[5]LGE Sales'!#REF!</definedName>
    <definedName name="sales_ku_01">'[5]LGE Sales'!#REF!</definedName>
    <definedName name="sales_title_ku">'[5]LGE Sales'!#REF!</definedName>
    <definedName name="SCHEDZ">#REF!</definedName>
    <definedName name="shoot">#REF!</definedName>
    <definedName name="START">#REF!</definedName>
    <definedName name="START2">#REF!</definedName>
    <definedName name="START3">#REF!</definedName>
    <definedName name="Support">#REF!</definedName>
    <definedName name="SUPPORT5">#REF!</definedName>
    <definedName name="SUPPORT6">#REF!</definedName>
    <definedName name="Tax_Factor">'Subsidy Calcs'!$B$21</definedName>
    <definedName name="TAX_RATE">'[9]#REF'!#REF!</definedName>
    <definedName name="TempReptgMo">[6]Input!$AG$19</definedName>
    <definedName name="TempReptgYr">[6]Input!$AG$21</definedName>
    <definedName name="TenyrNIAC">#REF!</definedName>
    <definedName name="TenyrRev">#REF!</definedName>
    <definedName name="test">[7]!test</definedName>
    <definedName name="Title">#REF!</definedName>
    <definedName name="Title_Choice">#REF!</definedName>
    <definedName name="Titles">#REF!</definedName>
    <definedName name="Titles_KU">#REF!</definedName>
    <definedName name="ttt">#REF!</definedName>
    <definedName name="UpdateDate">[6]Input!$M$12</definedName>
    <definedName name="UpdateTime">[6]Input!$O$12</definedName>
    <definedName name="Variance">#REF!</definedName>
    <definedName name="VIEW1">#REF!</definedName>
    <definedName name="vol_rev_annual_ku">'[5]LGE Retail Margin'!#REF!</definedName>
    <definedName name="vol_rev_hide_ku_monthly">'[5]LGE Retail Margin'!#REF!</definedName>
    <definedName name="vol_rev_hide_lge_01">'[5]LGE Retail Margin'!#REF!</definedName>
    <definedName name="vol_rev_ku_monthly">'[5]LGE Retail Margin'!#REF!</definedName>
    <definedName name="YTD">#REF!</definedName>
  </definedNames>
  <calcPr calcId="162913" iterate="1" iterateCount="200"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7" i="13" l="1"/>
  <c r="P17" i="13"/>
  <c r="O17" i="13"/>
  <c r="N17" i="13"/>
  <c r="M17" i="13"/>
  <c r="L17" i="13"/>
  <c r="K17" i="13"/>
  <c r="J17" i="13"/>
  <c r="I17" i="13"/>
  <c r="H17" i="13"/>
  <c r="G17" i="13"/>
  <c r="F17" i="13"/>
  <c r="E17" i="13"/>
  <c r="D17" i="13"/>
  <c r="C17" i="13"/>
  <c r="F30" i="14" l="1"/>
  <c r="G30" i="14" s="1"/>
  <c r="C10" i="13"/>
  <c r="E14" i="14" s="1"/>
  <c r="F14" i="14"/>
  <c r="C30" i="14"/>
  <c r="C14" i="14"/>
  <c r="A15" i="14"/>
  <c r="A16" i="14" s="1"/>
  <c r="Q15" i="13"/>
  <c r="P15" i="13"/>
  <c r="O15" i="13"/>
  <c r="N15" i="13"/>
  <c r="M15" i="13"/>
  <c r="L15" i="13"/>
  <c r="K15" i="13"/>
  <c r="J15" i="13"/>
  <c r="I15" i="13"/>
  <c r="H15" i="13"/>
  <c r="G15" i="13"/>
  <c r="F15" i="13"/>
  <c r="E15" i="13"/>
  <c r="D15" i="13"/>
  <c r="Q14" i="13"/>
  <c r="P14" i="13"/>
  <c r="O14" i="13"/>
  <c r="N14" i="13"/>
  <c r="M14" i="13"/>
  <c r="L14" i="13"/>
  <c r="K14" i="13"/>
  <c r="J14" i="13"/>
  <c r="I14" i="13"/>
  <c r="H14" i="13"/>
  <c r="G14" i="13"/>
  <c r="F14" i="13"/>
  <c r="E14" i="13"/>
  <c r="D14" i="13"/>
  <c r="C15" i="13"/>
  <c r="C14" i="13"/>
  <c r="Q7" i="13"/>
  <c r="P7" i="13"/>
  <c r="O7" i="13"/>
  <c r="N7" i="13"/>
  <c r="M7" i="13"/>
  <c r="L7" i="13"/>
  <c r="K7" i="13"/>
  <c r="J7" i="13"/>
  <c r="I7" i="13"/>
  <c r="H7" i="13"/>
  <c r="G7" i="13"/>
  <c r="F7" i="13"/>
  <c r="E7" i="13"/>
  <c r="D7" i="13"/>
  <c r="C7" i="13"/>
  <c r="C8" i="13"/>
  <c r="Q6" i="13"/>
  <c r="P6" i="13"/>
  <c r="O6" i="13"/>
  <c r="N6" i="13"/>
  <c r="M6" i="13"/>
  <c r="L6" i="13"/>
  <c r="K6" i="13"/>
  <c r="J6" i="13"/>
  <c r="I6" i="13"/>
  <c r="H6" i="13"/>
  <c r="G6" i="13"/>
  <c r="F6" i="13"/>
  <c r="E6" i="13"/>
  <c r="D6" i="13"/>
  <c r="C6" i="13"/>
  <c r="F16" i="14" l="1"/>
  <c r="G16" i="14" s="1"/>
  <c r="C16" i="14"/>
  <c r="D16" i="14" s="1"/>
  <c r="A17" i="14"/>
  <c r="C15" i="14"/>
  <c r="D15" i="14" s="1"/>
  <c r="F15" i="14"/>
  <c r="G15" i="14" s="1"/>
  <c r="G14" i="14"/>
  <c r="D30" i="14"/>
  <c r="D14" i="14"/>
  <c r="B6" i="13"/>
  <c r="I16" i="13"/>
  <c r="B14" i="13"/>
  <c r="N16" i="13"/>
  <c r="G16" i="13"/>
  <c r="O16" i="13"/>
  <c r="Q16" i="13"/>
  <c r="B15" i="13"/>
  <c r="J16" i="13"/>
  <c r="C16" i="13"/>
  <c r="K16" i="13"/>
  <c r="D16" i="13"/>
  <c r="L16" i="13"/>
  <c r="E16" i="13"/>
  <c r="M16" i="13"/>
  <c r="F16" i="13"/>
  <c r="H16" i="13"/>
  <c r="P16" i="13"/>
  <c r="L8" i="13"/>
  <c r="J8" i="13"/>
  <c r="F8" i="13"/>
  <c r="N8" i="13"/>
  <c r="G8" i="13"/>
  <c r="O8" i="13"/>
  <c r="H8" i="13"/>
  <c r="P8" i="13"/>
  <c r="I8" i="13"/>
  <c r="Q8" i="13"/>
  <c r="B7" i="13"/>
  <c r="K8" i="13"/>
  <c r="D8" i="13"/>
  <c r="E8" i="13"/>
  <c r="M8" i="13"/>
  <c r="F17" i="14" l="1"/>
  <c r="G17" i="14" s="1"/>
  <c r="C17" i="14"/>
  <c r="D17" i="14" s="1"/>
  <c r="A18" i="14"/>
  <c r="B8" i="13"/>
  <c r="B16" i="13"/>
  <c r="N18" i="13" s="1"/>
  <c r="M9" i="13"/>
  <c r="F10" i="13"/>
  <c r="E17" i="14" s="1"/>
  <c r="N10" i="13"/>
  <c r="C18" i="14" l="1"/>
  <c r="D18" i="14" s="1"/>
  <c r="A19" i="14"/>
  <c r="F18" i="14"/>
  <c r="G18" i="14" s="1"/>
  <c r="D10" i="13"/>
  <c r="E15" i="14" s="1"/>
  <c r="G9" i="13"/>
  <c r="I9" i="13"/>
  <c r="H10" i="13"/>
  <c r="O9" i="13"/>
  <c r="I10" i="13"/>
  <c r="L9" i="13"/>
  <c r="D9" i="13"/>
  <c r="Q10" i="13"/>
  <c r="E10" i="13"/>
  <c r="E16" i="14" s="1"/>
  <c r="C9" i="13"/>
  <c r="G10" i="13"/>
  <c r="E18" i="14" s="1"/>
  <c r="H9" i="13"/>
  <c r="E9" i="13"/>
  <c r="F9" i="13"/>
  <c r="B9" i="13"/>
  <c r="M10" i="13"/>
  <c r="Q9" i="13"/>
  <c r="N9" i="13"/>
  <c r="P9" i="13"/>
  <c r="J10" i="13"/>
  <c r="O10" i="13"/>
  <c r="L10" i="13"/>
  <c r="J9" i="13"/>
  <c r="K10" i="13"/>
  <c r="P10" i="13"/>
  <c r="K9" i="13"/>
  <c r="B17" i="13"/>
  <c r="C18" i="13"/>
  <c r="H14" i="14" s="1"/>
  <c r="K18" i="13"/>
  <c r="D18" i="13"/>
  <c r="H15" i="14" s="1"/>
  <c r="L18" i="13"/>
  <c r="I18" i="13"/>
  <c r="F18" i="13"/>
  <c r="H17" i="14" s="1"/>
  <c r="G18" i="13"/>
  <c r="H18" i="14" s="1"/>
  <c r="Q18" i="13"/>
  <c r="P18" i="13"/>
  <c r="O18" i="13"/>
  <c r="E18" i="13"/>
  <c r="H16" i="14" s="1"/>
  <c r="H18" i="13"/>
  <c r="H19" i="14" s="1"/>
  <c r="M18" i="13"/>
  <c r="J18" i="13"/>
  <c r="H20" i="14" l="1"/>
  <c r="A20" i="14"/>
  <c r="F19" i="14"/>
  <c r="G19" i="14" s="1"/>
  <c r="C19" i="14"/>
  <c r="D19" i="14" s="1"/>
  <c r="E19" i="14"/>
  <c r="B10" i="13"/>
  <c r="B18" i="13"/>
  <c r="A21" i="14" l="1"/>
  <c r="C20" i="14"/>
  <c r="D20" i="14" s="1"/>
  <c r="F20" i="14"/>
  <c r="G20" i="14" s="1"/>
  <c r="E20" i="14"/>
  <c r="U780" i="2"/>
  <c r="F21" i="14" l="1"/>
  <c r="G21" i="14" s="1"/>
  <c r="C21" i="14"/>
  <c r="D21" i="14" s="1"/>
  <c r="A22" i="14"/>
  <c r="E21" i="14"/>
  <c r="H21" i="14"/>
  <c r="G780" i="2"/>
  <c r="T782" i="2"/>
  <c r="W782" i="2"/>
  <c r="X782" i="2" s="1"/>
  <c r="F785" i="2"/>
  <c r="F797" i="2" s="1"/>
  <c r="F22" i="14" l="1"/>
  <c r="G22" i="14" s="1"/>
  <c r="C22" i="14"/>
  <c r="D22" i="14" s="1"/>
  <c r="A23" i="14"/>
  <c r="H22" i="14"/>
  <c r="E22" i="14"/>
  <c r="F796" i="2"/>
  <c r="A24" i="14" l="1"/>
  <c r="F23" i="14"/>
  <c r="G23" i="14" s="1"/>
  <c r="C23" i="14"/>
  <c r="D23" i="14" s="1"/>
  <c r="E23" i="14"/>
  <c r="H23" i="14"/>
  <c r="F105" i="1"/>
  <c r="F41" i="1"/>
  <c r="C24" i="14" l="1"/>
  <c r="D24" i="14" s="1"/>
  <c r="A25" i="14"/>
  <c r="F24" i="14"/>
  <c r="G24" i="14" s="1"/>
  <c r="E24" i="14"/>
  <c r="H24" i="14"/>
  <c r="F679" i="2"/>
  <c r="A26" i="14" l="1"/>
  <c r="C25" i="14"/>
  <c r="D25" i="14" s="1"/>
  <c r="F25" i="14"/>
  <c r="G25" i="14" s="1"/>
  <c r="E25" i="14"/>
  <c r="H25" i="14"/>
  <c r="T780" i="2"/>
  <c r="F26" i="14" l="1"/>
  <c r="G26" i="14" s="1"/>
  <c r="A27" i="14"/>
  <c r="C26" i="14"/>
  <c r="D26" i="14" s="1"/>
  <c r="H26" i="14"/>
  <c r="E26" i="14"/>
  <c r="W781" i="2"/>
  <c r="X781" i="2" s="1"/>
  <c r="F27" i="14" l="1"/>
  <c r="G27" i="14" s="1"/>
  <c r="A28" i="14"/>
  <c r="C27" i="14"/>
  <c r="D27" i="14" s="1"/>
  <c r="E27" i="14"/>
  <c r="H27" i="14"/>
  <c r="F664" i="2"/>
  <c r="F541" i="1"/>
  <c r="F539" i="1"/>
  <c r="F537" i="1"/>
  <c r="F535" i="1"/>
  <c r="F531" i="1"/>
  <c r="F530" i="1"/>
  <c r="F529" i="1"/>
  <c r="F516" i="1"/>
  <c r="F522" i="1"/>
  <c r="F524" i="1"/>
  <c r="F523" i="1"/>
  <c r="F521" i="1"/>
  <c r="F520" i="1"/>
  <c r="F519" i="1"/>
  <c r="F518" i="1"/>
  <c r="F517" i="1"/>
  <c r="F591" i="1"/>
  <c r="F590" i="1"/>
  <c r="F589" i="1"/>
  <c r="F504" i="1"/>
  <c r="F503" i="1"/>
  <c r="F502" i="1"/>
  <c r="F501" i="1"/>
  <c r="F500" i="1"/>
  <c r="F499" i="1"/>
  <c r="F498" i="1"/>
  <c r="F497" i="1"/>
  <c r="F496" i="1"/>
  <c r="F495" i="1"/>
  <c r="F494" i="1"/>
  <c r="F493" i="1"/>
  <c r="F483" i="1"/>
  <c r="F482" i="1"/>
  <c r="F481" i="1"/>
  <c r="F480" i="1"/>
  <c r="F479" i="1"/>
  <c r="F477" i="1"/>
  <c r="F475" i="1"/>
  <c r="F474" i="1"/>
  <c r="F469" i="1"/>
  <c r="F468" i="1"/>
  <c r="F467" i="1"/>
  <c r="F466" i="1"/>
  <c r="F465" i="1"/>
  <c r="F454" i="1"/>
  <c r="F453" i="1"/>
  <c r="F452" i="1"/>
  <c r="F451" i="1"/>
  <c r="F450" i="1"/>
  <c r="F449" i="1"/>
  <c r="F448" i="1"/>
  <c r="F447" i="1"/>
  <c r="F446" i="1"/>
  <c r="F438" i="1"/>
  <c r="F437" i="1"/>
  <c r="F436" i="1"/>
  <c r="F434" i="1"/>
  <c r="F433" i="1"/>
  <c r="F432" i="1"/>
  <c r="F431" i="1"/>
  <c r="F430" i="1"/>
  <c r="F429" i="1"/>
  <c r="F428" i="1"/>
  <c r="F423" i="1"/>
  <c r="F422" i="1"/>
  <c r="F421" i="1"/>
  <c r="F420" i="1"/>
  <c r="F419" i="1"/>
  <c r="F418" i="1"/>
  <c r="F417" i="1"/>
  <c r="F416" i="1"/>
  <c r="F415" i="1"/>
  <c r="F414" i="1"/>
  <c r="F407" i="1"/>
  <c r="F406" i="1"/>
  <c r="F405" i="1"/>
  <c r="F396" i="1"/>
  <c r="F395" i="1"/>
  <c r="F394" i="1"/>
  <c r="F393" i="1"/>
  <c r="F388" i="1"/>
  <c r="F387" i="1"/>
  <c r="F386" i="1"/>
  <c r="F385" i="1"/>
  <c r="F384" i="1"/>
  <c r="F375" i="1"/>
  <c r="F374" i="1"/>
  <c r="F373" i="1"/>
  <c r="F372" i="1"/>
  <c r="F371" i="1"/>
  <c r="F365" i="1"/>
  <c r="F364" i="1"/>
  <c r="F361" i="1"/>
  <c r="F354" i="1"/>
  <c r="F353" i="1"/>
  <c r="F352" i="1"/>
  <c r="F351" i="1"/>
  <c r="F350" i="1"/>
  <c r="F345" i="1"/>
  <c r="F344" i="1"/>
  <c r="F343" i="1"/>
  <c r="F342" i="1"/>
  <c r="F341" i="1"/>
  <c r="F340" i="1"/>
  <c r="F329" i="1"/>
  <c r="F328" i="1"/>
  <c r="F327" i="1"/>
  <c r="F326" i="1"/>
  <c r="F325" i="1"/>
  <c r="F324" i="1"/>
  <c r="F323" i="1"/>
  <c r="F322" i="1"/>
  <c r="F321" i="1"/>
  <c r="F320" i="1"/>
  <c r="F319" i="1"/>
  <c r="F318" i="1"/>
  <c r="F305" i="1"/>
  <c r="F303" i="1"/>
  <c r="F302" i="1"/>
  <c r="F301" i="1"/>
  <c r="F299" i="1"/>
  <c r="F297" i="1"/>
  <c r="F296" i="1"/>
  <c r="F291" i="1"/>
  <c r="F290" i="1"/>
  <c r="F289" i="1"/>
  <c r="F288" i="1"/>
  <c r="F287" i="1"/>
  <c r="F276" i="1"/>
  <c r="F275" i="1"/>
  <c r="F274" i="1"/>
  <c r="F273" i="1"/>
  <c r="F272" i="1"/>
  <c r="F271" i="1"/>
  <c r="F270" i="1"/>
  <c r="F269" i="1"/>
  <c r="F268" i="1"/>
  <c r="F261" i="1"/>
  <c r="F259" i="1"/>
  <c r="F258" i="1"/>
  <c r="F256" i="1"/>
  <c r="F255" i="1"/>
  <c r="F254" i="1"/>
  <c r="F253" i="1"/>
  <c r="F252" i="1"/>
  <c r="F251" i="1"/>
  <c r="F250" i="1"/>
  <c r="F245" i="1"/>
  <c r="F244" i="1"/>
  <c r="F243" i="1"/>
  <c r="F242" i="1"/>
  <c r="F241" i="1"/>
  <c r="F240" i="1"/>
  <c r="F239" i="1"/>
  <c r="F238" i="1"/>
  <c r="F237" i="1"/>
  <c r="F236" i="1"/>
  <c r="F235" i="1"/>
  <c r="F234" i="1"/>
  <c r="F233" i="1"/>
  <c r="F232" i="1"/>
  <c r="F223" i="1"/>
  <c r="F222" i="1"/>
  <c r="F218" i="1"/>
  <c r="F209" i="1"/>
  <c r="F208" i="1"/>
  <c r="F207" i="1"/>
  <c r="F206" i="1"/>
  <c r="F201" i="1"/>
  <c r="F200" i="1"/>
  <c r="F199" i="1"/>
  <c r="F198" i="1"/>
  <c r="F197" i="1"/>
  <c r="F188" i="1"/>
  <c r="F187" i="1"/>
  <c r="F186" i="1"/>
  <c r="F185" i="1"/>
  <c r="F184" i="1"/>
  <c r="F179" i="1"/>
  <c r="F178" i="1"/>
  <c r="F177" i="1"/>
  <c r="F176" i="1"/>
  <c r="F175" i="1"/>
  <c r="F174" i="1"/>
  <c r="F167" i="1"/>
  <c r="F166" i="1"/>
  <c r="F165" i="1"/>
  <c r="F164" i="1"/>
  <c r="F163" i="1"/>
  <c r="F157" i="1"/>
  <c r="F156" i="1"/>
  <c r="F155" i="1"/>
  <c r="F154" i="1"/>
  <c r="F153" i="1"/>
  <c r="F152" i="1"/>
  <c r="F28" i="14" l="1"/>
  <c r="G28" i="14" s="1"/>
  <c r="C28" i="14"/>
  <c r="D28" i="14" s="1"/>
  <c r="H28" i="14"/>
  <c r="H30" i="14" s="1"/>
  <c r="E28" i="14"/>
  <c r="E30" i="14" s="1"/>
  <c r="F127" i="1"/>
  <c r="F125" i="1"/>
  <c r="F106" i="1"/>
  <c r="F99" i="1"/>
  <c r="F71" i="1"/>
  <c r="F57" i="1"/>
  <c r="F16" i="1"/>
  <c r="W780" i="2" l="1"/>
  <c r="X780" i="2" s="1"/>
  <c r="T912" i="2"/>
  <c r="T919" i="2" s="1"/>
  <c r="U862" i="2"/>
  <c r="O653" i="2" l="1"/>
  <c r="N653" i="2"/>
  <c r="M653" i="2"/>
  <c r="W653" i="2"/>
  <c r="W940" i="2" l="1"/>
  <c r="X940" i="2" s="1"/>
  <c r="Y940" i="2" s="1"/>
  <c r="S842" i="2" l="1"/>
  <c r="S850" i="2" s="1"/>
  <c r="R846" i="2"/>
  <c r="Q842" i="2"/>
  <c r="Q843" i="2" s="1"/>
  <c r="Q844" i="2" s="1"/>
  <c r="O842" i="2"/>
  <c r="O843" i="2" s="1"/>
  <c r="O844" i="2" s="1"/>
  <c r="N842" i="2"/>
  <c r="N846" i="2" s="1"/>
  <c r="L842" i="2"/>
  <c r="L847" i="2" s="1"/>
  <c r="M842" i="2"/>
  <c r="M847" i="2" s="1"/>
  <c r="L846" i="2"/>
  <c r="J842" i="2"/>
  <c r="J850" i="2" s="1"/>
  <c r="K842" i="2"/>
  <c r="K847" i="2" s="1"/>
  <c r="R843" i="2"/>
  <c r="R844" i="2" s="1"/>
  <c r="R847" i="2" s="1"/>
  <c r="L843" i="2"/>
  <c r="L844" i="2" s="1"/>
  <c r="I842" i="2"/>
  <c r="I843" i="2" s="1"/>
  <c r="I844" i="2" s="1"/>
  <c r="H842" i="2"/>
  <c r="H848" i="2" s="1"/>
  <c r="G842" i="2"/>
  <c r="G847" i="2" s="1"/>
  <c r="K843" i="2" l="1"/>
  <c r="K844" i="2" s="1"/>
  <c r="O846" i="2"/>
  <c r="L849" i="2"/>
  <c r="J843" i="2"/>
  <c r="J844" i="2" s="1"/>
  <c r="O847" i="2"/>
  <c r="H850" i="2"/>
  <c r="K846" i="2"/>
  <c r="M846" i="2"/>
  <c r="S846" i="2"/>
  <c r="H846" i="2"/>
  <c r="S847" i="2"/>
  <c r="H843" i="2"/>
  <c r="H844" i="2" s="1"/>
  <c r="H849" i="2"/>
  <c r="S843" i="2"/>
  <c r="S844" i="2" s="1"/>
  <c r="L850" i="2"/>
  <c r="S849" i="2"/>
  <c r="Q848" i="2"/>
  <c r="Q849" i="2"/>
  <c r="Q847" i="2"/>
  <c r="Q850" i="2"/>
  <c r="R848" i="2"/>
  <c r="G843" i="2"/>
  <c r="G844" i="2" s="1"/>
  <c r="K849" i="2"/>
  <c r="Q846" i="2"/>
  <c r="R849" i="2"/>
  <c r="G846" i="2"/>
  <c r="G850" i="2"/>
  <c r="H847" i="2"/>
  <c r="M843" i="2"/>
  <c r="M844" i="2" s="1"/>
  <c r="J846" i="2"/>
  <c r="M849" i="2"/>
  <c r="R850" i="2"/>
  <c r="G848" i="2"/>
  <c r="G849" i="2"/>
  <c r="N843" i="2"/>
  <c r="N844" i="2" s="1"/>
  <c r="N847" i="2"/>
  <c r="J847" i="2"/>
  <c r="J849" i="2"/>
  <c r="U869" i="2"/>
  <c r="U876" i="2" s="1"/>
  <c r="W912" i="2"/>
  <c r="X912" i="2" s="1"/>
  <c r="Y912" i="2" s="1"/>
  <c r="W933" i="2" l="1"/>
  <c r="X933" i="2" s="1"/>
  <c r="Y933" i="2" s="1"/>
  <c r="W926" i="2"/>
  <c r="X926" i="2" s="1"/>
  <c r="Y926" i="2" s="1"/>
  <c r="W919" i="2"/>
  <c r="X919" i="2" s="1"/>
  <c r="Y919" i="2" s="1"/>
  <c r="W876" i="2"/>
  <c r="X876" i="2" s="1"/>
  <c r="Y876" i="2" s="1"/>
  <c r="V895" i="2"/>
  <c r="V860" i="2"/>
  <c r="V867" i="2"/>
  <c r="V874" i="2"/>
  <c r="V881" i="2"/>
  <c r="V888" i="2"/>
  <c r="W890" i="2"/>
  <c r="X890" i="2" s="1"/>
  <c r="Y890" i="2" s="1"/>
  <c r="W883" i="2"/>
  <c r="X883" i="2" s="1"/>
  <c r="Y883" i="2" s="1"/>
  <c r="W869" i="2" l="1"/>
  <c r="X869" i="2" s="1"/>
  <c r="Y869" i="2" s="1"/>
  <c r="W905" i="2"/>
  <c r="X905" i="2" s="1"/>
  <c r="Y905" i="2" s="1"/>
  <c r="W897" i="2"/>
  <c r="X897" i="2" s="1"/>
  <c r="Y897" i="2" s="1"/>
  <c r="W862" i="2"/>
  <c r="X862" i="2" s="1"/>
  <c r="Y862" i="2" s="1"/>
  <c r="N961" i="2"/>
  <c r="M961" i="2"/>
  <c r="N963" i="2"/>
  <c r="M963" i="2"/>
  <c r="M962" i="2" s="1"/>
  <c r="O961" i="2"/>
  <c r="O963" i="2" s="1"/>
  <c r="W961" i="2" l="1"/>
  <c r="W963" i="2"/>
  <c r="X963" i="2" s="1"/>
  <c r="N962" i="2"/>
  <c r="X961" i="2"/>
  <c r="G949" i="2"/>
  <c r="P949" i="2"/>
  <c r="N736" i="2"/>
  <c r="M736" i="2"/>
  <c r="O736" i="2"/>
  <c r="F736" i="2"/>
  <c r="W953" i="2" l="1"/>
  <c r="X953" i="2" s="1"/>
  <c r="Y953" i="2" s="1"/>
  <c r="F662" i="2"/>
  <c r="F665" i="2" l="1"/>
  <c r="T665" i="2" s="1"/>
  <c r="F663" i="2"/>
  <c r="F661" i="2"/>
  <c r="F660" i="2"/>
  <c r="F659" i="2"/>
  <c r="F658" i="2"/>
  <c r="F657" i="2"/>
  <c r="F656" i="2"/>
  <c r="F655" i="2"/>
  <c r="F654" i="2"/>
  <c r="U680" i="2"/>
  <c r="V680" i="2"/>
  <c r="V861" i="2"/>
  <c r="V827" i="2"/>
  <c r="I881" i="2" l="1"/>
  <c r="I888" i="2"/>
  <c r="I895" i="2"/>
  <c r="U888" i="2"/>
  <c r="U895" i="2"/>
  <c r="U881" i="2"/>
  <c r="U860" i="2"/>
  <c r="J888" i="2"/>
  <c r="J895" i="2"/>
  <c r="J881" i="2"/>
  <c r="N888" i="2"/>
  <c r="N895" i="2"/>
  <c r="N881" i="2"/>
  <c r="R888" i="2"/>
  <c r="R895" i="2"/>
  <c r="R881" i="2"/>
  <c r="Q895" i="2"/>
  <c r="Q881" i="2"/>
  <c r="Q888" i="2"/>
  <c r="G895" i="2"/>
  <c r="G881" i="2"/>
  <c r="G888" i="2"/>
  <c r="K895" i="2"/>
  <c r="K881" i="2"/>
  <c r="K888" i="2"/>
  <c r="O895" i="2"/>
  <c r="O881" i="2"/>
  <c r="O888" i="2"/>
  <c r="S895" i="2"/>
  <c r="S881" i="2"/>
  <c r="S888" i="2"/>
  <c r="M888" i="2"/>
  <c r="M895" i="2"/>
  <c r="M881" i="2"/>
  <c r="H888" i="2"/>
  <c r="H895" i="2"/>
  <c r="H881" i="2"/>
  <c r="L881" i="2"/>
  <c r="L888" i="2"/>
  <c r="L895" i="2"/>
  <c r="P888" i="2"/>
  <c r="P895" i="2"/>
  <c r="P881" i="2"/>
  <c r="T860" i="2"/>
  <c r="T888" i="2"/>
  <c r="T895" i="2"/>
  <c r="T881" i="2"/>
  <c r="I874" i="2"/>
  <c r="I867" i="2"/>
  <c r="I860" i="2"/>
  <c r="Q874" i="2"/>
  <c r="Q867" i="2"/>
  <c r="Q860" i="2"/>
  <c r="J867" i="2"/>
  <c r="J874" i="2"/>
  <c r="J860" i="2"/>
  <c r="N867" i="2"/>
  <c r="N874" i="2"/>
  <c r="N860" i="2"/>
  <c r="R867" i="2"/>
  <c r="R874" i="2"/>
  <c r="R860" i="2"/>
  <c r="G867" i="2"/>
  <c r="G874" i="2"/>
  <c r="G860" i="2"/>
  <c r="K867" i="2"/>
  <c r="K874" i="2"/>
  <c r="K860" i="2"/>
  <c r="O867" i="2"/>
  <c r="O874" i="2"/>
  <c r="O860" i="2"/>
  <c r="S867" i="2"/>
  <c r="S874" i="2"/>
  <c r="S860" i="2"/>
  <c r="M874" i="2"/>
  <c r="M867" i="2"/>
  <c r="M860" i="2"/>
  <c r="U874" i="2"/>
  <c r="U867" i="2"/>
  <c r="H874" i="2"/>
  <c r="H867" i="2"/>
  <c r="H860" i="2"/>
  <c r="L874" i="2"/>
  <c r="L867" i="2"/>
  <c r="L860" i="2"/>
  <c r="P874" i="2"/>
  <c r="P867" i="2"/>
  <c r="P860" i="2"/>
  <c r="T874" i="2"/>
  <c r="T867" i="2"/>
  <c r="W857" i="2"/>
  <c r="W860" i="2" l="1"/>
  <c r="W867" i="2"/>
  <c r="W874" i="2"/>
  <c r="H856" i="2" l="1"/>
  <c r="U854" i="2"/>
  <c r="T854" i="2"/>
  <c r="S854" i="2"/>
  <c r="R854" i="2"/>
  <c r="Q854" i="2"/>
  <c r="P854" i="2"/>
  <c r="M854" i="2"/>
  <c r="L854" i="2"/>
  <c r="K854" i="2"/>
  <c r="J854" i="2"/>
  <c r="I854" i="2"/>
  <c r="H854" i="2"/>
  <c r="G856" i="2" l="1"/>
  <c r="G854" i="2"/>
  <c r="W853" i="2"/>
  <c r="T856" i="2"/>
  <c r="I856" i="2"/>
  <c r="U856" i="2"/>
  <c r="O839" i="2"/>
  <c r="N839" i="2"/>
  <c r="M839" i="2"/>
  <c r="K839" i="2"/>
  <c r="W854" i="2" l="1"/>
  <c r="X854" i="2" s="1"/>
  <c r="Y854" i="2" s="1"/>
  <c r="U831" i="2"/>
  <c r="U827" i="2"/>
  <c r="T827" i="2"/>
  <c r="P827" i="2"/>
  <c r="V722" i="2"/>
  <c r="V721" i="2"/>
  <c r="V720" i="2"/>
  <c r="V719" i="2"/>
  <c r="U832" i="2" l="1"/>
  <c r="U842" i="2"/>
  <c r="U843" i="2" s="1"/>
  <c r="U844" i="2" s="1"/>
  <c r="W825" i="2"/>
  <c r="U836" i="2"/>
  <c r="U847" i="2" s="1"/>
  <c r="U835" i="2"/>
  <c r="U846" i="2" s="1"/>
  <c r="U833" i="2"/>
  <c r="R856" i="2"/>
  <c r="Q856" i="2"/>
  <c r="W855" i="2" l="1"/>
  <c r="X855" i="2" s="1"/>
  <c r="Y855" i="2" s="1"/>
  <c r="P856" i="2"/>
  <c r="W856" i="2" s="1"/>
  <c r="X856" i="2" s="1"/>
  <c r="Y856" i="2" s="1"/>
  <c r="U838" i="2"/>
  <c r="U849" i="2" s="1"/>
  <c r="U837" i="2"/>
  <c r="U848" i="2" s="1"/>
  <c r="U839" i="2" l="1"/>
  <c r="U850" i="2" s="1"/>
  <c r="V566" i="1" l="1"/>
  <c r="W566" i="1"/>
  <c r="Y566" i="1"/>
  <c r="X566" i="1"/>
  <c r="X564" i="1" l="1"/>
  <c r="Y564" i="1"/>
  <c r="W564" i="1"/>
  <c r="V564" i="1"/>
  <c r="Q827" i="2" l="1"/>
  <c r="O827" i="2" l="1"/>
  <c r="K827" i="2"/>
  <c r="N827" i="2"/>
  <c r="X853" i="2"/>
  <c r="Y853" i="2" s="1"/>
  <c r="E799" i="2"/>
  <c r="W826" i="2" l="1"/>
  <c r="X826" i="2" s="1"/>
  <c r="Y826" i="2" s="1"/>
  <c r="K950" i="2"/>
  <c r="K951" i="2"/>
  <c r="K949" i="2"/>
  <c r="K948" i="2"/>
  <c r="I949" i="2"/>
  <c r="N949" i="2"/>
  <c r="N948" i="2"/>
  <c r="N951" i="2"/>
  <c r="N950" i="2"/>
  <c r="W830" i="2"/>
  <c r="X830" i="2" s="1"/>
  <c r="Y830" i="2" s="1"/>
  <c r="O948" i="2"/>
  <c r="O951" i="2"/>
  <c r="O950" i="2"/>
  <c r="O949" i="2"/>
  <c r="I950" i="2"/>
  <c r="F895" i="2"/>
  <c r="F860" i="2"/>
  <c r="X860" i="2" s="1"/>
  <c r="Y860" i="2" s="1"/>
  <c r="F867" i="2"/>
  <c r="X867" i="2" s="1"/>
  <c r="Y867" i="2" s="1"/>
  <c r="F874" i="2"/>
  <c r="X874" i="2" s="1"/>
  <c r="Y874" i="2" s="1"/>
  <c r="F881" i="2"/>
  <c r="F888" i="2"/>
  <c r="X857" i="2"/>
  <c r="Y857" i="2" s="1"/>
  <c r="M950" i="2"/>
  <c r="M951" i="2"/>
  <c r="M948" i="2"/>
  <c r="M949" i="2"/>
  <c r="I951" i="2"/>
  <c r="I948" i="2"/>
  <c r="L951" i="2"/>
  <c r="L949" i="2"/>
  <c r="L948" i="2"/>
  <c r="L950" i="2"/>
  <c r="J951" i="2"/>
  <c r="J949" i="2"/>
  <c r="J948" i="2"/>
  <c r="J950" i="2"/>
  <c r="X825" i="2"/>
  <c r="Y825" i="2" s="1"/>
  <c r="F735" i="2"/>
  <c r="W955" i="2"/>
  <c r="R831" i="2"/>
  <c r="Q831" i="2"/>
  <c r="K831" i="2"/>
  <c r="I831" i="2"/>
  <c r="I832" i="2" s="1"/>
  <c r="I833" i="2" s="1"/>
  <c r="S831" i="2"/>
  <c r="O831" i="2"/>
  <c r="J831" i="2"/>
  <c r="G831" i="2"/>
  <c r="L827" i="2"/>
  <c r="I827" i="2"/>
  <c r="H827" i="2"/>
  <c r="S827" i="2"/>
  <c r="R827" i="2"/>
  <c r="M827" i="2"/>
  <c r="J827" i="2"/>
  <c r="G827" i="2"/>
  <c r="F799" i="2"/>
  <c r="F743" i="2"/>
  <c r="F737" i="2"/>
  <c r="X722" i="2"/>
  <c r="Y722" i="2" s="1"/>
  <c r="X721" i="2"/>
  <c r="Y721" i="2" s="1"/>
  <c r="X720" i="2"/>
  <c r="Y720" i="2" s="1"/>
  <c r="X719" i="2"/>
  <c r="Y719" i="2" s="1"/>
  <c r="T680" i="2"/>
  <c r="S680" i="2"/>
  <c r="R680" i="2"/>
  <c r="Q680" i="2"/>
  <c r="P680" i="2"/>
  <c r="O680" i="2"/>
  <c r="N680" i="2"/>
  <c r="M680" i="2"/>
  <c r="L680" i="2"/>
  <c r="K680" i="2"/>
  <c r="J680" i="2"/>
  <c r="I680" i="2"/>
  <c r="H680" i="2"/>
  <c r="G680" i="2"/>
  <c r="F651" i="2"/>
  <c r="W950" i="2" l="1"/>
  <c r="X950" i="2" s="1"/>
  <c r="Y950" i="2" s="1"/>
  <c r="W951" i="2"/>
  <c r="X951" i="2" s="1"/>
  <c r="Y951" i="2" s="1"/>
  <c r="W736" i="2"/>
  <c r="X736" i="2" s="1"/>
  <c r="Y736" i="2" s="1"/>
  <c r="X955" i="2"/>
  <c r="Y955" i="2" s="1"/>
  <c r="W827" i="2"/>
  <c r="X827" i="2" s="1"/>
  <c r="Y827" i="2" s="1"/>
  <c r="X680" i="2"/>
  <c r="Y680" i="2" s="1"/>
  <c r="S832" i="2"/>
  <c r="S835" i="2" s="1"/>
  <c r="K832" i="2"/>
  <c r="K833" i="2" s="1"/>
  <c r="P831" i="2"/>
  <c r="H831" i="2"/>
  <c r="H832" i="2" s="1"/>
  <c r="L831" i="2"/>
  <c r="L832" i="2" s="1"/>
  <c r="L833" i="2" s="1"/>
  <c r="T831" i="2"/>
  <c r="F668" i="2"/>
  <c r="I836" i="2"/>
  <c r="I835" i="2"/>
  <c r="Q832" i="2"/>
  <c r="M831" i="2"/>
  <c r="R832" i="2"/>
  <c r="G832" i="2"/>
  <c r="J832" i="2"/>
  <c r="J833" i="2" s="1"/>
  <c r="N831" i="2"/>
  <c r="O832" i="2"/>
  <c r="O833" i="2" s="1"/>
  <c r="K835" i="2" l="1"/>
  <c r="K836" i="2"/>
  <c r="K838" i="2" s="1"/>
  <c r="L835" i="2"/>
  <c r="W831" i="2"/>
  <c r="X831" i="2" s="1"/>
  <c r="Y831" i="2" s="1"/>
  <c r="L836" i="2"/>
  <c r="S836" i="2"/>
  <c r="S833" i="2"/>
  <c r="Q836" i="2"/>
  <c r="Q833" i="2"/>
  <c r="I838" i="2"/>
  <c r="I849" i="2" s="1"/>
  <c r="I837" i="2"/>
  <c r="T832" i="2"/>
  <c r="T842" i="2"/>
  <c r="T843" i="2" s="1"/>
  <c r="T844" i="2" s="1"/>
  <c r="P832" i="2"/>
  <c r="P842" i="2"/>
  <c r="R836" i="2"/>
  <c r="R835" i="2"/>
  <c r="R833" i="2"/>
  <c r="I846" i="2"/>
  <c r="O836" i="2"/>
  <c r="O835" i="2"/>
  <c r="N832" i="2"/>
  <c r="N833" i="2" s="1"/>
  <c r="H835" i="2"/>
  <c r="H833" i="2"/>
  <c r="H836" i="2"/>
  <c r="I847" i="2"/>
  <c r="G836" i="2"/>
  <c r="G835" i="2"/>
  <c r="G833" i="2"/>
  <c r="J836" i="2"/>
  <c r="J835" i="2"/>
  <c r="M832" i="2"/>
  <c r="Q835" i="2"/>
  <c r="F716" i="2"/>
  <c r="F703" i="2"/>
  <c r="P846" i="2" l="1"/>
  <c r="P847" i="2" s="1"/>
  <c r="P843" i="2"/>
  <c r="P844" i="2" s="1"/>
  <c r="L838" i="2"/>
  <c r="L837" i="2"/>
  <c r="L839" i="2" s="1"/>
  <c r="W949" i="2"/>
  <c r="X949" i="2" s="1"/>
  <c r="Y949" i="2" s="1"/>
  <c r="W832" i="2"/>
  <c r="X832" i="2" s="1"/>
  <c r="Y832" i="2" s="1"/>
  <c r="W842" i="2"/>
  <c r="X842" i="2" s="1"/>
  <c r="Y842" i="2" s="1"/>
  <c r="I839" i="2"/>
  <c r="I850" i="2" s="1"/>
  <c r="H837" i="2"/>
  <c r="H838" i="2"/>
  <c r="P836" i="2"/>
  <c r="P833" i="2"/>
  <c r="T836" i="2"/>
  <c r="T833" i="2"/>
  <c r="Q837" i="2"/>
  <c r="Q838" i="2"/>
  <c r="J838" i="2"/>
  <c r="J837" i="2"/>
  <c r="R838" i="2"/>
  <c r="R837" i="2"/>
  <c r="S838" i="2"/>
  <c r="S837" i="2"/>
  <c r="M833" i="2"/>
  <c r="G837" i="2"/>
  <c r="G839" i="2" s="1"/>
  <c r="G838" i="2"/>
  <c r="P835" i="2"/>
  <c r="T835" i="2"/>
  <c r="F724" i="2"/>
  <c r="I848" i="2"/>
  <c r="N836" i="2"/>
  <c r="N835" i="2"/>
  <c r="M835" i="2"/>
  <c r="M836" i="2"/>
  <c r="P849" i="2" l="1"/>
  <c r="P848" i="2"/>
  <c r="P850" i="2"/>
  <c r="W836" i="2"/>
  <c r="X836" i="2" s="1"/>
  <c r="Y836" i="2" s="1"/>
  <c r="W835" i="2"/>
  <c r="X835" i="2" s="1"/>
  <c r="Y835" i="2" s="1"/>
  <c r="W843" i="2"/>
  <c r="X843" i="2" s="1"/>
  <c r="Y843" i="2" s="1"/>
  <c r="W833" i="2"/>
  <c r="X833" i="2" s="1"/>
  <c r="Y833" i="2" s="1"/>
  <c r="J839" i="2"/>
  <c r="R839" i="2"/>
  <c r="H839" i="2"/>
  <c r="S839" i="2"/>
  <c r="M838" i="2"/>
  <c r="Q839" i="2"/>
  <c r="P837" i="2"/>
  <c r="P838" i="2"/>
  <c r="T837" i="2"/>
  <c r="T838" i="2"/>
  <c r="T847" i="2"/>
  <c r="T846" i="2"/>
  <c r="F762" i="2"/>
  <c r="F779" i="2"/>
  <c r="W847" i="2" l="1"/>
  <c r="X847" i="2" s="1"/>
  <c r="Y847" i="2" s="1"/>
  <c r="W838" i="2"/>
  <c r="X838" i="2" s="1"/>
  <c r="Y838" i="2" s="1"/>
  <c r="W846" i="2"/>
  <c r="X846" i="2" s="1"/>
  <c r="Y846" i="2" s="1"/>
  <c r="W844" i="2"/>
  <c r="X844" i="2" s="1"/>
  <c r="Y844" i="2" s="1"/>
  <c r="W837" i="2"/>
  <c r="X837" i="2" s="1"/>
  <c r="Y837" i="2" s="1"/>
  <c r="T839" i="2"/>
  <c r="T850" i="2" s="1"/>
  <c r="P839" i="2"/>
  <c r="T848" i="2"/>
  <c r="F788" i="2"/>
  <c r="W848" i="2" l="1"/>
  <c r="X848" i="2" s="1"/>
  <c r="Y848" i="2" s="1"/>
  <c r="W850" i="2"/>
  <c r="X850" i="2" s="1"/>
  <c r="Y850" i="2" s="1"/>
  <c r="W839" i="2"/>
  <c r="X839" i="2" s="1"/>
  <c r="Y839" i="2" s="1"/>
  <c r="T849" i="2"/>
  <c r="W849" i="2" s="1"/>
  <c r="X849" i="2" s="1"/>
  <c r="Y849" i="2" s="1"/>
  <c r="F117" i="1" l="1"/>
  <c r="F100" i="1" l="1"/>
  <c r="F101" i="1"/>
  <c r="F102" i="1"/>
  <c r="F36" i="1"/>
  <c r="F37" i="1"/>
  <c r="F29" i="1"/>
  <c r="F24" i="1"/>
  <c r="F20" i="1"/>
  <c r="F143" i="1" l="1"/>
  <c r="F138" i="1"/>
  <c r="F137" i="1"/>
  <c r="F136" i="1"/>
  <c r="F135" i="1"/>
  <c r="F134" i="1"/>
  <c r="F133" i="1"/>
  <c r="F128" i="1"/>
  <c r="F126" i="1"/>
  <c r="F116" i="1"/>
  <c r="F104" i="1"/>
  <c r="F107" i="1"/>
  <c r="F103" i="1"/>
  <c r="F74" i="1"/>
  <c r="F73" i="1"/>
  <c r="F72" i="1"/>
  <c r="F62" i="1"/>
  <c r="F61" i="1"/>
  <c r="F60" i="1"/>
  <c r="AC60" i="1"/>
  <c r="AB60" i="1"/>
  <c r="Y60" i="1"/>
  <c r="X60" i="1"/>
  <c r="W60" i="1"/>
  <c r="T60" i="1"/>
  <c r="F43" i="1"/>
  <c r="F834" i="2" s="1"/>
  <c r="P834" i="2" s="1"/>
  <c r="F42" i="1"/>
  <c r="F40" i="1"/>
  <c r="F39" i="1"/>
  <c r="F38" i="1"/>
  <c r="F35" i="1"/>
  <c r="F30" i="1"/>
  <c r="F10" i="1"/>
  <c r="F9" i="1"/>
  <c r="F8" i="1"/>
  <c r="W834" i="2" l="1"/>
  <c r="X834" i="2" s="1"/>
  <c r="Y834" i="2" s="1"/>
  <c r="P845" i="2"/>
  <c r="W845" i="2" s="1"/>
  <c r="X845" i="2" s="1"/>
  <c r="Y845" i="2" s="1"/>
  <c r="I188" i="1" l="1"/>
  <c r="AJ177" i="1"/>
  <c r="AH177" i="1"/>
  <c r="AF177" i="1"/>
  <c r="AD177" i="1"/>
  <c r="AC177" i="1"/>
  <c r="AB177" i="1"/>
  <c r="AA177" i="1"/>
  <c r="Z177" i="1"/>
  <c r="Y177" i="1"/>
  <c r="X177" i="1"/>
  <c r="W177" i="1"/>
  <c r="V177" i="1"/>
  <c r="U177" i="1"/>
  <c r="T177" i="1"/>
  <c r="S177" i="1"/>
  <c r="Q177" i="1"/>
  <c r="P177" i="1"/>
  <c r="O177" i="1"/>
  <c r="M177" i="1"/>
  <c r="L177" i="1"/>
  <c r="K177" i="1"/>
  <c r="J177" i="1"/>
  <c r="H158" i="1"/>
  <c r="AJ158" i="1"/>
  <c r="AH158" i="1"/>
  <c r="AF158" i="1"/>
  <c r="AD158" i="1"/>
  <c r="AC158" i="1"/>
  <c r="AB158" i="1"/>
  <c r="AA158" i="1"/>
  <c r="Z158" i="1"/>
  <c r="Y158" i="1"/>
  <c r="X158" i="1"/>
  <c r="W158" i="1"/>
  <c r="V158" i="1"/>
  <c r="U158" i="1"/>
  <c r="T158" i="1"/>
  <c r="S158" i="1"/>
  <c r="Q158" i="1"/>
  <c r="P158" i="1"/>
  <c r="O158" i="1"/>
  <c r="M158" i="1"/>
  <c r="L158" i="1"/>
  <c r="K158" i="1"/>
  <c r="I158" i="1"/>
  <c r="J158" i="1" l="1"/>
  <c r="AK158" i="1" s="1"/>
  <c r="AL158" i="1" s="1"/>
  <c r="H177" i="1"/>
  <c r="I177" i="1"/>
  <c r="E1" i="2"/>
  <c r="F1" i="2" s="1"/>
  <c r="G1" i="2" s="1"/>
  <c r="G12" i="1"/>
  <c r="I16" i="1"/>
  <c r="H16" i="1"/>
  <c r="K16" i="1"/>
  <c r="L16" i="1"/>
  <c r="M16" i="1"/>
  <c r="O16" i="1"/>
  <c r="P16" i="1"/>
  <c r="Q16" i="1"/>
  <c r="S16" i="1"/>
  <c r="T16" i="1"/>
  <c r="U16" i="1"/>
  <c r="V16" i="1"/>
  <c r="W16" i="1"/>
  <c r="X16" i="1"/>
  <c r="Y16" i="1"/>
  <c r="Z16" i="1"/>
  <c r="AA16" i="1"/>
  <c r="AB16" i="1"/>
  <c r="AC16" i="1"/>
  <c r="AD16" i="1"/>
  <c r="AF16" i="1"/>
  <c r="AH16" i="1"/>
  <c r="AJ16" i="1"/>
  <c r="K20" i="1"/>
  <c r="L20" i="1"/>
  <c r="M20" i="1"/>
  <c r="O20" i="1"/>
  <c r="P20" i="1"/>
  <c r="Q20" i="1"/>
  <c r="S20" i="1"/>
  <c r="T20" i="1"/>
  <c r="U20" i="1"/>
  <c r="V20" i="1"/>
  <c r="W20" i="1"/>
  <c r="X20" i="1"/>
  <c r="Y20" i="1"/>
  <c r="Z20" i="1"/>
  <c r="AA20" i="1"/>
  <c r="AB20" i="1"/>
  <c r="AC20" i="1"/>
  <c r="AD20" i="1"/>
  <c r="AF20" i="1"/>
  <c r="AH20" i="1"/>
  <c r="AJ20" i="1"/>
  <c r="K24" i="1"/>
  <c r="L24" i="1"/>
  <c r="M24" i="1"/>
  <c r="O24" i="1"/>
  <c r="P24" i="1"/>
  <c r="Q24" i="1"/>
  <c r="S24" i="1"/>
  <c r="T24" i="1"/>
  <c r="U24" i="1"/>
  <c r="V24" i="1"/>
  <c r="W24" i="1"/>
  <c r="X24" i="1"/>
  <c r="Y24" i="1"/>
  <c r="Z24" i="1"/>
  <c r="AA24" i="1"/>
  <c r="AB24" i="1"/>
  <c r="AC24" i="1"/>
  <c r="AD24" i="1"/>
  <c r="AF24" i="1"/>
  <c r="AH24" i="1"/>
  <c r="AJ24" i="1"/>
  <c r="H29" i="1"/>
  <c r="I29" i="1"/>
  <c r="J29" i="1"/>
  <c r="K29" i="1"/>
  <c r="L29" i="1"/>
  <c r="M29" i="1"/>
  <c r="S29" i="1"/>
  <c r="T29" i="1"/>
  <c r="U29" i="1"/>
  <c r="V29" i="1"/>
  <c r="W29" i="1"/>
  <c r="X29" i="1"/>
  <c r="Y29" i="1"/>
  <c r="Z29" i="1"/>
  <c r="AA29" i="1"/>
  <c r="AB29" i="1"/>
  <c r="AC29" i="1"/>
  <c r="AD29" i="1"/>
  <c r="AF29" i="1"/>
  <c r="AH29" i="1"/>
  <c r="AJ29" i="1"/>
  <c r="H30" i="1"/>
  <c r="I30" i="1"/>
  <c r="J30" i="1"/>
  <c r="K30" i="1"/>
  <c r="L30" i="1"/>
  <c r="M30" i="1"/>
  <c r="S30" i="1"/>
  <c r="T30" i="1"/>
  <c r="U30" i="1"/>
  <c r="V30" i="1"/>
  <c r="W30" i="1"/>
  <c r="X30" i="1"/>
  <c r="Y30" i="1"/>
  <c r="Z30" i="1"/>
  <c r="AA30" i="1"/>
  <c r="AB30" i="1"/>
  <c r="AC30" i="1"/>
  <c r="AD30" i="1"/>
  <c r="AF30" i="1"/>
  <c r="AH30" i="1"/>
  <c r="AJ30" i="1"/>
  <c r="H35" i="1"/>
  <c r="H447" i="1" s="1"/>
  <c r="I35" i="1"/>
  <c r="I251" i="1" s="1"/>
  <c r="J35" i="1"/>
  <c r="K35" i="1"/>
  <c r="K448" i="1" s="1"/>
  <c r="L35" i="1"/>
  <c r="L269" i="1" s="1"/>
  <c r="M35" i="1"/>
  <c r="M269" i="1" s="1"/>
  <c r="O35" i="1"/>
  <c r="O448" i="1" s="1"/>
  <c r="P35" i="1"/>
  <c r="P447" i="1" s="1"/>
  <c r="Q35" i="1"/>
  <c r="Q429" i="1" s="1"/>
  <c r="S35" i="1"/>
  <c r="S251" i="1" s="1"/>
  <c r="U35" i="1"/>
  <c r="V35" i="1"/>
  <c r="V252" i="1" s="1"/>
  <c r="W35" i="1"/>
  <c r="X35" i="1"/>
  <c r="X269" i="1" s="1"/>
  <c r="Y35" i="1"/>
  <c r="Y251" i="1" s="1"/>
  <c r="Z35" i="1"/>
  <c r="Z429" i="1" s="1"/>
  <c r="AA35" i="1"/>
  <c r="AA429" i="1" s="1"/>
  <c r="AB35" i="1"/>
  <c r="AB251" i="1" s="1"/>
  <c r="AC35" i="1"/>
  <c r="AD35" i="1"/>
  <c r="AD430" i="1" s="1"/>
  <c r="AF35" i="1"/>
  <c r="AF269" i="1" s="1"/>
  <c r="AH35" i="1"/>
  <c r="AH269" i="1" s="1"/>
  <c r="AJ35" i="1"/>
  <c r="AJ251" i="1" s="1"/>
  <c r="H36" i="1"/>
  <c r="I36" i="1"/>
  <c r="I271" i="1" s="1"/>
  <c r="J36" i="1"/>
  <c r="K36" i="1"/>
  <c r="L36" i="1"/>
  <c r="M36" i="1"/>
  <c r="M431" i="1" s="1"/>
  <c r="O36" i="1"/>
  <c r="O253" i="1" s="1"/>
  <c r="P36" i="1"/>
  <c r="P449" i="1" s="1"/>
  <c r="Q36" i="1"/>
  <c r="S36" i="1"/>
  <c r="T36" i="1"/>
  <c r="U36" i="1"/>
  <c r="U431" i="1" s="1"/>
  <c r="Z36" i="1"/>
  <c r="Z431" i="1" s="1"/>
  <c r="AA36" i="1"/>
  <c r="AA271" i="1" s="1"/>
  <c r="AB36" i="1"/>
  <c r="AB449" i="1" s="1"/>
  <c r="AC36" i="1"/>
  <c r="AC271" i="1" s="1"/>
  <c r="AD36" i="1"/>
  <c r="AF36" i="1"/>
  <c r="AH36" i="1"/>
  <c r="AH449" i="1" s="1"/>
  <c r="AJ36" i="1"/>
  <c r="AJ449" i="1" s="1"/>
  <c r="H37" i="1"/>
  <c r="H272" i="1" s="1"/>
  <c r="I37" i="1"/>
  <c r="I272" i="1" s="1"/>
  <c r="J37" i="1"/>
  <c r="J450" i="1" s="1"/>
  <c r="K37" i="1"/>
  <c r="L37" i="1"/>
  <c r="L450" i="1" s="1"/>
  <c r="M37" i="1"/>
  <c r="O37" i="1"/>
  <c r="P37" i="1"/>
  <c r="P432" i="1" s="1"/>
  <c r="Q37" i="1"/>
  <c r="Q254" i="1" s="1"/>
  <c r="S37" i="1"/>
  <c r="S254" i="1" s="1"/>
  <c r="T37" i="1"/>
  <c r="T272" i="1" s="1"/>
  <c r="U37" i="1"/>
  <c r="Z37" i="1"/>
  <c r="Z254" i="1" s="1"/>
  <c r="AA37" i="1"/>
  <c r="AB37" i="1"/>
  <c r="AB272" i="1" s="1"/>
  <c r="AC37" i="1"/>
  <c r="AD37" i="1"/>
  <c r="AD254" i="1" s="1"/>
  <c r="AF37" i="1"/>
  <c r="AF272" i="1" s="1"/>
  <c r="AH37" i="1"/>
  <c r="AH450" i="1" s="1"/>
  <c r="AJ37" i="1"/>
  <c r="AA38" i="1"/>
  <c r="H38" i="1"/>
  <c r="H273" i="1" s="1"/>
  <c r="I38" i="1"/>
  <c r="I273" i="1" s="1"/>
  <c r="J38" i="1"/>
  <c r="J273" i="1" s="1"/>
  <c r="K38" i="1"/>
  <c r="K273" i="1" s="1"/>
  <c r="L38" i="1"/>
  <c r="L273" i="1" s="1"/>
  <c r="M38" i="1"/>
  <c r="M273" i="1" s="1"/>
  <c r="O38" i="1"/>
  <c r="P38" i="1"/>
  <c r="P273" i="1" s="1"/>
  <c r="Q38" i="1"/>
  <c r="Q273" i="1" s="1"/>
  <c r="S38" i="1"/>
  <c r="S451" i="1" s="1"/>
  <c r="T38" i="1"/>
  <c r="T273" i="1" s="1"/>
  <c r="U38" i="1"/>
  <c r="U273" i="1" s="1"/>
  <c r="V38" i="1"/>
  <c r="W38" i="1"/>
  <c r="X38" i="1"/>
  <c r="X273" i="1" s="1"/>
  <c r="Y38" i="1"/>
  <c r="AB38" i="1"/>
  <c r="AC38" i="1"/>
  <c r="AC273" i="1" s="1"/>
  <c r="AD38" i="1"/>
  <c r="AD273" i="1" s="1"/>
  <c r="AF38" i="1"/>
  <c r="AF273" i="1" s="1"/>
  <c r="AH38" i="1"/>
  <c r="AH273" i="1" s="1"/>
  <c r="AJ38" i="1"/>
  <c r="AJ451" i="1" s="1"/>
  <c r="H39" i="1"/>
  <c r="I39" i="1"/>
  <c r="J39" i="1"/>
  <c r="K39" i="1"/>
  <c r="L39" i="1"/>
  <c r="M39" i="1"/>
  <c r="O39" i="1"/>
  <c r="P39" i="1"/>
  <c r="Q39" i="1"/>
  <c r="S39" i="1"/>
  <c r="T39" i="1"/>
  <c r="U39" i="1"/>
  <c r="V39" i="1"/>
  <c r="W39" i="1"/>
  <c r="X39" i="1"/>
  <c r="Y39" i="1"/>
  <c r="AB39" i="1"/>
  <c r="AC39" i="1"/>
  <c r="AD39" i="1"/>
  <c r="AF39" i="1"/>
  <c r="AH39" i="1"/>
  <c r="AJ39" i="1"/>
  <c r="H40" i="1"/>
  <c r="I40" i="1"/>
  <c r="J40" i="1"/>
  <c r="K40" i="1"/>
  <c r="L40" i="1"/>
  <c r="M40" i="1"/>
  <c r="O40" i="1"/>
  <c r="P40" i="1"/>
  <c r="Q40" i="1"/>
  <c r="S40" i="1"/>
  <c r="T40" i="1"/>
  <c r="U40" i="1"/>
  <c r="V40" i="1"/>
  <c r="W40" i="1"/>
  <c r="X40" i="1"/>
  <c r="Y40" i="1"/>
  <c r="Z40" i="1"/>
  <c r="AA40" i="1"/>
  <c r="AC40" i="1"/>
  <c r="AD40" i="1"/>
  <c r="AF40" i="1"/>
  <c r="AH40" i="1"/>
  <c r="AJ40" i="1"/>
  <c r="H41" i="1"/>
  <c r="H453" i="1" s="1"/>
  <c r="I41" i="1"/>
  <c r="J41" i="1"/>
  <c r="J453" i="1" s="1"/>
  <c r="K41" i="1"/>
  <c r="K453" i="1" s="1"/>
  <c r="L41" i="1"/>
  <c r="L256" i="1" s="1"/>
  <c r="M41" i="1"/>
  <c r="M256" i="1" s="1"/>
  <c r="O41" i="1"/>
  <c r="O275" i="1" s="1"/>
  <c r="P41" i="1"/>
  <c r="P434" i="1" s="1"/>
  <c r="Q41" i="1"/>
  <c r="Q256" i="1" s="1"/>
  <c r="S41" i="1"/>
  <c r="S275" i="1" s="1"/>
  <c r="T41" i="1"/>
  <c r="T275" i="1" s="1"/>
  <c r="U41" i="1"/>
  <c r="V41" i="1"/>
  <c r="V453" i="1" s="1"/>
  <c r="W41" i="1"/>
  <c r="X41" i="1"/>
  <c r="X453" i="1" s="1"/>
  <c r="Y41" i="1"/>
  <c r="Y453" i="1" s="1"/>
  <c r="Z41" i="1"/>
  <c r="Z434" i="1" s="1"/>
  <c r="AA41" i="1"/>
  <c r="AB41" i="1"/>
  <c r="AB453" i="1" s="1"/>
  <c r="AD41" i="1"/>
  <c r="AD453" i="1" s="1"/>
  <c r="AF41" i="1"/>
  <c r="AH41" i="1"/>
  <c r="AH275" i="1" s="1"/>
  <c r="AJ41" i="1"/>
  <c r="AJ275" i="1" s="1"/>
  <c r="H42" i="1"/>
  <c r="I42" i="1"/>
  <c r="J42" i="1"/>
  <c r="J258" i="1" s="1"/>
  <c r="K42" i="1"/>
  <c r="K433" i="1" s="1"/>
  <c r="L42" i="1"/>
  <c r="L436" i="1" s="1"/>
  <c r="M42" i="1"/>
  <c r="M258" i="1" s="1"/>
  <c r="O42" i="1"/>
  <c r="O258" i="1" s="1"/>
  <c r="P42" i="1"/>
  <c r="P436" i="1" s="1"/>
  <c r="Q42" i="1"/>
  <c r="S42" i="1"/>
  <c r="S436" i="1" s="1"/>
  <c r="T42" i="1"/>
  <c r="T436" i="1" s="1"/>
  <c r="U42" i="1"/>
  <c r="U258" i="1" s="1"/>
  <c r="V42" i="1"/>
  <c r="V258" i="1" s="1"/>
  <c r="W42" i="1"/>
  <c r="W436" i="1" s="1"/>
  <c r="X42" i="1"/>
  <c r="X436" i="1" s="1"/>
  <c r="Y42" i="1"/>
  <c r="Z42" i="1"/>
  <c r="AA42" i="1"/>
  <c r="AA258" i="1" s="1"/>
  <c r="AB42" i="1"/>
  <c r="AB433" i="1" s="1"/>
  <c r="AC42" i="1"/>
  <c r="AC433" i="1" s="1"/>
  <c r="AF42" i="1"/>
  <c r="AF258" i="1" s="1"/>
  <c r="AH42" i="1"/>
  <c r="AH258" i="1" s="1"/>
  <c r="AJ42" i="1"/>
  <c r="AJ258" i="1" s="1"/>
  <c r="H43" i="1"/>
  <c r="H255" i="1" s="1"/>
  <c r="I43" i="1"/>
  <c r="I255" i="1" s="1"/>
  <c r="J43" i="1"/>
  <c r="J255" i="1" s="1"/>
  <c r="K43" i="1"/>
  <c r="K255" i="1" s="1"/>
  <c r="L43" i="1"/>
  <c r="L452" i="1" s="1"/>
  <c r="M43" i="1"/>
  <c r="M255" i="1" s="1"/>
  <c r="O43" i="1"/>
  <c r="O452" i="1" s="1"/>
  <c r="P43" i="1"/>
  <c r="P274" i="1" s="1"/>
  <c r="Q43" i="1"/>
  <c r="S43" i="1"/>
  <c r="S452" i="1" s="1"/>
  <c r="T43" i="1"/>
  <c r="T274" i="1" s="1"/>
  <c r="U43" i="1"/>
  <c r="U452" i="1" s="1"/>
  <c r="V43" i="1"/>
  <c r="V274" i="1" s="1"/>
  <c r="W43" i="1"/>
  <c r="W274" i="1" s="1"/>
  <c r="X43" i="1"/>
  <c r="X274" i="1" s="1"/>
  <c r="Y43" i="1"/>
  <c r="Z43" i="1"/>
  <c r="AA43" i="1"/>
  <c r="AA255" i="1" s="1"/>
  <c r="AB43" i="1"/>
  <c r="AB452" i="1" s="1"/>
  <c r="AC43" i="1"/>
  <c r="AF43" i="1"/>
  <c r="AF255" i="1" s="1"/>
  <c r="AH43" i="1"/>
  <c r="AH274" i="1" s="1"/>
  <c r="AJ43" i="1"/>
  <c r="AJ274" i="1" s="1"/>
  <c r="K71" i="1"/>
  <c r="L71" i="1"/>
  <c r="M71" i="1"/>
  <c r="O71" i="1"/>
  <c r="P71" i="1"/>
  <c r="Q71" i="1"/>
  <c r="S71" i="1"/>
  <c r="T71" i="1"/>
  <c r="U71" i="1"/>
  <c r="V71" i="1"/>
  <c r="W71" i="1"/>
  <c r="X71" i="1"/>
  <c r="Y71" i="1"/>
  <c r="Z71" i="1"/>
  <c r="AA71" i="1"/>
  <c r="AB71" i="1"/>
  <c r="AC71" i="1"/>
  <c r="AD71" i="1"/>
  <c r="AF71" i="1"/>
  <c r="AH71" i="1"/>
  <c r="AJ71" i="1"/>
  <c r="H72" i="1"/>
  <c r="I72" i="1"/>
  <c r="J72" i="1"/>
  <c r="K72" i="1"/>
  <c r="L72" i="1"/>
  <c r="M72" i="1"/>
  <c r="S72" i="1"/>
  <c r="T72" i="1"/>
  <c r="U72" i="1"/>
  <c r="V72" i="1"/>
  <c r="W72" i="1"/>
  <c r="X72" i="1"/>
  <c r="Y72" i="1"/>
  <c r="Z72" i="1"/>
  <c r="AA72" i="1"/>
  <c r="AB72" i="1"/>
  <c r="AC72" i="1"/>
  <c r="AD72" i="1"/>
  <c r="AF72" i="1"/>
  <c r="AH72" i="1"/>
  <c r="AJ72" i="1"/>
  <c r="H75" i="1"/>
  <c r="I75" i="1"/>
  <c r="J75" i="1"/>
  <c r="K75" i="1"/>
  <c r="L75" i="1"/>
  <c r="M75" i="1"/>
  <c r="O75" i="1"/>
  <c r="P75" i="1"/>
  <c r="Q75" i="1"/>
  <c r="S75" i="1"/>
  <c r="T75" i="1"/>
  <c r="U75" i="1"/>
  <c r="Z75" i="1"/>
  <c r="AA75" i="1"/>
  <c r="AB75" i="1"/>
  <c r="AC75" i="1"/>
  <c r="AD75" i="1"/>
  <c r="AF75" i="1"/>
  <c r="AH75" i="1"/>
  <c r="AJ75" i="1"/>
  <c r="K99" i="1"/>
  <c r="L99" i="1"/>
  <c r="M99" i="1"/>
  <c r="O99" i="1"/>
  <c r="P99" i="1"/>
  <c r="Q99" i="1"/>
  <c r="S99" i="1"/>
  <c r="T99" i="1"/>
  <c r="U99" i="1"/>
  <c r="V99" i="1"/>
  <c r="W99" i="1"/>
  <c r="X99" i="1"/>
  <c r="Y99" i="1"/>
  <c r="Z99" i="1"/>
  <c r="AA99" i="1"/>
  <c r="AB99" i="1"/>
  <c r="AC99" i="1"/>
  <c r="AD99" i="1"/>
  <c r="AF99" i="1"/>
  <c r="AH99" i="1"/>
  <c r="AJ99" i="1"/>
  <c r="K100" i="1"/>
  <c r="L100" i="1"/>
  <c r="M100" i="1"/>
  <c r="O100" i="1"/>
  <c r="P100" i="1"/>
  <c r="Q100" i="1"/>
  <c r="S100" i="1"/>
  <c r="T100" i="1"/>
  <c r="U100" i="1"/>
  <c r="V100" i="1"/>
  <c r="W100" i="1"/>
  <c r="X100" i="1"/>
  <c r="Y100" i="1"/>
  <c r="Z100" i="1"/>
  <c r="AA100" i="1"/>
  <c r="AB100" i="1"/>
  <c r="AC100" i="1"/>
  <c r="AD100" i="1"/>
  <c r="AF100" i="1"/>
  <c r="AH100" i="1"/>
  <c r="AJ100" i="1"/>
  <c r="K101" i="1"/>
  <c r="L101" i="1"/>
  <c r="M101" i="1"/>
  <c r="O101" i="1"/>
  <c r="P101" i="1"/>
  <c r="Q101" i="1"/>
  <c r="S101" i="1"/>
  <c r="T101" i="1"/>
  <c r="U101" i="1"/>
  <c r="V101" i="1"/>
  <c r="W101" i="1"/>
  <c r="X101" i="1"/>
  <c r="Y101" i="1"/>
  <c r="Z101" i="1"/>
  <c r="AA101" i="1"/>
  <c r="AB101" i="1"/>
  <c r="AC101" i="1"/>
  <c r="AD101" i="1"/>
  <c r="AF101" i="1"/>
  <c r="AH101" i="1"/>
  <c r="AJ101" i="1"/>
  <c r="H120" i="1"/>
  <c r="I120" i="1"/>
  <c r="J120" i="1"/>
  <c r="K120" i="1"/>
  <c r="L120" i="1"/>
  <c r="M120" i="1"/>
  <c r="O120" i="1"/>
  <c r="P120" i="1"/>
  <c r="Q120" i="1"/>
  <c r="S120" i="1"/>
  <c r="T120" i="1"/>
  <c r="U120" i="1"/>
  <c r="V120" i="1"/>
  <c r="W120" i="1"/>
  <c r="X120" i="1"/>
  <c r="Y120" i="1"/>
  <c r="Z120" i="1"/>
  <c r="AA120" i="1"/>
  <c r="AB120" i="1"/>
  <c r="AC120" i="1"/>
  <c r="AD120" i="1"/>
  <c r="AF120" i="1"/>
  <c r="AH120" i="1"/>
  <c r="AJ120" i="1"/>
  <c r="I125" i="1"/>
  <c r="K125" i="1"/>
  <c r="L125" i="1"/>
  <c r="M125" i="1"/>
  <c r="O125" i="1"/>
  <c r="P125" i="1"/>
  <c r="Q125" i="1"/>
  <c r="S125" i="1"/>
  <c r="T125" i="1"/>
  <c r="U125" i="1"/>
  <c r="V125" i="1"/>
  <c r="W125" i="1"/>
  <c r="X125" i="1"/>
  <c r="Y125" i="1"/>
  <c r="Z125" i="1"/>
  <c r="AA125" i="1"/>
  <c r="AB125" i="1"/>
  <c r="AC125" i="1"/>
  <c r="AD125" i="1"/>
  <c r="AF125" i="1"/>
  <c r="AH125" i="1"/>
  <c r="AJ125" i="1"/>
  <c r="H126" i="1"/>
  <c r="I126" i="1"/>
  <c r="J126" i="1"/>
  <c r="K126" i="1"/>
  <c r="L126" i="1"/>
  <c r="M126" i="1"/>
  <c r="S126" i="1"/>
  <c r="T126" i="1"/>
  <c r="U126" i="1"/>
  <c r="V126" i="1"/>
  <c r="W126" i="1"/>
  <c r="X126" i="1"/>
  <c r="Y126" i="1"/>
  <c r="Z126" i="1"/>
  <c r="AA126" i="1"/>
  <c r="AB126" i="1"/>
  <c r="AC126" i="1"/>
  <c r="AD126" i="1"/>
  <c r="AF126" i="1"/>
  <c r="AH126" i="1"/>
  <c r="AJ126" i="1"/>
  <c r="K133" i="1"/>
  <c r="L133" i="1"/>
  <c r="M133" i="1"/>
  <c r="O133" i="1"/>
  <c r="P133" i="1"/>
  <c r="Q133" i="1"/>
  <c r="S133" i="1"/>
  <c r="T133" i="1"/>
  <c r="U133" i="1"/>
  <c r="V133" i="1"/>
  <c r="W133" i="1"/>
  <c r="X133" i="1"/>
  <c r="Y133" i="1"/>
  <c r="Z133" i="1"/>
  <c r="AA133" i="1"/>
  <c r="AB133" i="1"/>
  <c r="AC133" i="1"/>
  <c r="AD133" i="1"/>
  <c r="AF133" i="1"/>
  <c r="AH133" i="1"/>
  <c r="AJ133" i="1"/>
  <c r="H134" i="1"/>
  <c r="I134" i="1"/>
  <c r="J134" i="1"/>
  <c r="K134" i="1"/>
  <c r="L134" i="1"/>
  <c r="M134" i="1"/>
  <c r="S134" i="1"/>
  <c r="T134" i="1"/>
  <c r="U134" i="1"/>
  <c r="V134" i="1"/>
  <c r="W134" i="1"/>
  <c r="X134" i="1"/>
  <c r="Y134" i="1"/>
  <c r="Z134" i="1"/>
  <c r="AA134" i="1"/>
  <c r="AB134" i="1"/>
  <c r="AC134" i="1"/>
  <c r="AD134" i="1"/>
  <c r="AF134" i="1"/>
  <c r="AH134" i="1"/>
  <c r="AJ134" i="1"/>
  <c r="H135" i="1"/>
  <c r="I135" i="1"/>
  <c r="J135" i="1"/>
  <c r="K135" i="1"/>
  <c r="L135" i="1"/>
  <c r="M135" i="1"/>
  <c r="S135" i="1"/>
  <c r="T135" i="1"/>
  <c r="U135" i="1"/>
  <c r="V135" i="1"/>
  <c r="W135" i="1"/>
  <c r="X135" i="1"/>
  <c r="Y135" i="1"/>
  <c r="Z135" i="1"/>
  <c r="AA135" i="1"/>
  <c r="AB135" i="1"/>
  <c r="AC135" i="1"/>
  <c r="AD135" i="1"/>
  <c r="AF135" i="1"/>
  <c r="AH135" i="1"/>
  <c r="AJ135" i="1"/>
  <c r="H144" i="1"/>
  <c r="I144" i="1"/>
  <c r="J144" i="1"/>
  <c r="K144" i="1"/>
  <c r="L144" i="1"/>
  <c r="M144" i="1"/>
  <c r="O144" i="1"/>
  <c r="P144" i="1"/>
  <c r="Q144" i="1"/>
  <c r="S144" i="1"/>
  <c r="T144" i="1"/>
  <c r="U144" i="1"/>
  <c r="V144" i="1"/>
  <c r="W144" i="1"/>
  <c r="X144" i="1"/>
  <c r="Y144" i="1"/>
  <c r="Z144" i="1"/>
  <c r="AA144" i="1"/>
  <c r="AB144" i="1"/>
  <c r="AC144" i="1"/>
  <c r="AD144" i="1"/>
  <c r="AF144" i="1"/>
  <c r="AH144" i="1"/>
  <c r="AJ144" i="1"/>
  <c r="G146" i="1"/>
  <c r="N146" i="1"/>
  <c r="R146" i="1"/>
  <c r="AE146" i="1"/>
  <c r="AG146" i="1"/>
  <c r="AI146" i="1"/>
  <c r="K153" i="1"/>
  <c r="H153" i="1"/>
  <c r="I153" i="1"/>
  <c r="J153" i="1"/>
  <c r="L153" i="1"/>
  <c r="M153" i="1"/>
  <c r="O153" i="1"/>
  <c r="P153" i="1"/>
  <c r="Q153" i="1"/>
  <c r="S153" i="1"/>
  <c r="T153" i="1"/>
  <c r="U153" i="1"/>
  <c r="V153" i="1"/>
  <c r="W153" i="1"/>
  <c r="X153" i="1"/>
  <c r="Y153" i="1"/>
  <c r="Z153" i="1"/>
  <c r="AA153" i="1"/>
  <c r="AB153" i="1"/>
  <c r="AC153" i="1"/>
  <c r="AD153" i="1"/>
  <c r="AF153" i="1"/>
  <c r="AH153" i="1"/>
  <c r="AJ153" i="1"/>
  <c r="K156" i="1"/>
  <c r="L156" i="1"/>
  <c r="M156" i="1"/>
  <c r="O156" i="1"/>
  <c r="P156" i="1"/>
  <c r="Q156" i="1"/>
  <c r="S156" i="1"/>
  <c r="T156" i="1"/>
  <c r="U156" i="1"/>
  <c r="V156" i="1"/>
  <c r="W156" i="1"/>
  <c r="X156" i="1"/>
  <c r="Y156" i="1"/>
  <c r="Z156" i="1"/>
  <c r="AA156" i="1"/>
  <c r="AB156" i="1"/>
  <c r="AC156" i="1"/>
  <c r="AD156" i="1"/>
  <c r="AF156" i="1"/>
  <c r="AH156" i="1"/>
  <c r="AJ156" i="1"/>
  <c r="I157" i="1"/>
  <c r="K157" i="1"/>
  <c r="L157" i="1"/>
  <c r="M157" i="1"/>
  <c r="O157" i="1"/>
  <c r="P157" i="1"/>
  <c r="Q157" i="1"/>
  <c r="S157" i="1"/>
  <c r="T157" i="1"/>
  <c r="U157" i="1"/>
  <c r="V157" i="1"/>
  <c r="W157" i="1"/>
  <c r="X157" i="1"/>
  <c r="Y157" i="1"/>
  <c r="Z157" i="1"/>
  <c r="AA157" i="1"/>
  <c r="AB157" i="1"/>
  <c r="AC157" i="1"/>
  <c r="AD157" i="1"/>
  <c r="AF157" i="1"/>
  <c r="AH157" i="1"/>
  <c r="AJ157" i="1"/>
  <c r="F169" i="1"/>
  <c r="H164" i="1"/>
  <c r="K164" i="1"/>
  <c r="L164" i="1"/>
  <c r="M164" i="1"/>
  <c r="O164" i="1"/>
  <c r="P164" i="1"/>
  <c r="Q164" i="1"/>
  <c r="S164" i="1"/>
  <c r="T164" i="1"/>
  <c r="U164" i="1"/>
  <c r="V164" i="1"/>
  <c r="W164" i="1"/>
  <c r="X164" i="1"/>
  <c r="Y164" i="1"/>
  <c r="Z164" i="1"/>
  <c r="AA164" i="1"/>
  <c r="AB164" i="1"/>
  <c r="AC164" i="1"/>
  <c r="AD164" i="1"/>
  <c r="AF164" i="1"/>
  <c r="AH164" i="1"/>
  <c r="AJ164" i="1"/>
  <c r="K165" i="1"/>
  <c r="H165" i="1"/>
  <c r="I165" i="1"/>
  <c r="J165" i="1"/>
  <c r="L165" i="1"/>
  <c r="M165" i="1"/>
  <c r="O165" i="1"/>
  <c r="P165" i="1"/>
  <c r="Q165" i="1"/>
  <c r="S165" i="1"/>
  <c r="T165" i="1"/>
  <c r="U165" i="1"/>
  <c r="V165" i="1"/>
  <c r="W165" i="1"/>
  <c r="X165" i="1"/>
  <c r="Y165" i="1"/>
  <c r="Z165" i="1"/>
  <c r="AA165" i="1"/>
  <c r="AB165" i="1"/>
  <c r="AC165" i="1"/>
  <c r="AD165" i="1"/>
  <c r="AF165" i="1"/>
  <c r="AH165" i="1"/>
  <c r="AJ165" i="1"/>
  <c r="K166" i="1"/>
  <c r="H166" i="1"/>
  <c r="I166" i="1"/>
  <c r="J166" i="1"/>
  <c r="L166" i="1"/>
  <c r="M166" i="1"/>
  <c r="O166" i="1"/>
  <c r="P166" i="1"/>
  <c r="Q166" i="1"/>
  <c r="S166" i="1"/>
  <c r="T166" i="1"/>
  <c r="U166" i="1"/>
  <c r="V166" i="1"/>
  <c r="W166" i="1"/>
  <c r="X166" i="1"/>
  <c r="Y166" i="1"/>
  <c r="Z166" i="1"/>
  <c r="AA166" i="1"/>
  <c r="AB166" i="1"/>
  <c r="AC166" i="1"/>
  <c r="AD166" i="1"/>
  <c r="AF166" i="1"/>
  <c r="AH166" i="1"/>
  <c r="AJ166" i="1"/>
  <c r="K167" i="1"/>
  <c r="H167" i="1"/>
  <c r="I167" i="1"/>
  <c r="J167" i="1"/>
  <c r="L167" i="1"/>
  <c r="M167" i="1"/>
  <c r="O167" i="1"/>
  <c r="P167" i="1"/>
  <c r="Q167" i="1"/>
  <c r="S167" i="1"/>
  <c r="T167" i="1"/>
  <c r="U167" i="1"/>
  <c r="V167" i="1"/>
  <c r="W167" i="1"/>
  <c r="X167" i="1"/>
  <c r="Y167" i="1"/>
  <c r="Z167" i="1"/>
  <c r="AA167" i="1"/>
  <c r="AB167" i="1"/>
  <c r="AC167" i="1"/>
  <c r="AD167" i="1"/>
  <c r="AF167" i="1"/>
  <c r="AH167" i="1"/>
  <c r="AJ167" i="1"/>
  <c r="K175" i="1"/>
  <c r="L175" i="1"/>
  <c r="M175" i="1"/>
  <c r="O175" i="1"/>
  <c r="P175" i="1"/>
  <c r="Q175" i="1"/>
  <c r="S175" i="1"/>
  <c r="T175" i="1"/>
  <c r="U175" i="1"/>
  <c r="V175" i="1"/>
  <c r="W175" i="1"/>
  <c r="X175" i="1"/>
  <c r="Y175" i="1"/>
  <c r="Z175" i="1"/>
  <c r="AA175" i="1"/>
  <c r="AB175" i="1"/>
  <c r="AC175" i="1"/>
  <c r="AD175" i="1"/>
  <c r="AF175" i="1"/>
  <c r="AH175" i="1"/>
  <c r="AJ175" i="1"/>
  <c r="I176" i="1"/>
  <c r="K176" i="1"/>
  <c r="L176" i="1"/>
  <c r="M176" i="1"/>
  <c r="O176" i="1"/>
  <c r="P176" i="1"/>
  <c r="Q176" i="1"/>
  <c r="S176" i="1"/>
  <c r="T176" i="1"/>
  <c r="U176" i="1"/>
  <c r="V176" i="1"/>
  <c r="W176" i="1"/>
  <c r="X176" i="1"/>
  <c r="Y176" i="1"/>
  <c r="Z176" i="1"/>
  <c r="AA176" i="1"/>
  <c r="AB176" i="1"/>
  <c r="AC176" i="1"/>
  <c r="AD176" i="1"/>
  <c r="AF176" i="1"/>
  <c r="AH176" i="1"/>
  <c r="AJ176" i="1"/>
  <c r="I178" i="1"/>
  <c r="K178" i="1"/>
  <c r="L178" i="1"/>
  <c r="M178" i="1"/>
  <c r="O178" i="1"/>
  <c r="P178" i="1"/>
  <c r="Q178" i="1"/>
  <c r="S178" i="1"/>
  <c r="T178" i="1"/>
  <c r="U178" i="1"/>
  <c r="V178" i="1"/>
  <c r="W178" i="1"/>
  <c r="X178" i="1"/>
  <c r="Y178" i="1"/>
  <c r="Z178" i="1"/>
  <c r="AA178" i="1"/>
  <c r="AB178" i="1"/>
  <c r="AC178" i="1"/>
  <c r="AD178" i="1"/>
  <c r="AF178" i="1"/>
  <c r="AH178" i="1"/>
  <c r="AJ178" i="1"/>
  <c r="I179" i="1"/>
  <c r="K179" i="1"/>
  <c r="L179" i="1"/>
  <c r="M179" i="1"/>
  <c r="O179" i="1"/>
  <c r="P179" i="1"/>
  <c r="Q179" i="1"/>
  <c r="S179" i="1"/>
  <c r="T179" i="1"/>
  <c r="U179" i="1"/>
  <c r="V179" i="1"/>
  <c r="W179" i="1"/>
  <c r="X179" i="1"/>
  <c r="Y179" i="1"/>
  <c r="Z179" i="1"/>
  <c r="AA179" i="1"/>
  <c r="AB179" i="1"/>
  <c r="AC179" i="1"/>
  <c r="AD179" i="1"/>
  <c r="AF179" i="1"/>
  <c r="AH179" i="1"/>
  <c r="AJ179" i="1"/>
  <c r="H185" i="1"/>
  <c r="K185" i="1"/>
  <c r="L185" i="1"/>
  <c r="M185" i="1"/>
  <c r="O185" i="1"/>
  <c r="P185" i="1"/>
  <c r="Q185" i="1"/>
  <c r="S185" i="1"/>
  <c r="T185" i="1"/>
  <c r="U185" i="1"/>
  <c r="V185" i="1"/>
  <c r="W185" i="1"/>
  <c r="X185" i="1"/>
  <c r="Y185" i="1"/>
  <c r="Z185" i="1"/>
  <c r="AA185" i="1"/>
  <c r="AB185" i="1"/>
  <c r="AC185" i="1"/>
  <c r="AD185" i="1"/>
  <c r="AF185" i="1"/>
  <c r="AH185" i="1"/>
  <c r="AJ185" i="1"/>
  <c r="K186" i="1"/>
  <c r="L186" i="1"/>
  <c r="M186" i="1"/>
  <c r="O186" i="1"/>
  <c r="P186" i="1"/>
  <c r="Q186" i="1"/>
  <c r="S186" i="1"/>
  <c r="T186" i="1"/>
  <c r="U186" i="1"/>
  <c r="V186" i="1"/>
  <c r="W186" i="1"/>
  <c r="X186" i="1"/>
  <c r="Y186" i="1"/>
  <c r="Z186" i="1"/>
  <c r="AA186" i="1"/>
  <c r="AB186" i="1"/>
  <c r="AC186" i="1"/>
  <c r="AD186" i="1"/>
  <c r="AF186" i="1"/>
  <c r="AH186" i="1"/>
  <c r="AJ186" i="1"/>
  <c r="K187" i="1"/>
  <c r="H187" i="1"/>
  <c r="I187" i="1"/>
  <c r="J187" i="1"/>
  <c r="L187" i="1"/>
  <c r="M187" i="1"/>
  <c r="O187" i="1"/>
  <c r="P187" i="1"/>
  <c r="Q187" i="1"/>
  <c r="S187" i="1"/>
  <c r="T187" i="1"/>
  <c r="U187" i="1"/>
  <c r="V187" i="1"/>
  <c r="W187" i="1"/>
  <c r="X187" i="1"/>
  <c r="Y187" i="1"/>
  <c r="Z187" i="1"/>
  <c r="AA187" i="1"/>
  <c r="AB187" i="1"/>
  <c r="AC187" i="1"/>
  <c r="AD187" i="1"/>
  <c r="AF187" i="1"/>
  <c r="AH187" i="1"/>
  <c r="AJ187" i="1"/>
  <c r="K188" i="1"/>
  <c r="H188" i="1"/>
  <c r="J188" i="1"/>
  <c r="L188" i="1"/>
  <c r="M188" i="1"/>
  <c r="O188" i="1"/>
  <c r="P188" i="1"/>
  <c r="Q188" i="1"/>
  <c r="S188" i="1"/>
  <c r="T188" i="1"/>
  <c r="U188" i="1"/>
  <c r="V188" i="1"/>
  <c r="W188" i="1"/>
  <c r="X188" i="1"/>
  <c r="Y188" i="1"/>
  <c r="Z188" i="1"/>
  <c r="AA188" i="1"/>
  <c r="AB188" i="1"/>
  <c r="AC188" i="1"/>
  <c r="AD188" i="1"/>
  <c r="AF188" i="1"/>
  <c r="AH188" i="1"/>
  <c r="AJ188" i="1"/>
  <c r="K198" i="1"/>
  <c r="H198" i="1"/>
  <c r="I198" i="1"/>
  <c r="J198" i="1"/>
  <c r="L198" i="1"/>
  <c r="M198" i="1"/>
  <c r="O198" i="1"/>
  <c r="P198" i="1"/>
  <c r="Q198" i="1"/>
  <c r="S198" i="1"/>
  <c r="T198" i="1"/>
  <c r="U198" i="1"/>
  <c r="V198" i="1"/>
  <c r="W198" i="1"/>
  <c r="X198" i="1"/>
  <c r="Y198" i="1"/>
  <c r="Z198" i="1"/>
  <c r="AA198" i="1"/>
  <c r="AB198" i="1"/>
  <c r="AC198" i="1"/>
  <c r="AD198" i="1"/>
  <c r="AF198" i="1"/>
  <c r="AH198" i="1"/>
  <c r="AJ198" i="1"/>
  <c r="J199" i="1"/>
  <c r="K199" i="1"/>
  <c r="L199" i="1"/>
  <c r="M199" i="1"/>
  <c r="O199" i="1"/>
  <c r="P199" i="1"/>
  <c r="Q199" i="1"/>
  <c r="S199" i="1"/>
  <c r="T199" i="1"/>
  <c r="U199" i="1"/>
  <c r="V199" i="1"/>
  <c r="W199" i="1"/>
  <c r="X199" i="1"/>
  <c r="Y199" i="1"/>
  <c r="Z199" i="1"/>
  <c r="AA199" i="1"/>
  <c r="AB199" i="1"/>
  <c r="AC199" i="1"/>
  <c r="AD199" i="1"/>
  <c r="AF199" i="1"/>
  <c r="AH199" i="1"/>
  <c r="AJ199" i="1"/>
  <c r="K200" i="1"/>
  <c r="L200" i="1"/>
  <c r="M200" i="1"/>
  <c r="O200" i="1"/>
  <c r="P200" i="1"/>
  <c r="Q200" i="1"/>
  <c r="S200" i="1"/>
  <c r="T200" i="1"/>
  <c r="U200" i="1"/>
  <c r="V200" i="1"/>
  <c r="W200" i="1"/>
  <c r="X200" i="1"/>
  <c r="Y200" i="1"/>
  <c r="Z200" i="1"/>
  <c r="AA200" i="1"/>
  <c r="AB200" i="1"/>
  <c r="AC200" i="1"/>
  <c r="AD200" i="1"/>
  <c r="AF200" i="1"/>
  <c r="AH200" i="1"/>
  <c r="AJ200" i="1"/>
  <c r="H201" i="1"/>
  <c r="I201" i="1"/>
  <c r="J201" i="1"/>
  <c r="K201" i="1"/>
  <c r="L201" i="1"/>
  <c r="M201" i="1"/>
  <c r="O201" i="1"/>
  <c r="P201" i="1"/>
  <c r="Q201" i="1"/>
  <c r="S201" i="1"/>
  <c r="T201" i="1"/>
  <c r="U201" i="1"/>
  <c r="V201" i="1"/>
  <c r="W201" i="1"/>
  <c r="X201" i="1"/>
  <c r="Y201" i="1"/>
  <c r="Z201" i="1"/>
  <c r="AA201" i="1"/>
  <c r="AB201" i="1"/>
  <c r="AC201" i="1"/>
  <c r="AD201" i="1"/>
  <c r="AF201" i="1"/>
  <c r="AH201" i="1"/>
  <c r="AJ201" i="1"/>
  <c r="I206" i="1"/>
  <c r="K206" i="1"/>
  <c r="L206" i="1"/>
  <c r="M206" i="1"/>
  <c r="O206" i="1"/>
  <c r="P206" i="1"/>
  <c r="Q206" i="1"/>
  <c r="S206" i="1"/>
  <c r="T206" i="1"/>
  <c r="U206" i="1"/>
  <c r="V206" i="1"/>
  <c r="W206" i="1"/>
  <c r="X206" i="1"/>
  <c r="Y206" i="1"/>
  <c r="Z206" i="1"/>
  <c r="AA206" i="1"/>
  <c r="AB206" i="1"/>
  <c r="AC206" i="1"/>
  <c r="AD206" i="1"/>
  <c r="AF206" i="1"/>
  <c r="AH206" i="1"/>
  <c r="AJ206" i="1"/>
  <c r="K207" i="1"/>
  <c r="L207" i="1"/>
  <c r="M207" i="1"/>
  <c r="O207" i="1"/>
  <c r="P207" i="1"/>
  <c r="Q207" i="1"/>
  <c r="S207" i="1"/>
  <c r="T207" i="1"/>
  <c r="U207" i="1"/>
  <c r="V207" i="1"/>
  <c r="W207" i="1"/>
  <c r="X207" i="1"/>
  <c r="Y207" i="1"/>
  <c r="Z207" i="1"/>
  <c r="AA207" i="1"/>
  <c r="AB207" i="1"/>
  <c r="AC207" i="1"/>
  <c r="AD207" i="1"/>
  <c r="AF207" i="1"/>
  <c r="AH207" i="1"/>
  <c r="AJ207" i="1"/>
  <c r="I208" i="1"/>
  <c r="K208" i="1"/>
  <c r="L208" i="1"/>
  <c r="M208" i="1"/>
  <c r="O208" i="1"/>
  <c r="P208" i="1"/>
  <c r="Q208" i="1"/>
  <c r="S208" i="1"/>
  <c r="T208" i="1"/>
  <c r="U208" i="1"/>
  <c r="V208" i="1"/>
  <c r="W208" i="1"/>
  <c r="X208" i="1"/>
  <c r="Y208" i="1"/>
  <c r="Z208" i="1"/>
  <c r="AA208" i="1"/>
  <c r="AB208" i="1"/>
  <c r="AC208" i="1"/>
  <c r="AD208" i="1"/>
  <c r="AF208" i="1"/>
  <c r="AH208" i="1"/>
  <c r="AJ208" i="1"/>
  <c r="H209" i="1"/>
  <c r="K209" i="1"/>
  <c r="L209" i="1"/>
  <c r="M209" i="1"/>
  <c r="O209" i="1"/>
  <c r="P209" i="1"/>
  <c r="Q209" i="1"/>
  <c r="S209" i="1"/>
  <c r="T209" i="1"/>
  <c r="U209" i="1"/>
  <c r="V209" i="1"/>
  <c r="W209" i="1"/>
  <c r="X209" i="1"/>
  <c r="Y209" i="1"/>
  <c r="Z209" i="1"/>
  <c r="AA209" i="1"/>
  <c r="AB209" i="1"/>
  <c r="AC209" i="1"/>
  <c r="AD209" i="1"/>
  <c r="AF209" i="1"/>
  <c r="AH209" i="1"/>
  <c r="AJ209" i="1"/>
  <c r="I222" i="1"/>
  <c r="K222" i="1"/>
  <c r="L222" i="1"/>
  <c r="M222" i="1"/>
  <c r="O222" i="1"/>
  <c r="P222" i="1"/>
  <c r="Q222" i="1"/>
  <c r="S222" i="1"/>
  <c r="T222" i="1"/>
  <c r="U222" i="1"/>
  <c r="V222" i="1"/>
  <c r="W222" i="1"/>
  <c r="X222" i="1"/>
  <c r="Y222" i="1"/>
  <c r="Z222" i="1"/>
  <c r="AA222" i="1"/>
  <c r="AB222" i="1"/>
  <c r="AC222" i="1"/>
  <c r="AD222" i="1"/>
  <c r="AF222" i="1"/>
  <c r="AH222" i="1"/>
  <c r="AJ222" i="1"/>
  <c r="K223" i="1"/>
  <c r="L223" i="1"/>
  <c r="M223" i="1"/>
  <c r="O223" i="1"/>
  <c r="P223" i="1"/>
  <c r="Q223" i="1"/>
  <c r="S223" i="1"/>
  <c r="T223" i="1"/>
  <c r="U223" i="1"/>
  <c r="V223" i="1"/>
  <c r="W223" i="1"/>
  <c r="X223" i="1"/>
  <c r="Y223" i="1"/>
  <c r="Z223" i="1"/>
  <c r="AA223" i="1"/>
  <c r="AB223" i="1"/>
  <c r="AC223" i="1"/>
  <c r="AD223" i="1"/>
  <c r="AF223" i="1"/>
  <c r="AH223" i="1"/>
  <c r="AJ223" i="1"/>
  <c r="G247" i="1"/>
  <c r="H257" i="1"/>
  <c r="I257" i="1"/>
  <c r="J257" i="1"/>
  <c r="K257" i="1"/>
  <c r="L257" i="1"/>
  <c r="M257" i="1"/>
  <c r="O257" i="1"/>
  <c r="P257" i="1"/>
  <c r="Q257" i="1"/>
  <c r="S257" i="1"/>
  <c r="T257" i="1"/>
  <c r="U257" i="1"/>
  <c r="V257" i="1"/>
  <c r="W257" i="1"/>
  <c r="X257" i="1"/>
  <c r="Y257" i="1"/>
  <c r="Z257" i="1"/>
  <c r="AA257" i="1"/>
  <c r="AB257" i="1"/>
  <c r="AC257" i="1"/>
  <c r="AD257" i="1"/>
  <c r="AF257" i="1"/>
  <c r="AH257" i="1"/>
  <c r="AJ257" i="1"/>
  <c r="G263" i="1"/>
  <c r="G278" i="1"/>
  <c r="H287" i="1"/>
  <c r="I287" i="1"/>
  <c r="J287" i="1"/>
  <c r="K287" i="1"/>
  <c r="L287" i="1"/>
  <c r="M287" i="1"/>
  <c r="O287" i="1"/>
  <c r="P287" i="1"/>
  <c r="Q287" i="1"/>
  <c r="S287" i="1"/>
  <c r="T287" i="1"/>
  <c r="U287" i="1"/>
  <c r="V287" i="1"/>
  <c r="W287" i="1"/>
  <c r="X287" i="1"/>
  <c r="Y287" i="1"/>
  <c r="Z287" i="1"/>
  <c r="AA287" i="1"/>
  <c r="AB287" i="1"/>
  <c r="AC287" i="1"/>
  <c r="AD287" i="1"/>
  <c r="AH287" i="1"/>
  <c r="AJ287" i="1"/>
  <c r="H288" i="1"/>
  <c r="I288" i="1"/>
  <c r="J288" i="1"/>
  <c r="K288" i="1"/>
  <c r="L288" i="1"/>
  <c r="M288" i="1"/>
  <c r="O288" i="1"/>
  <c r="P288" i="1"/>
  <c r="Q288" i="1"/>
  <c r="S288" i="1"/>
  <c r="T288" i="1"/>
  <c r="U288" i="1"/>
  <c r="V288" i="1"/>
  <c r="W288" i="1"/>
  <c r="X288" i="1"/>
  <c r="Y288" i="1"/>
  <c r="Z288" i="1"/>
  <c r="AA288" i="1"/>
  <c r="AB288" i="1"/>
  <c r="AC288" i="1"/>
  <c r="AD288" i="1"/>
  <c r="AH288" i="1"/>
  <c r="AJ288" i="1"/>
  <c r="H289" i="1"/>
  <c r="I289" i="1"/>
  <c r="J289" i="1"/>
  <c r="K289" i="1"/>
  <c r="L289" i="1"/>
  <c r="M289" i="1"/>
  <c r="O289" i="1"/>
  <c r="P289" i="1"/>
  <c r="Q289" i="1"/>
  <c r="S289" i="1"/>
  <c r="T289" i="1"/>
  <c r="U289" i="1"/>
  <c r="V289" i="1"/>
  <c r="W289" i="1"/>
  <c r="X289" i="1"/>
  <c r="Y289" i="1"/>
  <c r="Z289" i="1"/>
  <c r="AA289" i="1"/>
  <c r="AB289" i="1"/>
  <c r="AC289" i="1"/>
  <c r="AD289" i="1"/>
  <c r="AH289" i="1"/>
  <c r="AJ289" i="1"/>
  <c r="H290" i="1"/>
  <c r="I290" i="1"/>
  <c r="J290" i="1"/>
  <c r="K290" i="1"/>
  <c r="L290" i="1"/>
  <c r="M290" i="1"/>
  <c r="O290" i="1"/>
  <c r="P290" i="1"/>
  <c r="Q290" i="1"/>
  <c r="S290" i="1"/>
  <c r="T290" i="1"/>
  <c r="U290" i="1"/>
  <c r="V290" i="1"/>
  <c r="W290" i="1"/>
  <c r="X290" i="1"/>
  <c r="Y290" i="1"/>
  <c r="Z290" i="1"/>
  <c r="AA290" i="1"/>
  <c r="AB290" i="1"/>
  <c r="AC290" i="1"/>
  <c r="AD290" i="1"/>
  <c r="AH290" i="1"/>
  <c r="AJ290" i="1"/>
  <c r="H291" i="1"/>
  <c r="I291" i="1"/>
  <c r="J291" i="1"/>
  <c r="K291" i="1"/>
  <c r="L291" i="1"/>
  <c r="M291" i="1"/>
  <c r="O291" i="1"/>
  <c r="P291" i="1"/>
  <c r="Q291" i="1"/>
  <c r="S291" i="1"/>
  <c r="T291" i="1"/>
  <c r="U291" i="1"/>
  <c r="V291" i="1"/>
  <c r="W291" i="1"/>
  <c r="X291" i="1"/>
  <c r="Y291" i="1"/>
  <c r="Z291" i="1"/>
  <c r="AA291" i="1"/>
  <c r="AB291" i="1"/>
  <c r="AC291" i="1"/>
  <c r="AD291" i="1"/>
  <c r="AH291" i="1"/>
  <c r="AJ291" i="1"/>
  <c r="G293" i="1"/>
  <c r="H296" i="1"/>
  <c r="I296" i="1"/>
  <c r="J296" i="1"/>
  <c r="K296" i="1"/>
  <c r="L296" i="1"/>
  <c r="M296" i="1"/>
  <c r="O296" i="1"/>
  <c r="P296" i="1"/>
  <c r="Q296" i="1"/>
  <c r="S296" i="1"/>
  <c r="T296" i="1"/>
  <c r="U296" i="1"/>
  <c r="V296" i="1"/>
  <c r="W296" i="1"/>
  <c r="X296" i="1"/>
  <c r="Y296" i="1"/>
  <c r="Z296" i="1"/>
  <c r="AA296" i="1"/>
  <c r="AB296" i="1"/>
  <c r="AC296" i="1"/>
  <c r="AD296" i="1"/>
  <c r="AF296" i="1"/>
  <c r="AJ296" i="1"/>
  <c r="H297" i="1"/>
  <c r="I297" i="1"/>
  <c r="J297" i="1"/>
  <c r="K297" i="1"/>
  <c r="L297" i="1"/>
  <c r="M297" i="1"/>
  <c r="O297" i="1"/>
  <c r="P297" i="1"/>
  <c r="Q297" i="1"/>
  <c r="S297" i="1"/>
  <c r="T297" i="1"/>
  <c r="U297" i="1"/>
  <c r="V297" i="1"/>
  <c r="W297" i="1"/>
  <c r="X297" i="1"/>
  <c r="Y297" i="1"/>
  <c r="Z297" i="1"/>
  <c r="AA297" i="1"/>
  <c r="AB297" i="1"/>
  <c r="AC297" i="1"/>
  <c r="AD297" i="1"/>
  <c r="AF297" i="1"/>
  <c r="AJ297" i="1"/>
  <c r="H298" i="1"/>
  <c r="I298" i="1"/>
  <c r="J298" i="1"/>
  <c r="K298" i="1"/>
  <c r="L298" i="1"/>
  <c r="M298" i="1"/>
  <c r="O298" i="1"/>
  <c r="P298" i="1"/>
  <c r="Q298" i="1"/>
  <c r="S298" i="1"/>
  <c r="T298" i="1"/>
  <c r="U298" i="1"/>
  <c r="V298" i="1"/>
  <c r="W298" i="1"/>
  <c r="X298" i="1"/>
  <c r="Y298" i="1"/>
  <c r="Z298" i="1"/>
  <c r="AA298" i="1"/>
  <c r="AB298" i="1"/>
  <c r="AC298" i="1"/>
  <c r="AD298" i="1"/>
  <c r="AF298" i="1"/>
  <c r="AH298" i="1"/>
  <c r="AJ298" i="1"/>
  <c r="H299" i="1"/>
  <c r="I299" i="1"/>
  <c r="J299" i="1"/>
  <c r="K299" i="1"/>
  <c r="L299" i="1"/>
  <c r="M299" i="1"/>
  <c r="O299" i="1"/>
  <c r="P299" i="1"/>
  <c r="Q299" i="1"/>
  <c r="S299" i="1"/>
  <c r="T299" i="1"/>
  <c r="U299" i="1"/>
  <c r="V299" i="1"/>
  <c r="W299" i="1"/>
  <c r="X299" i="1"/>
  <c r="Y299" i="1"/>
  <c r="Z299" i="1"/>
  <c r="AA299" i="1"/>
  <c r="AB299" i="1"/>
  <c r="AC299" i="1"/>
  <c r="AD299" i="1"/>
  <c r="AF299" i="1"/>
  <c r="AJ299" i="1"/>
  <c r="H300" i="1"/>
  <c r="I300" i="1"/>
  <c r="J300" i="1"/>
  <c r="K300" i="1"/>
  <c r="L300" i="1"/>
  <c r="M300" i="1"/>
  <c r="O300" i="1"/>
  <c r="P300" i="1"/>
  <c r="Q300" i="1"/>
  <c r="S300" i="1"/>
  <c r="T300" i="1"/>
  <c r="U300" i="1"/>
  <c r="V300" i="1"/>
  <c r="W300" i="1"/>
  <c r="X300" i="1"/>
  <c r="Y300" i="1"/>
  <c r="Z300" i="1"/>
  <c r="AA300" i="1"/>
  <c r="AB300" i="1"/>
  <c r="AC300" i="1"/>
  <c r="AD300" i="1"/>
  <c r="AF300" i="1"/>
  <c r="AH300" i="1"/>
  <c r="AJ300" i="1"/>
  <c r="H301" i="1"/>
  <c r="I301" i="1"/>
  <c r="J301" i="1"/>
  <c r="K301" i="1"/>
  <c r="L301" i="1"/>
  <c r="M301" i="1"/>
  <c r="O301" i="1"/>
  <c r="P301" i="1"/>
  <c r="Q301" i="1"/>
  <c r="S301" i="1"/>
  <c r="T301" i="1"/>
  <c r="U301" i="1"/>
  <c r="V301" i="1"/>
  <c r="W301" i="1"/>
  <c r="X301" i="1"/>
  <c r="Y301" i="1"/>
  <c r="Z301" i="1"/>
  <c r="AA301" i="1"/>
  <c r="AB301" i="1"/>
  <c r="AC301" i="1"/>
  <c r="AD301" i="1"/>
  <c r="AF301" i="1"/>
  <c r="AJ301" i="1"/>
  <c r="H302" i="1"/>
  <c r="I302" i="1"/>
  <c r="J302" i="1"/>
  <c r="K302" i="1"/>
  <c r="L302" i="1"/>
  <c r="M302" i="1"/>
  <c r="O302" i="1"/>
  <c r="P302" i="1"/>
  <c r="Q302" i="1"/>
  <c r="S302" i="1"/>
  <c r="T302" i="1"/>
  <c r="U302" i="1"/>
  <c r="V302" i="1"/>
  <c r="W302" i="1"/>
  <c r="X302" i="1"/>
  <c r="Y302" i="1"/>
  <c r="Z302" i="1"/>
  <c r="AA302" i="1"/>
  <c r="AB302" i="1"/>
  <c r="AC302" i="1"/>
  <c r="AD302" i="1"/>
  <c r="AF302" i="1"/>
  <c r="AJ302" i="1"/>
  <c r="H303" i="1"/>
  <c r="I303" i="1"/>
  <c r="J303" i="1"/>
  <c r="K303" i="1"/>
  <c r="L303" i="1"/>
  <c r="M303" i="1"/>
  <c r="O303" i="1"/>
  <c r="P303" i="1"/>
  <c r="Q303" i="1"/>
  <c r="S303" i="1"/>
  <c r="T303" i="1"/>
  <c r="U303" i="1"/>
  <c r="V303" i="1"/>
  <c r="W303" i="1"/>
  <c r="X303" i="1"/>
  <c r="Y303" i="1"/>
  <c r="Z303" i="1"/>
  <c r="AA303" i="1"/>
  <c r="AB303" i="1"/>
  <c r="AC303" i="1"/>
  <c r="AD303" i="1"/>
  <c r="AF303" i="1"/>
  <c r="AJ303" i="1"/>
  <c r="H304" i="1"/>
  <c r="I304" i="1"/>
  <c r="J304" i="1"/>
  <c r="K304" i="1"/>
  <c r="L304" i="1"/>
  <c r="M304" i="1"/>
  <c r="O304" i="1"/>
  <c r="P304" i="1"/>
  <c r="Q304" i="1"/>
  <c r="S304" i="1"/>
  <c r="T304" i="1"/>
  <c r="U304" i="1"/>
  <c r="V304" i="1"/>
  <c r="W304" i="1"/>
  <c r="X304" i="1"/>
  <c r="Y304" i="1"/>
  <c r="Z304" i="1"/>
  <c r="AA304" i="1"/>
  <c r="AB304" i="1"/>
  <c r="AC304" i="1"/>
  <c r="AD304" i="1"/>
  <c r="AF304" i="1"/>
  <c r="AJ304" i="1"/>
  <c r="AH305" i="1"/>
  <c r="H305" i="1"/>
  <c r="I305" i="1"/>
  <c r="J305" i="1"/>
  <c r="K305" i="1"/>
  <c r="L305" i="1"/>
  <c r="M305" i="1"/>
  <c r="O305" i="1"/>
  <c r="P305" i="1"/>
  <c r="Q305" i="1"/>
  <c r="S305" i="1"/>
  <c r="T305" i="1"/>
  <c r="U305" i="1"/>
  <c r="V305" i="1"/>
  <c r="W305" i="1"/>
  <c r="X305" i="1"/>
  <c r="Y305" i="1"/>
  <c r="Z305" i="1"/>
  <c r="AA305" i="1"/>
  <c r="AB305" i="1"/>
  <c r="AC305" i="1"/>
  <c r="AD305" i="1"/>
  <c r="AF305" i="1"/>
  <c r="AJ305" i="1"/>
  <c r="G307" i="1"/>
  <c r="G331" i="1"/>
  <c r="G335" i="1"/>
  <c r="H341" i="1"/>
  <c r="I341" i="1"/>
  <c r="J341" i="1"/>
  <c r="L341" i="1"/>
  <c r="M341" i="1"/>
  <c r="O341" i="1"/>
  <c r="P341" i="1"/>
  <c r="Q341" i="1"/>
  <c r="S341" i="1"/>
  <c r="T341" i="1"/>
  <c r="U341" i="1"/>
  <c r="V341" i="1"/>
  <c r="W341" i="1"/>
  <c r="X341" i="1"/>
  <c r="Y341" i="1"/>
  <c r="Z341" i="1"/>
  <c r="AA341" i="1"/>
  <c r="AB341" i="1"/>
  <c r="AC341" i="1"/>
  <c r="AD341" i="1"/>
  <c r="AF341" i="1"/>
  <c r="AH341" i="1"/>
  <c r="AJ341" i="1"/>
  <c r="I342" i="1"/>
  <c r="I154" i="1" s="1"/>
  <c r="K342" i="1"/>
  <c r="L342" i="1"/>
  <c r="M342" i="1"/>
  <c r="O342" i="1"/>
  <c r="P342" i="1"/>
  <c r="Q342" i="1"/>
  <c r="S342" i="1"/>
  <c r="T342" i="1"/>
  <c r="U342" i="1"/>
  <c r="V342" i="1"/>
  <c r="W342" i="1"/>
  <c r="X342" i="1"/>
  <c r="Y342" i="1"/>
  <c r="Z342" i="1"/>
  <c r="AA342" i="1"/>
  <c r="AB342" i="1"/>
  <c r="AC342" i="1"/>
  <c r="AD342" i="1"/>
  <c r="AF342" i="1"/>
  <c r="AH342" i="1"/>
  <c r="AJ342" i="1"/>
  <c r="K343" i="1"/>
  <c r="L343" i="1"/>
  <c r="M343" i="1"/>
  <c r="O343" i="1"/>
  <c r="P343" i="1"/>
  <c r="Q343" i="1"/>
  <c r="S343" i="1"/>
  <c r="T343" i="1"/>
  <c r="U343" i="1"/>
  <c r="V343" i="1"/>
  <c r="W343" i="1"/>
  <c r="X343" i="1"/>
  <c r="Y343" i="1"/>
  <c r="Z343" i="1"/>
  <c r="AA343" i="1"/>
  <c r="AB343" i="1"/>
  <c r="AC343" i="1"/>
  <c r="AD343" i="1"/>
  <c r="AF343" i="1"/>
  <c r="AH343" i="1"/>
  <c r="AJ343" i="1"/>
  <c r="K344" i="1"/>
  <c r="L344" i="1"/>
  <c r="M344" i="1"/>
  <c r="O344" i="1"/>
  <c r="P344" i="1"/>
  <c r="Q344" i="1"/>
  <c r="S344" i="1"/>
  <c r="T344" i="1"/>
  <c r="U344" i="1"/>
  <c r="V344" i="1"/>
  <c r="W344" i="1"/>
  <c r="X344" i="1"/>
  <c r="Y344" i="1"/>
  <c r="Z344" i="1"/>
  <c r="AA344" i="1"/>
  <c r="AB344" i="1"/>
  <c r="AC344" i="1"/>
  <c r="AD344" i="1"/>
  <c r="AF344" i="1"/>
  <c r="AH344" i="1"/>
  <c r="AJ344" i="1"/>
  <c r="H345" i="1"/>
  <c r="I345" i="1"/>
  <c r="J345" i="1"/>
  <c r="K345" i="1"/>
  <c r="L345" i="1"/>
  <c r="M345" i="1"/>
  <c r="O345" i="1"/>
  <c r="P345" i="1"/>
  <c r="Q345" i="1"/>
  <c r="S345" i="1"/>
  <c r="T345" i="1"/>
  <c r="U345" i="1"/>
  <c r="V345" i="1"/>
  <c r="W345" i="1"/>
  <c r="X345" i="1"/>
  <c r="Y345" i="1"/>
  <c r="Z345" i="1"/>
  <c r="AA345" i="1"/>
  <c r="AB345" i="1"/>
  <c r="AC345" i="1"/>
  <c r="AD345" i="1"/>
  <c r="AF345" i="1"/>
  <c r="AH345" i="1"/>
  <c r="AJ345" i="1"/>
  <c r="K351" i="1"/>
  <c r="L351" i="1"/>
  <c r="M351" i="1"/>
  <c r="O351" i="1"/>
  <c r="P351" i="1"/>
  <c r="Q351" i="1"/>
  <c r="S351" i="1"/>
  <c r="T351" i="1"/>
  <c r="U351" i="1"/>
  <c r="V351" i="1"/>
  <c r="W351" i="1"/>
  <c r="X351" i="1"/>
  <c r="Y351" i="1"/>
  <c r="Z351" i="1"/>
  <c r="AA351" i="1"/>
  <c r="AB351" i="1"/>
  <c r="AC351" i="1"/>
  <c r="AD351" i="1"/>
  <c r="AF351" i="1"/>
  <c r="AH351" i="1"/>
  <c r="AJ351" i="1"/>
  <c r="H352" i="1"/>
  <c r="I352" i="1"/>
  <c r="J352" i="1"/>
  <c r="L352" i="1"/>
  <c r="M352" i="1"/>
  <c r="O352" i="1"/>
  <c r="P352" i="1"/>
  <c r="Q352" i="1"/>
  <c r="S352" i="1"/>
  <c r="T352" i="1"/>
  <c r="U352" i="1"/>
  <c r="V352" i="1"/>
  <c r="W352" i="1"/>
  <c r="X352" i="1"/>
  <c r="Y352" i="1"/>
  <c r="Z352" i="1"/>
  <c r="AA352" i="1"/>
  <c r="AB352" i="1"/>
  <c r="AC352" i="1"/>
  <c r="AD352" i="1"/>
  <c r="AF352" i="1"/>
  <c r="AH352" i="1"/>
  <c r="AJ352" i="1"/>
  <c r="H353" i="1"/>
  <c r="I353" i="1"/>
  <c r="J353" i="1"/>
  <c r="L353" i="1"/>
  <c r="M353" i="1"/>
  <c r="O353" i="1"/>
  <c r="P353" i="1"/>
  <c r="Q353" i="1"/>
  <c r="S353" i="1"/>
  <c r="T353" i="1"/>
  <c r="U353" i="1"/>
  <c r="V353" i="1"/>
  <c r="W353" i="1"/>
  <c r="X353" i="1"/>
  <c r="Y353" i="1"/>
  <c r="Z353" i="1"/>
  <c r="AA353" i="1"/>
  <c r="AB353" i="1"/>
  <c r="AC353" i="1"/>
  <c r="AD353" i="1"/>
  <c r="AF353" i="1"/>
  <c r="AH353" i="1"/>
  <c r="AJ353" i="1"/>
  <c r="H354" i="1"/>
  <c r="I354" i="1"/>
  <c r="J354" i="1"/>
  <c r="L354" i="1"/>
  <c r="M354" i="1"/>
  <c r="O354" i="1"/>
  <c r="P354" i="1"/>
  <c r="Q354" i="1"/>
  <c r="S354" i="1"/>
  <c r="T354" i="1"/>
  <c r="U354" i="1"/>
  <c r="V354" i="1"/>
  <c r="W354" i="1"/>
  <c r="X354" i="1"/>
  <c r="Y354" i="1"/>
  <c r="Z354" i="1"/>
  <c r="AA354" i="1"/>
  <c r="AB354" i="1"/>
  <c r="AC354" i="1"/>
  <c r="AD354" i="1"/>
  <c r="AF354" i="1"/>
  <c r="AH354" i="1"/>
  <c r="AJ354" i="1"/>
  <c r="H362" i="1"/>
  <c r="I362" i="1"/>
  <c r="J362" i="1"/>
  <c r="K362" i="1"/>
  <c r="L362" i="1"/>
  <c r="M362" i="1"/>
  <c r="O362" i="1"/>
  <c r="P362" i="1"/>
  <c r="Q362" i="1"/>
  <c r="S362" i="1"/>
  <c r="T362" i="1"/>
  <c r="U362" i="1"/>
  <c r="V362" i="1"/>
  <c r="W362" i="1"/>
  <c r="X362" i="1"/>
  <c r="Y362" i="1"/>
  <c r="Z362" i="1"/>
  <c r="AA362" i="1"/>
  <c r="AB362" i="1"/>
  <c r="AC362" i="1"/>
  <c r="AD362" i="1"/>
  <c r="AF362" i="1"/>
  <c r="AH362" i="1"/>
  <c r="AJ362" i="1"/>
  <c r="H363" i="1"/>
  <c r="I363" i="1"/>
  <c r="J363" i="1"/>
  <c r="K363" i="1"/>
  <c r="L363" i="1"/>
  <c r="M363" i="1"/>
  <c r="O363" i="1"/>
  <c r="P363" i="1"/>
  <c r="Q363" i="1"/>
  <c r="S363" i="1"/>
  <c r="T363" i="1"/>
  <c r="U363" i="1"/>
  <c r="V363" i="1"/>
  <c r="W363" i="1"/>
  <c r="X363" i="1"/>
  <c r="Y363" i="1"/>
  <c r="Z363" i="1"/>
  <c r="AA363" i="1"/>
  <c r="AB363" i="1"/>
  <c r="AC363" i="1"/>
  <c r="AD363" i="1"/>
  <c r="AF363" i="1"/>
  <c r="AH363" i="1"/>
  <c r="AJ363" i="1"/>
  <c r="K364" i="1"/>
  <c r="L364" i="1"/>
  <c r="M364" i="1"/>
  <c r="O364" i="1"/>
  <c r="P364" i="1"/>
  <c r="Q364" i="1"/>
  <c r="S364" i="1"/>
  <c r="T364" i="1"/>
  <c r="U364" i="1"/>
  <c r="V364" i="1"/>
  <c r="W364" i="1"/>
  <c r="X364" i="1"/>
  <c r="Y364" i="1"/>
  <c r="Z364" i="1"/>
  <c r="AA364" i="1"/>
  <c r="AB364" i="1"/>
  <c r="AC364" i="1"/>
  <c r="AD364" i="1"/>
  <c r="AF364" i="1"/>
  <c r="AH364" i="1"/>
  <c r="AJ364" i="1"/>
  <c r="H365" i="1"/>
  <c r="K365" i="1"/>
  <c r="L365" i="1"/>
  <c r="M365" i="1"/>
  <c r="O365" i="1"/>
  <c r="P365" i="1"/>
  <c r="Q365" i="1"/>
  <c r="S365" i="1"/>
  <c r="T365" i="1"/>
  <c r="U365" i="1"/>
  <c r="V365" i="1"/>
  <c r="W365" i="1"/>
  <c r="X365" i="1"/>
  <c r="Y365" i="1"/>
  <c r="Z365" i="1"/>
  <c r="AA365" i="1"/>
  <c r="AB365" i="1"/>
  <c r="AC365" i="1"/>
  <c r="AD365" i="1"/>
  <c r="AF365" i="1"/>
  <c r="AH365" i="1"/>
  <c r="AJ365" i="1"/>
  <c r="H366" i="1"/>
  <c r="I366" i="1"/>
  <c r="J366" i="1"/>
  <c r="K366" i="1"/>
  <c r="L366" i="1"/>
  <c r="M366" i="1"/>
  <c r="O366" i="1"/>
  <c r="P366" i="1"/>
  <c r="Q366" i="1"/>
  <c r="S366" i="1"/>
  <c r="T366" i="1"/>
  <c r="U366" i="1"/>
  <c r="V366" i="1"/>
  <c r="W366" i="1"/>
  <c r="X366" i="1"/>
  <c r="Y366" i="1"/>
  <c r="Z366" i="1"/>
  <c r="AA366" i="1"/>
  <c r="AB366" i="1"/>
  <c r="AC366" i="1"/>
  <c r="AD366" i="1"/>
  <c r="AF366" i="1"/>
  <c r="AH366" i="1"/>
  <c r="AJ366" i="1"/>
  <c r="I372" i="1"/>
  <c r="K372" i="1"/>
  <c r="L372" i="1"/>
  <c r="M372" i="1"/>
  <c r="O372" i="1"/>
  <c r="P372" i="1"/>
  <c r="Q372" i="1"/>
  <c r="S372" i="1"/>
  <c r="T372" i="1"/>
  <c r="U372" i="1"/>
  <c r="V372" i="1"/>
  <c r="W372" i="1"/>
  <c r="X372" i="1"/>
  <c r="Y372" i="1"/>
  <c r="Z372" i="1"/>
  <c r="AA372" i="1"/>
  <c r="AB372" i="1"/>
  <c r="AC372" i="1"/>
  <c r="AD372" i="1"/>
  <c r="AF372" i="1"/>
  <c r="AH372" i="1"/>
  <c r="AJ372" i="1"/>
  <c r="I373" i="1"/>
  <c r="J373" i="1"/>
  <c r="K373" i="1"/>
  <c r="L373" i="1"/>
  <c r="M373" i="1"/>
  <c r="O373" i="1"/>
  <c r="P373" i="1"/>
  <c r="Q373" i="1"/>
  <c r="S373" i="1"/>
  <c r="T373" i="1"/>
  <c r="U373" i="1"/>
  <c r="V373" i="1"/>
  <c r="W373" i="1"/>
  <c r="X373" i="1"/>
  <c r="Y373" i="1"/>
  <c r="Z373" i="1"/>
  <c r="AA373" i="1"/>
  <c r="AB373" i="1"/>
  <c r="AC373" i="1"/>
  <c r="AD373" i="1"/>
  <c r="AF373" i="1"/>
  <c r="AH373" i="1"/>
  <c r="AJ373" i="1"/>
  <c r="H374" i="1"/>
  <c r="I374" i="1"/>
  <c r="J374" i="1"/>
  <c r="L374" i="1"/>
  <c r="M374" i="1"/>
  <c r="O374" i="1"/>
  <c r="P374" i="1"/>
  <c r="Q374" i="1"/>
  <c r="S374" i="1"/>
  <c r="T374" i="1"/>
  <c r="U374" i="1"/>
  <c r="V374" i="1"/>
  <c r="W374" i="1"/>
  <c r="X374" i="1"/>
  <c r="Y374" i="1"/>
  <c r="Z374" i="1"/>
  <c r="AA374" i="1"/>
  <c r="AB374" i="1"/>
  <c r="AC374" i="1"/>
  <c r="AD374" i="1"/>
  <c r="AF374" i="1"/>
  <c r="AH374" i="1"/>
  <c r="AJ374" i="1"/>
  <c r="H375" i="1"/>
  <c r="I375" i="1"/>
  <c r="J375" i="1"/>
  <c r="L375" i="1"/>
  <c r="M375" i="1"/>
  <c r="O375" i="1"/>
  <c r="P375" i="1"/>
  <c r="Q375" i="1"/>
  <c r="S375" i="1"/>
  <c r="T375" i="1"/>
  <c r="U375" i="1"/>
  <c r="V375" i="1"/>
  <c r="W375" i="1"/>
  <c r="X375" i="1"/>
  <c r="Y375" i="1"/>
  <c r="Z375" i="1"/>
  <c r="AA375" i="1"/>
  <c r="AB375" i="1"/>
  <c r="AC375" i="1"/>
  <c r="AD375" i="1"/>
  <c r="AF375" i="1"/>
  <c r="AH375" i="1"/>
  <c r="AJ375" i="1"/>
  <c r="I384" i="1"/>
  <c r="K384" i="1"/>
  <c r="L384" i="1"/>
  <c r="M384" i="1"/>
  <c r="O384" i="1"/>
  <c r="P384" i="1"/>
  <c r="Q384" i="1"/>
  <c r="S384" i="1"/>
  <c r="T384" i="1"/>
  <c r="U384" i="1"/>
  <c r="V384" i="1"/>
  <c r="W384" i="1"/>
  <c r="X384" i="1"/>
  <c r="Y384" i="1"/>
  <c r="Z384" i="1"/>
  <c r="AA384" i="1"/>
  <c r="AB384" i="1"/>
  <c r="AC384" i="1"/>
  <c r="AD384" i="1"/>
  <c r="AF384" i="1"/>
  <c r="AH384" i="1"/>
  <c r="AJ384" i="1"/>
  <c r="H385" i="1"/>
  <c r="I385" i="1"/>
  <c r="J385" i="1"/>
  <c r="L385" i="1"/>
  <c r="M385" i="1"/>
  <c r="O385" i="1"/>
  <c r="P385" i="1"/>
  <c r="Q385" i="1"/>
  <c r="S385" i="1"/>
  <c r="T385" i="1"/>
  <c r="U385" i="1"/>
  <c r="V385" i="1"/>
  <c r="W385" i="1"/>
  <c r="X385" i="1"/>
  <c r="Y385" i="1"/>
  <c r="Z385" i="1"/>
  <c r="AA385" i="1"/>
  <c r="AB385" i="1"/>
  <c r="AC385" i="1"/>
  <c r="AD385" i="1"/>
  <c r="AF385" i="1"/>
  <c r="AH385" i="1"/>
  <c r="AJ385" i="1"/>
  <c r="I386" i="1"/>
  <c r="K386" i="1"/>
  <c r="L386" i="1"/>
  <c r="M386" i="1"/>
  <c r="O386" i="1"/>
  <c r="P386" i="1"/>
  <c r="Q386" i="1"/>
  <c r="S386" i="1"/>
  <c r="T386" i="1"/>
  <c r="U386" i="1"/>
  <c r="V386" i="1"/>
  <c r="W386" i="1"/>
  <c r="X386" i="1"/>
  <c r="Y386" i="1"/>
  <c r="Z386" i="1"/>
  <c r="AA386" i="1"/>
  <c r="AB386" i="1"/>
  <c r="AC386" i="1"/>
  <c r="AD386" i="1"/>
  <c r="AF386" i="1"/>
  <c r="AH386" i="1"/>
  <c r="AJ386" i="1"/>
  <c r="K387" i="1"/>
  <c r="L387" i="1"/>
  <c r="M387" i="1"/>
  <c r="O387" i="1"/>
  <c r="P387" i="1"/>
  <c r="Q387" i="1"/>
  <c r="S387" i="1"/>
  <c r="T387" i="1"/>
  <c r="U387" i="1"/>
  <c r="V387" i="1"/>
  <c r="W387" i="1"/>
  <c r="X387" i="1"/>
  <c r="Y387" i="1"/>
  <c r="Z387" i="1"/>
  <c r="AA387" i="1"/>
  <c r="AB387" i="1"/>
  <c r="AC387" i="1"/>
  <c r="AD387" i="1"/>
  <c r="AF387" i="1"/>
  <c r="AH387" i="1"/>
  <c r="AJ387" i="1"/>
  <c r="I388" i="1"/>
  <c r="K388" i="1"/>
  <c r="L388" i="1"/>
  <c r="M388" i="1"/>
  <c r="O388" i="1"/>
  <c r="P388" i="1"/>
  <c r="Q388" i="1"/>
  <c r="S388" i="1"/>
  <c r="T388" i="1"/>
  <c r="U388" i="1"/>
  <c r="V388" i="1"/>
  <c r="W388" i="1"/>
  <c r="X388" i="1"/>
  <c r="Y388" i="1"/>
  <c r="Z388" i="1"/>
  <c r="AA388" i="1"/>
  <c r="AB388" i="1"/>
  <c r="AC388" i="1"/>
  <c r="AD388" i="1"/>
  <c r="AF388" i="1"/>
  <c r="AH388" i="1"/>
  <c r="AJ388" i="1"/>
  <c r="I393" i="1"/>
  <c r="K393" i="1"/>
  <c r="L393" i="1"/>
  <c r="M393" i="1"/>
  <c r="O393" i="1"/>
  <c r="P393" i="1"/>
  <c r="Q393" i="1"/>
  <c r="S393" i="1"/>
  <c r="T393" i="1"/>
  <c r="U393" i="1"/>
  <c r="V393" i="1"/>
  <c r="W393" i="1"/>
  <c r="X393" i="1"/>
  <c r="Y393" i="1"/>
  <c r="Z393" i="1"/>
  <c r="AA393" i="1"/>
  <c r="AB393" i="1"/>
  <c r="AC393" i="1"/>
  <c r="AD393" i="1"/>
  <c r="AF393" i="1"/>
  <c r="AH393" i="1"/>
  <c r="AJ393" i="1"/>
  <c r="J394" i="1"/>
  <c r="K394" i="1"/>
  <c r="L394" i="1"/>
  <c r="M394" i="1"/>
  <c r="O394" i="1"/>
  <c r="P394" i="1"/>
  <c r="Q394" i="1"/>
  <c r="S394" i="1"/>
  <c r="T394" i="1"/>
  <c r="U394" i="1"/>
  <c r="V394" i="1"/>
  <c r="W394" i="1"/>
  <c r="X394" i="1"/>
  <c r="Y394" i="1"/>
  <c r="Z394" i="1"/>
  <c r="AA394" i="1"/>
  <c r="AB394" i="1"/>
  <c r="AC394" i="1"/>
  <c r="AD394" i="1"/>
  <c r="AF394" i="1"/>
  <c r="AH394" i="1"/>
  <c r="AJ394" i="1"/>
  <c r="I395" i="1"/>
  <c r="K395" i="1"/>
  <c r="L395" i="1"/>
  <c r="M395" i="1"/>
  <c r="O395" i="1"/>
  <c r="P395" i="1"/>
  <c r="Q395" i="1"/>
  <c r="S395" i="1"/>
  <c r="T395" i="1"/>
  <c r="U395" i="1"/>
  <c r="V395" i="1"/>
  <c r="W395" i="1"/>
  <c r="X395" i="1"/>
  <c r="Y395" i="1"/>
  <c r="Z395" i="1"/>
  <c r="AA395" i="1"/>
  <c r="AB395" i="1"/>
  <c r="AC395" i="1"/>
  <c r="AD395" i="1"/>
  <c r="AF395" i="1"/>
  <c r="AH395" i="1"/>
  <c r="AJ395" i="1"/>
  <c r="J396" i="1"/>
  <c r="K396" i="1"/>
  <c r="L396" i="1"/>
  <c r="M396" i="1"/>
  <c r="O396" i="1"/>
  <c r="P396" i="1"/>
  <c r="Q396" i="1"/>
  <c r="S396" i="1"/>
  <c r="T396" i="1"/>
  <c r="U396" i="1"/>
  <c r="V396" i="1"/>
  <c r="W396" i="1"/>
  <c r="X396" i="1"/>
  <c r="Y396" i="1"/>
  <c r="Z396" i="1"/>
  <c r="AA396" i="1"/>
  <c r="AB396" i="1"/>
  <c r="AC396" i="1"/>
  <c r="AD396" i="1"/>
  <c r="AF396" i="1"/>
  <c r="AH396" i="1"/>
  <c r="AJ396" i="1"/>
  <c r="I406" i="1"/>
  <c r="K406" i="1"/>
  <c r="L406" i="1"/>
  <c r="M406" i="1"/>
  <c r="O406" i="1"/>
  <c r="P406" i="1"/>
  <c r="Q406" i="1"/>
  <c r="S406" i="1"/>
  <c r="T406" i="1"/>
  <c r="U406" i="1"/>
  <c r="V406" i="1"/>
  <c r="W406" i="1"/>
  <c r="X406" i="1"/>
  <c r="Y406" i="1"/>
  <c r="Z406" i="1"/>
  <c r="AA406" i="1"/>
  <c r="AB406" i="1"/>
  <c r="AC406" i="1"/>
  <c r="AD406" i="1"/>
  <c r="AF406" i="1"/>
  <c r="AH406" i="1"/>
  <c r="AJ406" i="1"/>
  <c r="J407" i="1"/>
  <c r="K407" i="1"/>
  <c r="L407" i="1"/>
  <c r="M407" i="1"/>
  <c r="O407" i="1"/>
  <c r="P407" i="1"/>
  <c r="Q407" i="1"/>
  <c r="S407" i="1"/>
  <c r="T407" i="1"/>
  <c r="U407" i="1"/>
  <c r="V407" i="1"/>
  <c r="W407" i="1"/>
  <c r="X407" i="1"/>
  <c r="Y407" i="1"/>
  <c r="Z407" i="1"/>
  <c r="AA407" i="1"/>
  <c r="AB407" i="1"/>
  <c r="AC407" i="1"/>
  <c r="AD407" i="1"/>
  <c r="AF407" i="1"/>
  <c r="AH407" i="1"/>
  <c r="AJ407" i="1"/>
  <c r="G425" i="1"/>
  <c r="H435" i="1"/>
  <c r="I435" i="1"/>
  <c r="J435" i="1"/>
  <c r="K435" i="1"/>
  <c r="L435" i="1"/>
  <c r="M435" i="1"/>
  <c r="O435" i="1"/>
  <c r="P435" i="1"/>
  <c r="Q435" i="1"/>
  <c r="S435" i="1"/>
  <c r="T435" i="1"/>
  <c r="U435" i="1"/>
  <c r="V435" i="1"/>
  <c r="W435" i="1"/>
  <c r="X435" i="1"/>
  <c r="Y435" i="1"/>
  <c r="Z435" i="1"/>
  <c r="AA435" i="1"/>
  <c r="AB435" i="1"/>
  <c r="AC435" i="1"/>
  <c r="AD435" i="1"/>
  <c r="AF435" i="1"/>
  <c r="AH435" i="1"/>
  <c r="AJ435" i="1"/>
  <c r="G440" i="1"/>
  <c r="G456" i="1"/>
  <c r="H465" i="1"/>
  <c r="I465" i="1"/>
  <c r="J465" i="1"/>
  <c r="K465" i="1"/>
  <c r="L465" i="1"/>
  <c r="M465" i="1"/>
  <c r="O465" i="1"/>
  <c r="P465" i="1"/>
  <c r="Q465" i="1"/>
  <c r="S465" i="1"/>
  <c r="T465" i="1"/>
  <c r="U465" i="1"/>
  <c r="V465" i="1"/>
  <c r="W465" i="1"/>
  <c r="X465" i="1"/>
  <c r="Y465" i="1"/>
  <c r="Z465" i="1"/>
  <c r="AA465" i="1"/>
  <c r="AB465" i="1"/>
  <c r="AC465" i="1"/>
  <c r="AD465" i="1"/>
  <c r="AH465" i="1"/>
  <c r="AJ465" i="1"/>
  <c r="AF466" i="1"/>
  <c r="H466" i="1"/>
  <c r="I466" i="1"/>
  <c r="J466" i="1"/>
  <c r="K466" i="1"/>
  <c r="L466" i="1"/>
  <c r="M466" i="1"/>
  <c r="O466" i="1"/>
  <c r="P466" i="1"/>
  <c r="Q466" i="1"/>
  <c r="S466" i="1"/>
  <c r="T466" i="1"/>
  <c r="U466" i="1"/>
  <c r="V466" i="1"/>
  <c r="W466" i="1"/>
  <c r="X466" i="1"/>
  <c r="Y466" i="1"/>
  <c r="Z466" i="1"/>
  <c r="AA466" i="1"/>
  <c r="AB466" i="1"/>
  <c r="AC466" i="1"/>
  <c r="AD466" i="1"/>
  <c r="AH466" i="1"/>
  <c r="AJ466" i="1"/>
  <c r="AF467" i="1"/>
  <c r="H467" i="1"/>
  <c r="I467" i="1"/>
  <c r="J467" i="1"/>
  <c r="K467" i="1"/>
  <c r="L467" i="1"/>
  <c r="M467" i="1"/>
  <c r="O467" i="1"/>
  <c r="P467" i="1"/>
  <c r="Q467" i="1"/>
  <c r="S467" i="1"/>
  <c r="T467" i="1"/>
  <c r="U467" i="1"/>
  <c r="V467" i="1"/>
  <c r="W467" i="1"/>
  <c r="X467" i="1"/>
  <c r="Y467" i="1"/>
  <c r="Z467" i="1"/>
  <c r="AA467" i="1"/>
  <c r="AB467" i="1"/>
  <c r="AC467" i="1"/>
  <c r="AD467" i="1"/>
  <c r="AH467" i="1"/>
  <c r="AJ467" i="1"/>
  <c r="AF468" i="1"/>
  <c r="H468" i="1"/>
  <c r="I468" i="1"/>
  <c r="J468" i="1"/>
  <c r="K468" i="1"/>
  <c r="L468" i="1"/>
  <c r="M468" i="1"/>
  <c r="O468" i="1"/>
  <c r="P468" i="1"/>
  <c r="Q468" i="1"/>
  <c r="S468" i="1"/>
  <c r="T468" i="1"/>
  <c r="U468" i="1"/>
  <c r="V468" i="1"/>
  <c r="W468" i="1"/>
  <c r="X468" i="1"/>
  <c r="Y468" i="1"/>
  <c r="Z468" i="1"/>
  <c r="AA468" i="1"/>
  <c r="AB468" i="1"/>
  <c r="AC468" i="1"/>
  <c r="AD468" i="1"/>
  <c r="AH468" i="1"/>
  <c r="AJ468" i="1"/>
  <c r="AF469" i="1"/>
  <c r="H469" i="1"/>
  <c r="I469" i="1"/>
  <c r="J469" i="1"/>
  <c r="K469" i="1"/>
  <c r="L469" i="1"/>
  <c r="M469" i="1"/>
  <c r="O469" i="1"/>
  <c r="P469" i="1"/>
  <c r="Q469" i="1"/>
  <c r="S469" i="1"/>
  <c r="T469" i="1"/>
  <c r="U469" i="1"/>
  <c r="V469" i="1"/>
  <c r="W469" i="1"/>
  <c r="X469" i="1"/>
  <c r="Y469" i="1"/>
  <c r="Z469" i="1"/>
  <c r="AA469" i="1"/>
  <c r="AB469" i="1"/>
  <c r="AC469" i="1"/>
  <c r="AD469" i="1"/>
  <c r="AH469" i="1"/>
  <c r="AJ469" i="1"/>
  <c r="G471" i="1"/>
  <c r="H474" i="1"/>
  <c r="I474" i="1"/>
  <c r="J474" i="1"/>
  <c r="K474" i="1"/>
  <c r="L474" i="1"/>
  <c r="M474" i="1"/>
  <c r="O474" i="1"/>
  <c r="P474" i="1"/>
  <c r="Q474" i="1"/>
  <c r="S474" i="1"/>
  <c r="T474" i="1"/>
  <c r="U474" i="1"/>
  <c r="V474" i="1"/>
  <c r="W474" i="1"/>
  <c r="X474" i="1"/>
  <c r="Y474" i="1"/>
  <c r="Z474" i="1"/>
  <c r="AA474" i="1"/>
  <c r="AB474" i="1"/>
  <c r="AC474" i="1"/>
  <c r="AD474" i="1"/>
  <c r="AF474" i="1"/>
  <c r="AJ474" i="1"/>
  <c r="AH475" i="1"/>
  <c r="H475" i="1"/>
  <c r="I475" i="1"/>
  <c r="J475" i="1"/>
  <c r="K475" i="1"/>
  <c r="L475" i="1"/>
  <c r="M475" i="1"/>
  <c r="O475" i="1"/>
  <c r="P475" i="1"/>
  <c r="Q475" i="1"/>
  <c r="S475" i="1"/>
  <c r="T475" i="1"/>
  <c r="U475" i="1"/>
  <c r="V475" i="1"/>
  <c r="W475" i="1"/>
  <c r="X475" i="1"/>
  <c r="Y475" i="1"/>
  <c r="Z475" i="1"/>
  <c r="AA475" i="1"/>
  <c r="AB475" i="1"/>
  <c r="AC475" i="1"/>
  <c r="AD475" i="1"/>
  <c r="AF475" i="1"/>
  <c r="AJ475" i="1"/>
  <c r="H476" i="1"/>
  <c r="I476" i="1"/>
  <c r="J476" i="1"/>
  <c r="K476" i="1"/>
  <c r="L476" i="1"/>
  <c r="M476" i="1"/>
  <c r="O476" i="1"/>
  <c r="P476" i="1"/>
  <c r="Q476" i="1"/>
  <c r="S476" i="1"/>
  <c r="T476" i="1"/>
  <c r="U476" i="1"/>
  <c r="V476" i="1"/>
  <c r="W476" i="1"/>
  <c r="X476" i="1"/>
  <c r="Y476" i="1"/>
  <c r="Z476" i="1"/>
  <c r="AA476" i="1"/>
  <c r="AB476" i="1"/>
  <c r="AC476" i="1"/>
  <c r="AD476" i="1"/>
  <c r="AF476" i="1"/>
  <c r="AH476" i="1"/>
  <c r="AJ476" i="1"/>
  <c r="AH477" i="1"/>
  <c r="H477" i="1"/>
  <c r="I477" i="1"/>
  <c r="J477" i="1"/>
  <c r="K477" i="1"/>
  <c r="L477" i="1"/>
  <c r="M477" i="1"/>
  <c r="O477" i="1"/>
  <c r="P477" i="1"/>
  <c r="Q477" i="1"/>
  <c r="S477" i="1"/>
  <c r="T477" i="1"/>
  <c r="U477" i="1"/>
  <c r="V477" i="1"/>
  <c r="W477" i="1"/>
  <c r="X477" i="1"/>
  <c r="Y477" i="1"/>
  <c r="Z477" i="1"/>
  <c r="AA477" i="1"/>
  <c r="AB477" i="1"/>
  <c r="AC477" i="1"/>
  <c r="AD477" i="1"/>
  <c r="AF477" i="1"/>
  <c r="AJ477" i="1"/>
  <c r="H478" i="1"/>
  <c r="I478" i="1"/>
  <c r="J478" i="1"/>
  <c r="K478" i="1"/>
  <c r="L478" i="1"/>
  <c r="M478" i="1"/>
  <c r="O478" i="1"/>
  <c r="P478" i="1"/>
  <c r="Q478" i="1"/>
  <c r="S478" i="1"/>
  <c r="T478" i="1"/>
  <c r="U478" i="1"/>
  <c r="V478" i="1"/>
  <c r="W478" i="1"/>
  <c r="X478" i="1"/>
  <c r="Y478" i="1"/>
  <c r="Z478" i="1"/>
  <c r="AA478" i="1"/>
  <c r="AB478" i="1"/>
  <c r="AC478" i="1"/>
  <c r="AD478" i="1"/>
  <c r="AF478" i="1"/>
  <c r="AH478" i="1"/>
  <c r="AJ478" i="1"/>
  <c r="AH479" i="1"/>
  <c r="H479" i="1"/>
  <c r="I479" i="1"/>
  <c r="J479" i="1"/>
  <c r="K479" i="1"/>
  <c r="L479" i="1"/>
  <c r="M479" i="1"/>
  <c r="O479" i="1"/>
  <c r="P479" i="1"/>
  <c r="Q479" i="1"/>
  <c r="S479" i="1"/>
  <c r="T479" i="1"/>
  <c r="U479" i="1"/>
  <c r="V479" i="1"/>
  <c r="W479" i="1"/>
  <c r="X479" i="1"/>
  <c r="Y479" i="1"/>
  <c r="Z479" i="1"/>
  <c r="AA479" i="1"/>
  <c r="AB479" i="1"/>
  <c r="AC479" i="1"/>
  <c r="AD479" i="1"/>
  <c r="AF479" i="1"/>
  <c r="AJ479" i="1"/>
  <c r="H480" i="1"/>
  <c r="I480" i="1"/>
  <c r="J480" i="1"/>
  <c r="K480" i="1"/>
  <c r="L480" i="1"/>
  <c r="M480" i="1"/>
  <c r="O480" i="1"/>
  <c r="P480" i="1"/>
  <c r="Q480" i="1"/>
  <c r="S480" i="1"/>
  <c r="T480" i="1"/>
  <c r="U480" i="1"/>
  <c r="V480" i="1"/>
  <c r="W480" i="1"/>
  <c r="X480" i="1"/>
  <c r="Y480" i="1"/>
  <c r="Z480" i="1"/>
  <c r="AA480" i="1"/>
  <c r="AB480" i="1"/>
  <c r="AC480" i="1"/>
  <c r="AD480" i="1"/>
  <c r="AF480" i="1"/>
  <c r="AH480" i="1"/>
  <c r="AJ480" i="1"/>
  <c r="H481" i="1"/>
  <c r="I481" i="1"/>
  <c r="J481" i="1"/>
  <c r="K481" i="1"/>
  <c r="L481" i="1"/>
  <c r="M481" i="1"/>
  <c r="O481" i="1"/>
  <c r="P481" i="1"/>
  <c r="Q481" i="1"/>
  <c r="S481" i="1"/>
  <c r="T481" i="1"/>
  <c r="U481" i="1"/>
  <c r="V481" i="1"/>
  <c r="W481" i="1"/>
  <c r="X481" i="1"/>
  <c r="Y481" i="1"/>
  <c r="Z481" i="1"/>
  <c r="AA481" i="1"/>
  <c r="AB481" i="1"/>
  <c r="AC481" i="1"/>
  <c r="AD481" i="1"/>
  <c r="AF481" i="1"/>
  <c r="AJ481" i="1"/>
  <c r="AH482" i="1"/>
  <c r="H482" i="1"/>
  <c r="I482" i="1"/>
  <c r="J482" i="1"/>
  <c r="K482" i="1"/>
  <c r="L482" i="1"/>
  <c r="M482" i="1"/>
  <c r="O482" i="1"/>
  <c r="P482" i="1"/>
  <c r="Q482" i="1"/>
  <c r="S482" i="1"/>
  <c r="T482" i="1"/>
  <c r="U482" i="1"/>
  <c r="V482" i="1"/>
  <c r="W482" i="1"/>
  <c r="X482" i="1"/>
  <c r="Y482" i="1"/>
  <c r="Z482" i="1"/>
  <c r="AA482" i="1"/>
  <c r="AB482" i="1"/>
  <c r="AC482" i="1"/>
  <c r="AD482" i="1"/>
  <c r="AF482" i="1"/>
  <c r="AJ482" i="1"/>
  <c r="H483" i="1"/>
  <c r="I483" i="1"/>
  <c r="J483" i="1"/>
  <c r="K483" i="1"/>
  <c r="L483" i="1"/>
  <c r="M483" i="1"/>
  <c r="O483" i="1"/>
  <c r="P483" i="1"/>
  <c r="Q483" i="1"/>
  <c r="S483" i="1"/>
  <c r="T483" i="1"/>
  <c r="U483" i="1"/>
  <c r="V483" i="1"/>
  <c r="W483" i="1"/>
  <c r="X483" i="1"/>
  <c r="Y483" i="1"/>
  <c r="Z483" i="1"/>
  <c r="AA483" i="1"/>
  <c r="AB483" i="1"/>
  <c r="AC483" i="1"/>
  <c r="AD483" i="1"/>
  <c r="AF483" i="1"/>
  <c r="AH483" i="1"/>
  <c r="AJ483" i="1"/>
  <c r="G485" i="1"/>
  <c r="G506" i="1"/>
  <c r="G510" i="1"/>
  <c r="T516" i="1"/>
  <c r="W516" i="1"/>
  <c r="X516" i="1"/>
  <c r="Y516" i="1"/>
  <c r="AB516" i="1"/>
  <c r="AC516" i="1"/>
  <c r="T517" i="1"/>
  <c r="W517" i="1"/>
  <c r="X517" i="1"/>
  <c r="Y517" i="1"/>
  <c r="AB517" i="1"/>
  <c r="AC517" i="1"/>
  <c r="T518" i="1"/>
  <c r="W518" i="1"/>
  <c r="X518" i="1"/>
  <c r="Y518" i="1"/>
  <c r="AB518" i="1"/>
  <c r="AC518" i="1"/>
  <c r="T529" i="1"/>
  <c r="W529" i="1"/>
  <c r="X529" i="1"/>
  <c r="Y529" i="1"/>
  <c r="AB529" i="1"/>
  <c r="AC529" i="1"/>
  <c r="AG533" i="1"/>
  <c r="K539" i="1"/>
  <c r="F526" i="2" s="1"/>
  <c r="H539" i="1"/>
  <c r="F523" i="2" s="1"/>
  <c r="I539" i="1"/>
  <c r="F524" i="2" s="1"/>
  <c r="J539" i="1"/>
  <c r="F525" i="2" s="1"/>
  <c r="L539" i="1"/>
  <c r="F527" i="2" s="1"/>
  <c r="M539" i="1"/>
  <c r="F528" i="2" s="1"/>
  <c r="O539" i="1"/>
  <c r="F532" i="2" s="1"/>
  <c r="P539" i="1"/>
  <c r="F533" i="2" s="1"/>
  <c r="Q539" i="1"/>
  <c r="F534" i="2" s="1"/>
  <c r="S539" i="1"/>
  <c r="F538" i="2" s="1"/>
  <c r="T539" i="1"/>
  <c r="F541" i="2" s="1"/>
  <c r="U539" i="1"/>
  <c r="F544" i="2" s="1"/>
  <c r="V539" i="1"/>
  <c r="F545" i="2" s="1"/>
  <c r="W539" i="1"/>
  <c r="F546" i="2" s="1"/>
  <c r="X539" i="1"/>
  <c r="F547" i="2" s="1"/>
  <c r="Y539" i="1"/>
  <c r="F548" i="2" s="1"/>
  <c r="Z539" i="1"/>
  <c r="F552" i="2" s="1"/>
  <c r="AA539" i="1"/>
  <c r="F553" i="2" s="1"/>
  <c r="AB539" i="1"/>
  <c r="F557" i="2" s="1"/>
  <c r="AC539" i="1"/>
  <c r="F560" i="2" s="1"/>
  <c r="AD539" i="1"/>
  <c r="F563" i="2" s="1"/>
  <c r="AF539" i="1"/>
  <c r="F566" i="2" s="1"/>
  <c r="AH539" i="1"/>
  <c r="F569" i="2" s="1"/>
  <c r="AJ539" i="1"/>
  <c r="F572" i="2" s="1"/>
  <c r="G547" i="1"/>
  <c r="AE547" i="1"/>
  <c r="AG547" i="1"/>
  <c r="AI547" i="1"/>
  <c r="AK563" i="1"/>
  <c r="AL563" i="1" s="1"/>
  <c r="V565" i="1"/>
  <c r="W565" i="1"/>
  <c r="X565" i="1"/>
  <c r="Y565" i="1"/>
  <c r="W75" i="1"/>
  <c r="Y75" i="1"/>
  <c r="AK567" i="1"/>
  <c r="AL567" i="1" s="1"/>
  <c r="AK568" i="1"/>
  <c r="AL568" i="1" s="1"/>
  <c r="AK569" i="1"/>
  <c r="AL569" i="1" s="1"/>
  <c r="AK570" i="1"/>
  <c r="AL570" i="1" s="1"/>
  <c r="AK571" i="1"/>
  <c r="AL571" i="1" s="1"/>
  <c r="AK572" i="1"/>
  <c r="AL572" i="1" s="1"/>
  <c r="O29" i="1"/>
  <c r="AK574" i="1"/>
  <c r="AL574" i="1" s="1"/>
  <c r="AK575" i="1"/>
  <c r="AL575" i="1" s="1"/>
  <c r="AK576" i="1"/>
  <c r="AL576" i="1" s="1"/>
  <c r="AK577" i="1"/>
  <c r="AL577" i="1" s="1"/>
  <c r="AK579" i="1"/>
  <c r="AL579" i="1" s="1"/>
  <c r="AK585" i="1"/>
  <c r="AL585" i="1" s="1"/>
  <c r="AK586" i="1"/>
  <c r="AL586" i="1" s="1"/>
  <c r="K589" i="1"/>
  <c r="L589" i="1"/>
  <c r="M589" i="1"/>
  <c r="O589" i="1"/>
  <c r="P589" i="1"/>
  <c r="Q589" i="1"/>
  <c r="S589" i="1"/>
  <c r="T589" i="1"/>
  <c r="U589" i="1"/>
  <c r="V589" i="1"/>
  <c r="W589" i="1"/>
  <c r="X589" i="1"/>
  <c r="Y589" i="1"/>
  <c r="Z589" i="1"/>
  <c r="AA589" i="1"/>
  <c r="AB589" i="1"/>
  <c r="AC589" i="1"/>
  <c r="AD589" i="1"/>
  <c r="AF589" i="1"/>
  <c r="AH589" i="1"/>
  <c r="AJ589" i="1"/>
  <c r="K590" i="1"/>
  <c r="H590" i="1"/>
  <c r="I590" i="1"/>
  <c r="J590" i="1"/>
  <c r="L590" i="1"/>
  <c r="M590" i="1"/>
  <c r="O590" i="1"/>
  <c r="P590" i="1"/>
  <c r="Q590" i="1"/>
  <c r="S590" i="1"/>
  <c r="T590" i="1"/>
  <c r="U590" i="1"/>
  <c r="V590" i="1"/>
  <c r="W590" i="1"/>
  <c r="X590" i="1"/>
  <c r="Y590" i="1"/>
  <c r="Z590" i="1"/>
  <c r="AA590" i="1"/>
  <c r="AB590" i="1"/>
  <c r="AC590" i="1"/>
  <c r="AD590" i="1"/>
  <c r="AF590" i="1"/>
  <c r="AF591" i="1" s="1"/>
  <c r="AH590" i="1"/>
  <c r="AJ590" i="1"/>
  <c r="AE591" i="1"/>
  <c r="AG591" i="1"/>
  <c r="AI591" i="1"/>
  <c r="AK593" i="1"/>
  <c r="AL593" i="1" s="1"/>
  <c r="AK594" i="1"/>
  <c r="AL594" i="1" s="1"/>
  <c r="AK595" i="1"/>
  <c r="AL595" i="1" s="1"/>
  <c r="AK596" i="1"/>
  <c r="AL596" i="1" s="1"/>
  <c r="H178" i="1"/>
  <c r="I20" i="1"/>
  <c r="V75" i="1"/>
  <c r="J406" i="1"/>
  <c r="J16" i="1"/>
  <c r="J20" i="1"/>
  <c r="AH474" i="1"/>
  <c r="H406" i="1"/>
  <c r="H386" i="1"/>
  <c r="J178" i="1"/>
  <c r="L591" i="1" l="1"/>
  <c r="L221" i="1" s="1"/>
  <c r="G783" i="2"/>
  <c r="G784" i="2"/>
  <c r="G458" i="1"/>
  <c r="G460" i="1" s="1"/>
  <c r="G462" i="1" s="1"/>
  <c r="H1" i="2"/>
  <c r="L293" i="1"/>
  <c r="F526" i="1"/>
  <c r="G280" i="1"/>
  <c r="G282" i="1" s="1"/>
  <c r="G284" i="1" s="1"/>
  <c r="P30" i="1"/>
  <c r="AK566" i="1"/>
  <c r="AL566" i="1" s="1"/>
  <c r="P72" i="1"/>
  <c r="Q30" i="1"/>
  <c r="Z38" i="1"/>
  <c r="Z451" i="1" s="1"/>
  <c r="AK565" i="1"/>
  <c r="AL565" i="1" s="1"/>
  <c r="X75" i="1"/>
  <c r="AK75" i="1" s="1"/>
  <c r="AL75" i="1" s="1"/>
  <c r="AK573" i="1"/>
  <c r="AL573" i="1" s="1"/>
  <c r="AK564" i="1"/>
  <c r="AL564" i="1" s="1"/>
  <c r="P126" i="1"/>
  <c r="O72" i="1"/>
  <c r="O30" i="1"/>
  <c r="O32" i="1" s="1"/>
  <c r="M580" i="1"/>
  <c r="L580" i="1"/>
  <c r="AK177" i="1"/>
  <c r="AL177" i="1" s="1"/>
  <c r="J386" i="1"/>
  <c r="AK386" i="1" s="1"/>
  <c r="AL386" i="1" s="1"/>
  <c r="H372" i="1"/>
  <c r="AD582" i="1"/>
  <c r="AD371" i="1" s="1"/>
  <c r="AD377" i="1" s="1"/>
  <c r="AD184" i="1" s="1"/>
  <c r="AD190" i="1" s="1"/>
  <c r="S429" i="1"/>
  <c r="Z450" i="1"/>
  <c r="I269" i="1"/>
  <c r="L432" i="1"/>
  <c r="I252" i="1"/>
  <c r="S252" i="1"/>
  <c r="X580" i="1"/>
  <c r="X350" i="1" s="1"/>
  <c r="X356" i="1" s="1"/>
  <c r="X163" i="1" s="1"/>
  <c r="X169" i="1" s="1"/>
  <c r="Z272" i="1"/>
  <c r="I447" i="1"/>
  <c r="S269" i="1"/>
  <c r="I449" i="1"/>
  <c r="I270" i="1"/>
  <c r="I448" i="1"/>
  <c r="Z32" i="1"/>
  <c r="Z521" i="1" s="1"/>
  <c r="V582" i="1"/>
  <c r="V371" i="1" s="1"/>
  <c r="V377" i="1" s="1"/>
  <c r="V184" i="1" s="1"/>
  <c r="V190" i="1" s="1"/>
  <c r="AA451" i="1"/>
  <c r="J372" i="1"/>
  <c r="J582" i="1" s="1"/>
  <c r="L582" i="1"/>
  <c r="L371" i="1" s="1"/>
  <c r="L377" i="1" s="1"/>
  <c r="L184" i="1" s="1"/>
  <c r="L190" i="1" s="1"/>
  <c r="AJ32" i="1"/>
  <c r="AJ521" i="1" s="1"/>
  <c r="L32" i="1"/>
  <c r="L521" i="1" s="1"/>
  <c r="Q448" i="1"/>
  <c r="Z252" i="1"/>
  <c r="J254" i="1"/>
  <c r="P271" i="1"/>
  <c r="T432" i="1"/>
  <c r="Z270" i="1"/>
  <c r="AH272" i="1"/>
  <c r="AA293" i="1"/>
  <c r="P430" i="1"/>
  <c r="P429" i="1"/>
  <c r="Z269" i="1"/>
  <c r="J432" i="1"/>
  <c r="Z448" i="1"/>
  <c r="Y434" i="1"/>
  <c r="AH32" i="1"/>
  <c r="AH521" i="1" s="1"/>
  <c r="X32" i="1"/>
  <c r="X521" i="1" s="1"/>
  <c r="K32" i="1"/>
  <c r="K521" i="1" s="1"/>
  <c r="P270" i="1"/>
  <c r="P253" i="1"/>
  <c r="J272" i="1"/>
  <c r="T450" i="1"/>
  <c r="P269" i="1"/>
  <c r="P431" i="1"/>
  <c r="T254" i="1"/>
  <c r="P448" i="1"/>
  <c r="Z251" i="1"/>
  <c r="AC253" i="1"/>
  <c r="AC449" i="1"/>
  <c r="P252" i="1"/>
  <c r="Z430" i="1"/>
  <c r="AC431" i="1"/>
  <c r="AH254" i="1"/>
  <c r="Z447" i="1"/>
  <c r="P251" i="1"/>
  <c r="AH432" i="1"/>
  <c r="O255" i="1"/>
  <c r="O453" i="1"/>
  <c r="AJ452" i="1"/>
  <c r="X433" i="1"/>
  <c r="X258" i="1"/>
  <c r="X452" i="1"/>
  <c r="X255" i="1"/>
  <c r="X434" i="1"/>
  <c r="AH451" i="1"/>
  <c r="AJ436" i="1"/>
  <c r="AJ453" i="1"/>
  <c r="AD429" i="1"/>
  <c r="S273" i="1"/>
  <c r="V251" i="1"/>
  <c r="K269" i="1"/>
  <c r="AD293" i="1"/>
  <c r="AB258" i="1"/>
  <c r="AB432" i="1"/>
  <c r="K270" i="1"/>
  <c r="P135" i="1"/>
  <c r="F471" i="1"/>
  <c r="H342" i="1"/>
  <c r="H154" i="1" s="1"/>
  <c r="J342" i="1"/>
  <c r="J154" i="1" s="1"/>
  <c r="AH453" i="1"/>
  <c r="AJ448" i="1"/>
  <c r="M274" i="1"/>
  <c r="K274" i="1"/>
  <c r="U451" i="1"/>
  <c r="AH433" i="1"/>
  <c r="O269" i="1"/>
  <c r="AH256" i="1"/>
  <c r="AF26" i="1"/>
  <c r="M26" i="1"/>
  <c r="Y429" i="1"/>
  <c r="I450" i="1"/>
  <c r="M436" i="1"/>
  <c r="AB431" i="1"/>
  <c r="O431" i="1"/>
  <c r="AB271" i="1"/>
  <c r="AJ447" i="1"/>
  <c r="H293" i="1"/>
  <c r="O271" i="1"/>
  <c r="AB253" i="1"/>
  <c r="AF451" i="1"/>
  <c r="AH580" i="1"/>
  <c r="AH350" i="1" s="1"/>
  <c r="AH356" i="1" s="1"/>
  <c r="AH163" i="1" s="1"/>
  <c r="AH169" i="1" s="1"/>
  <c r="O580" i="1"/>
  <c r="O350" i="1" s="1"/>
  <c r="O356" i="1" s="1"/>
  <c r="O163" i="1" s="1"/>
  <c r="O169" i="1" s="1"/>
  <c r="Y293" i="1"/>
  <c r="AH255" i="1"/>
  <c r="AF32" i="1"/>
  <c r="AF521" i="1" s="1"/>
  <c r="W32" i="1"/>
  <c r="W521" i="1" s="1"/>
  <c r="J32" i="1"/>
  <c r="J521" i="1" s="1"/>
  <c r="U32" i="1"/>
  <c r="U521" i="1" s="1"/>
  <c r="H32" i="1"/>
  <c r="H521" i="1" s="1"/>
  <c r="AA26" i="1"/>
  <c r="S26" i="1"/>
  <c r="AJ26" i="1"/>
  <c r="M453" i="1"/>
  <c r="M433" i="1"/>
  <c r="L451" i="1"/>
  <c r="Y448" i="1"/>
  <c r="Y447" i="1"/>
  <c r="AH434" i="1"/>
  <c r="Y430" i="1"/>
  <c r="O429" i="1"/>
  <c r="Y270" i="1"/>
  <c r="W255" i="1"/>
  <c r="AJ252" i="1"/>
  <c r="AF432" i="1"/>
  <c r="O430" i="1"/>
  <c r="O270" i="1"/>
  <c r="Y252" i="1"/>
  <c r="AH452" i="1"/>
  <c r="AF450" i="1"/>
  <c r="O447" i="1"/>
  <c r="AF254" i="1"/>
  <c r="W452" i="1"/>
  <c r="O449" i="1"/>
  <c r="AH436" i="1"/>
  <c r="M434" i="1"/>
  <c r="I432" i="1"/>
  <c r="AJ429" i="1"/>
  <c r="M452" i="1"/>
  <c r="Y269" i="1"/>
  <c r="I254" i="1"/>
  <c r="Z293" i="1"/>
  <c r="K452" i="1"/>
  <c r="AF433" i="1"/>
  <c r="Q582" i="1"/>
  <c r="Q371" i="1" s="1"/>
  <c r="Q377" i="1" s="1"/>
  <c r="Q184" i="1" s="1"/>
  <c r="Q190" i="1" s="1"/>
  <c r="L220" i="1"/>
  <c r="AB591" i="1"/>
  <c r="AB405" i="1" s="1"/>
  <c r="AB409" i="1" s="1"/>
  <c r="V434" i="1"/>
  <c r="V275" i="1"/>
  <c r="J343" i="1"/>
  <c r="J155" i="1" s="1"/>
  <c r="AD256" i="1"/>
  <c r="AF465" i="1"/>
  <c r="AK465" i="1" s="1"/>
  <c r="AL465" i="1" s="1"/>
  <c r="M448" i="1"/>
  <c r="AD26" i="1"/>
  <c r="J176" i="1"/>
  <c r="U433" i="1"/>
  <c r="AF452" i="1"/>
  <c r="X429" i="1"/>
  <c r="AF582" i="1"/>
  <c r="AF371" i="1" s="1"/>
  <c r="AF377" i="1" s="1"/>
  <c r="AF184" i="1" s="1"/>
  <c r="AF190" i="1" s="1"/>
  <c r="M582" i="1"/>
  <c r="M371" i="1" s="1"/>
  <c r="M377" i="1" s="1"/>
  <c r="M184" i="1" s="1"/>
  <c r="M190" i="1" s="1"/>
  <c r="J293" i="1"/>
  <c r="L258" i="1"/>
  <c r="AD434" i="1"/>
  <c r="X270" i="1"/>
  <c r="L433" i="1"/>
  <c r="U436" i="1"/>
  <c r="L434" i="1"/>
  <c r="AA581" i="1"/>
  <c r="AA361" i="1" s="1"/>
  <c r="AA368" i="1" s="1"/>
  <c r="AA174" i="1" s="1"/>
  <c r="AA181" i="1" s="1"/>
  <c r="Z307" i="1"/>
  <c r="Q307" i="1"/>
  <c r="S293" i="1"/>
  <c r="J125" i="1"/>
  <c r="AF436" i="1"/>
  <c r="H208" i="1"/>
  <c r="H125" i="1"/>
  <c r="AD275" i="1"/>
  <c r="V256" i="1"/>
  <c r="Y580" i="1"/>
  <c r="Y350" i="1" s="1"/>
  <c r="Y356" i="1" s="1"/>
  <c r="Y163" i="1" s="1"/>
  <c r="Y169" i="1" s="1"/>
  <c r="AF274" i="1"/>
  <c r="J24" i="1"/>
  <c r="J26" i="1" s="1"/>
  <c r="J60" i="1" s="1"/>
  <c r="P580" i="1"/>
  <c r="P350" i="1" s="1"/>
  <c r="P356" i="1" s="1"/>
  <c r="P163" i="1" s="1"/>
  <c r="P169" i="1" s="1"/>
  <c r="I407" i="1"/>
  <c r="L453" i="1"/>
  <c r="J433" i="1"/>
  <c r="V32" i="1"/>
  <c r="V521" i="1" s="1"/>
  <c r="Z26" i="1"/>
  <c r="AH270" i="1"/>
  <c r="J133" i="1"/>
  <c r="J436" i="1"/>
  <c r="I396" i="1"/>
  <c r="J365" i="1"/>
  <c r="AB434" i="1"/>
  <c r="M430" i="1"/>
  <c r="AB582" i="1"/>
  <c r="AB371" i="1" s="1"/>
  <c r="AB377" i="1" s="1"/>
  <c r="AB184" i="1" s="1"/>
  <c r="AB190" i="1" s="1"/>
  <c r="AD272" i="1"/>
  <c r="L251" i="1"/>
  <c r="AD211" i="1"/>
  <c r="V211" i="1"/>
  <c r="AB211" i="1"/>
  <c r="I164" i="1"/>
  <c r="AA32" i="1"/>
  <c r="AA521" i="1" s="1"/>
  <c r="U26" i="1"/>
  <c r="U60" i="1" s="1"/>
  <c r="K26" i="1"/>
  <c r="X251" i="1"/>
  <c r="AD451" i="1"/>
  <c r="H206" i="1"/>
  <c r="AH251" i="1"/>
  <c r="T433" i="1"/>
  <c r="K451" i="1"/>
  <c r="X448" i="1"/>
  <c r="AH447" i="1"/>
  <c r="F440" i="1"/>
  <c r="X390" i="1"/>
  <c r="X197" i="1" s="1"/>
  <c r="X203" i="1" s="1"/>
  <c r="AA582" i="1"/>
  <c r="AA371" i="1" s="1"/>
  <c r="AA377" i="1" s="1"/>
  <c r="AA184" i="1" s="1"/>
  <c r="AA190" i="1" s="1"/>
  <c r="S582" i="1"/>
  <c r="S371" i="1" s="1"/>
  <c r="S377" i="1" s="1"/>
  <c r="X307" i="1"/>
  <c r="AF307" i="1"/>
  <c r="AJ293" i="1"/>
  <c r="O293" i="1"/>
  <c r="Q272" i="1"/>
  <c r="K211" i="1"/>
  <c r="J434" i="1"/>
  <c r="H432" i="1"/>
  <c r="Q450" i="1"/>
  <c r="M447" i="1"/>
  <c r="T258" i="1"/>
  <c r="T453" i="1"/>
  <c r="J452" i="1"/>
  <c r="H450" i="1"/>
  <c r="M449" i="1"/>
  <c r="AD432" i="1"/>
  <c r="S398" i="1"/>
  <c r="V580" i="1"/>
  <c r="V350" i="1" s="1"/>
  <c r="V356" i="1" s="1"/>
  <c r="V163" i="1" s="1"/>
  <c r="V169" i="1" s="1"/>
  <c r="U578" i="1"/>
  <c r="U340" i="1" s="1"/>
  <c r="U347" i="1" s="1"/>
  <c r="U152" i="1" s="1"/>
  <c r="U160" i="1" s="1"/>
  <c r="V307" i="1"/>
  <c r="M293" i="1"/>
  <c r="J274" i="1"/>
  <c r="I24" i="1"/>
  <c r="AB436" i="1"/>
  <c r="X430" i="1"/>
  <c r="T256" i="1"/>
  <c r="T451" i="1"/>
  <c r="AA449" i="1"/>
  <c r="U582" i="1"/>
  <c r="U371" i="1" s="1"/>
  <c r="U377" i="1" s="1"/>
  <c r="U184" i="1" s="1"/>
  <c r="U190" i="1" s="1"/>
  <c r="AA431" i="1"/>
  <c r="J206" i="1"/>
  <c r="Q587" i="1"/>
  <c r="Q143" i="1" s="1"/>
  <c r="AK468" i="1"/>
  <c r="AL468" i="1" s="1"/>
  <c r="T434" i="1"/>
  <c r="Q432" i="1"/>
  <c r="P582" i="1"/>
  <c r="P371" i="1" s="1"/>
  <c r="P377" i="1" s="1"/>
  <c r="P184" i="1" s="1"/>
  <c r="P190" i="1" s="1"/>
  <c r="AK362" i="1"/>
  <c r="AL362" i="1" s="1"/>
  <c r="V293" i="1"/>
  <c r="X252" i="1"/>
  <c r="AH448" i="1"/>
  <c r="AH429" i="1"/>
  <c r="M429" i="1"/>
  <c r="M270" i="1"/>
  <c r="AA253" i="1"/>
  <c r="M251" i="1"/>
  <c r="I365" i="1"/>
  <c r="AD450" i="1"/>
  <c r="X447" i="1"/>
  <c r="AH430" i="1"/>
  <c r="M252" i="1"/>
  <c r="F506" i="1"/>
  <c r="F584" i="1"/>
  <c r="AK165" i="1"/>
  <c r="AL165" i="1" s="1"/>
  <c r="H452" i="1"/>
  <c r="AK201" i="1"/>
  <c r="AL201" i="1" s="1"/>
  <c r="J344" i="1"/>
  <c r="Q453" i="1"/>
  <c r="P452" i="1"/>
  <c r="AC390" i="1"/>
  <c r="AC197" i="1" s="1"/>
  <c r="AC203" i="1" s="1"/>
  <c r="AH582" i="1"/>
  <c r="AH371" i="1" s="1"/>
  <c r="AH377" i="1" s="1"/>
  <c r="AH184" i="1" s="1"/>
  <c r="AH190" i="1" s="1"/>
  <c r="M32" i="1"/>
  <c r="M521" i="1" s="1"/>
  <c r="F190" i="1"/>
  <c r="P453" i="1"/>
  <c r="I307" i="1"/>
  <c r="J393" i="1"/>
  <c r="Z580" i="1"/>
  <c r="Z350" i="1" s="1"/>
  <c r="Z356" i="1" s="1"/>
  <c r="Z163" i="1" s="1"/>
  <c r="Z169" i="1" s="1"/>
  <c r="I293" i="1"/>
  <c r="Y256" i="1"/>
  <c r="I582" i="1"/>
  <c r="I343" i="1"/>
  <c r="I155" i="1" s="1"/>
  <c r="AB587" i="1"/>
  <c r="AB143" i="1" s="1"/>
  <c r="AA275" i="1"/>
  <c r="AA453" i="1"/>
  <c r="L253" i="1"/>
  <c r="L271" i="1"/>
  <c r="L431" i="1"/>
  <c r="Q255" i="1"/>
  <c r="Q274" i="1"/>
  <c r="Z256" i="1"/>
  <c r="Z453" i="1"/>
  <c r="AD251" i="1"/>
  <c r="AD447" i="1"/>
  <c r="AD448" i="1"/>
  <c r="AD252" i="1"/>
  <c r="Q452" i="1"/>
  <c r="AF429" i="1"/>
  <c r="Z271" i="1"/>
  <c r="Y433" i="1"/>
  <c r="Y436" i="1"/>
  <c r="AH431" i="1"/>
  <c r="AH587" i="1"/>
  <c r="AH143" i="1" s="1"/>
  <c r="J45" i="1"/>
  <c r="I451" i="1"/>
  <c r="AA433" i="1"/>
  <c r="L581" i="1"/>
  <c r="L361" i="1" s="1"/>
  <c r="L368" i="1" s="1"/>
  <c r="L174" i="1" s="1"/>
  <c r="AB581" i="1"/>
  <c r="AB361" i="1" s="1"/>
  <c r="AB368" i="1" s="1"/>
  <c r="AB174" i="1" s="1"/>
  <c r="AB181" i="1" s="1"/>
  <c r="AC580" i="1"/>
  <c r="AC350" i="1" s="1"/>
  <c r="AC356" i="1" s="1"/>
  <c r="AC163" i="1" s="1"/>
  <c r="AC169" i="1" s="1"/>
  <c r="U580" i="1"/>
  <c r="U350" i="1" s="1"/>
  <c r="U356" i="1" s="1"/>
  <c r="U163" i="1" s="1"/>
  <c r="U169" i="1" s="1"/>
  <c r="I344" i="1"/>
  <c r="AD578" i="1"/>
  <c r="AD340" i="1" s="1"/>
  <c r="AD347" i="1" s="1"/>
  <c r="AD152" i="1" s="1"/>
  <c r="AD160" i="1" s="1"/>
  <c r="AD307" i="1"/>
  <c r="L307" i="1"/>
  <c r="Z275" i="1"/>
  <c r="Y258" i="1"/>
  <c r="AK257" i="1"/>
  <c r="AL257" i="1" s="1"/>
  <c r="H156" i="1"/>
  <c r="J156" i="1"/>
  <c r="I453" i="1"/>
  <c r="I275" i="1"/>
  <c r="AC432" i="1"/>
  <c r="AC450" i="1"/>
  <c r="AC587" i="1"/>
  <c r="AC143" i="1" s="1"/>
  <c r="AC254" i="1"/>
  <c r="W251" i="1"/>
  <c r="W270" i="1"/>
  <c r="W269" i="1"/>
  <c r="W430" i="1"/>
  <c r="W447" i="1"/>
  <c r="W448" i="1"/>
  <c r="Z274" i="1"/>
  <c r="Z452" i="1"/>
  <c r="AB273" i="1"/>
  <c r="AB451" i="1"/>
  <c r="O450" i="1"/>
  <c r="O254" i="1"/>
  <c r="AD270" i="1"/>
  <c r="O587" i="1"/>
  <c r="O143" i="1" s="1"/>
  <c r="AC451" i="1"/>
  <c r="L447" i="1"/>
  <c r="X211" i="1"/>
  <c r="AK167" i="1"/>
  <c r="AL167" i="1" s="1"/>
  <c r="Y255" i="1"/>
  <c r="Y452" i="1"/>
  <c r="J431" i="1"/>
  <c r="J587" i="1"/>
  <c r="J143" i="1" s="1"/>
  <c r="AD269" i="1"/>
  <c r="F160" i="1"/>
  <c r="F171" i="1" s="1"/>
  <c r="P587" i="1"/>
  <c r="P143" i="1" s="1"/>
  <c r="AB485" i="1"/>
  <c r="P450" i="1"/>
  <c r="F456" i="1"/>
  <c r="AA436" i="1"/>
  <c r="O582" i="1"/>
  <c r="O371" i="1" s="1"/>
  <c r="O377" i="1" s="1"/>
  <c r="O184" i="1" s="1"/>
  <c r="O190" i="1" s="1"/>
  <c r="S581" i="1"/>
  <c r="S361" i="1" s="1"/>
  <c r="S368" i="1" s="1"/>
  <c r="S174" i="1" s="1"/>
  <c r="S181" i="1" s="1"/>
  <c r="J351" i="1"/>
  <c r="J580" i="1" s="1"/>
  <c r="T307" i="1"/>
  <c r="J307" i="1"/>
  <c r="AC293" i="1"/>
  <c r="U293" i="1"/>
  <c r="K293" i="1"/>
  <c r="Y275" i="1"/>
  <c r="AC272" i="1"/>
  <c r="Z449" i="1"/>
  <c r="L252" i="1"/>
  <c r="L429" i="1"/>
  <c r="Z433" i="1"/>
  <c r="Z436" i="1"/>
  <c r="H275" i="1"/>
  <c r="H256" i="1"/>
  <c r="H434" i="1"/>
  <c r="K449" i="1"/>
  <c r="K271" i="1"/>
  <c r="K431" i="1"/>
  <c r="K253" i="1"/>
  <c r="J175" i="1"/>
  <c r="I175" i="1"/>
  <c r="H175" i="1"/>
  <c r="AA432" i="1"/>
  <c r="AA450" i="1"/>
  <c r="AA587" i="1"/>
  <c r="AA143" i="1" s="1"/>
  <c r="O432" i="1"/>
  <c r="AK188" i="1"/>
  <c r="AL188" i="1" s="1"/>
  <c r="AJ431" i="1"/>
  <c r="O45" i="1"/>
  <c r="O61" i="1" s="1"/>
  <c r="J71" i="1"/>
  <c r="L448" i="1"/>
  <c r="T578" i="1"/>
  <c r="T340" i="1" s="1"/>
  <c r="T347" i="1" s="1"/>
  <c r="T152" i="1" s="1"/>
  <c r="T160" i="1" s="1"/>
  <c r="AA307" i="1"/>
  <c r="S307" i="1"/>
  <c r="AB293" i="1"/>
  <c r="T293" i="1"/>
  <c r="P255" i="1"/>
  <c r="Z253" i="1"/>
  <c r="I207" i="1"/>
  <c r="H207" i="1"/>
  <c r="J207" i="1"/>
  <c r="S433" i="1"/>
  <c r="S258" i="1"/>
  <c r="S453" i="1"/>
  <c r="S434" i="1"/>
  <c r="S256" i="1"/>
  <c r="P254" i="1"/>
  <c r="P272" i="1"/>
  <c r="Y37" i="1"/>
  <c r="W37" i="1"/>
  <c r="AF252" i="1"/>
  <c r="AF447" i="1"/>
  <c r="AF448" i="1"/>
  <c r="Z587" i="1"/>
  <c r="Z143" i="1" s="1"/>
  <c r="L449" i="1"/>
  <c r="Q434" i="1"/>
  <c r="Q275" i="1"/>
  <c r="AB450" i="1"/>
  <c r="AB254" i="1"/>
  <c r="U449" i="1"/>
  <c r="U271" i="1"/>
  <c r="V269" i="1"/>
  <c r="V270" i="1"/>
  <c r="V429" i="1"/>
  <c r="V447" i="1"/>
  <c r="V430" i="1"/>
  <c r="V448" i="1"/>
  <c r="K251" i="1"/>
  <c r="K252" i="1"/>
  <c r="I256" i="1"/>
  <c r="K447" i="1"/>
  <c r="AF430" i="1"/>
  <c r="AH211" i="1"/>
  <c r="O211" i="1"/>
  <c r="H157" i="1"/>
  <c r="J157" i="1"/>
  <c r="P433" i="1"/>
  <c r="P258" i="1"/>
  <c r="Y451" i="1"/>
  <c r="Y273" i="1"/>
  <c r="M254" i="1"/>
  <c r="M272" i="1"/>
  <c r="M450" i="1"/>
  <c r="M587" i="1"/>
  <c r="M143" i="1" s="1"/>
  <c r="T587" i="1"/>
  <c r="T143" i="1" s="1"/>
  <c r="U269" i="1"/>
  <c r="U448" i="1"/>
  <c r="Z255" i="1"/>
  <c r="AC447" i="1"/>
  <c r="Z258" i="1"/>
  <c r="W252" i="1"/>
  <c r="AF211" i="1"/>
  <c r="H451" i="1"/>
  <c r="AJ253" i="1"/>
  <c r="O272" i="1"/>
  <c r="L45" i="1"/>
  <c r="L61" i="1" s="1"/>
  <c r="Q451" i="1"/>
  <c r="K430" i="1"/>
  <c r="AJ271" i="1"/>
  <c r="S45" i="1"/>
  <c r="S61" i="1" s="1"/>
  <c r="J451" i="1"/>
  <c r="W429" i="1"/>
  <c r="J387" i="1"/>
  <c r="H387" i="1"/>
  <c r="I387" i="1"/>
  <c r="I390" i="1" s="1"/>
  <c r="H274" i="1"/>
  <c r="K429" i="1"/>
  <c r="U253" i="1"/>
  <c r="J208" i="1"/>
  <c r="V37" i="1"/>
  <c r="P45" i="1"/>
  <c r="P61" i="1" s="1"/>
  <c r="AH481" i="1"/>
  <c r="AK481" i="1" s="1"/>
  <c r="AL481" i="1" s="1"/>
  <c r="F485" i="1"/>
  <c r="H485" i="1"/>
  <c r="AA434" i="1"/>
  <c r="I434" i="1"/>
  <c r="M432" i="1"/>
  <c r="L430" i="1"/>
  <c r="AK305" i="1"/>
  <c r="AL305" i="1" s="1"/>
  <c r="AB430" i="1"/>
  <c r="X451" i="1"/>
  <c r="AB429" i="1"/>
  <c r="I253" i="1"/>
  <c r="T211" i="1"/>
  <c r="AB269" i="1"/>
  <c r="I587" i="1"/>
  <c r="I143" i="1" s="1"/>
  <c r="X37" i="1"/>
  <c r="X272" i="1" s="1"/>
  <c r="F554" i="2"/>
  <c r="S448" i="1"/>
  <c r="AJ434" i="1"/>
  <c r="S430" i="1"/>
  <c r="I429" i="1"/>
  <c r="O274" i="1"/>
  <c r="AJ255" i="1"/>
  <c r="AB252" i="1"/>
  <c r="J164" i="1"/>
  <c r="AJ433" i="1"/>
  <c r="I431" i="1"/>
  <c r="F583" i="1"/>
  <c r="AJ256" i="1"/>
  <c r="I430" i="1"/>
  <c r="Z432" i="1"/>
  <c r="P451" i="1"/>
  <c r="AB448" i="1"/>
  <c r="O433" i="1"/>
  <c r="W591" i="1"/>
  <c r="W220" i="1" s="1"/>
  <c r="K398" i="1"/>
  <c r="AJ581" i="1"/>
  <c r="AJ361" i="1" s="1"/>
  <c r="AJ368" i="1" s="1"/>
  <c r="AJ174" i="1" s="1"/>
  <c r="AJ181" i="1" s="1"/>
  <c r="S211" i="1"/>
  <c r="AJ211" i="1"/>
  <c r="Y211" i="1"/>
  <c r="P211" i="1"/>
  <c r="W211" i="1"/>
  <c r="AC211" i="1"/>
  <c r="T32" i="1"/>
  <c r="T521" i="1" s="1"/>
  <c r="O26" i="1"/>
  <c r="V26" i="1"/>
  <c r="AD591" i="1"/>
  <c r="AD219" i="1" s="1"/>
  <c r="AH398" i="1"/>
  <c r="X398" i="1"/>
  <c r="O398" i="1"/>
  <c r="AD398" i="1"/>
  <c r="L398" i="1"/>
  <c r="Z398" i="1"/>
  <c r="AA390" i="1"/>
  <c r="AA197" i="1" s="1"/>
  <c r="AA203" i="1" s="1"/>
  <c r="S390" i="1"/>
  <c r="S197" i="1" s="1"/>
  <c r="S203" i="1" s="1"/>
  <c r="Y582" i="1"/>
  <c r="Y371" i="1" s="1"/>
  <c r="Y377" i="1" s="1"/>
  <c r="Y184" i="1" s="1"/>
  <c r="Y190" i="1" s="1"/>
  <c r="AF581" i="1"/>
  <c r="AF361" i="1" s="1"/>
  <c r="AF368" i="1" s="1"/>
  <c r="W581" i="1"/>
  <c r="W361" i="1" s="1"/>
  <c r="W368" i="1" s="1"/>
  <c r="M581" i="1"/>
  <c r="M361" i="1" s="1"/>
  <c r="M368" i="1" s="1"/>
  <c r="K581" i="1"/>
  <c r="K361" i="1" s="1"/>
  <c r="K368" i="1" s="1"/>
  <c r="K174" i="1" s="1"/>
  <c r="AB578" i="1"/>
  <c r="AB340" i="1" s="1"/>
  <c r="AB347" i="1" s="1"/>
  <c r="O307" i="1"/>
  <c r="AC32" i="1"/>
  <c r="AC521" i="1" s="1"/>
  <c r="S32" i="1"/>
  <c r="S521" i="1" s="1"/>
  <c r="P26" i="1"/>
  <c r="P60" i="1" s="1"/>
  <c r="L485" i="1"/>
  <c r="AK477" i="1"/>
  <c r="AL477" i="1" s="1"/>
  <c r="AK476" i="1"/>
  <c r="AL476" i="1" s="1"/>
  <c r="AJ485" i="1"/>
  <c r="P471" i="1"/>
  <c r="K471" i="1"/>
  <c r="AK435" i="1"/>
  <c r="AL435" i="1" s="1"/>
  <c r="AH45" i="1"/>
  <c r="AA591" i="1"/>
  <c r="AA221" i="1" s="1"/>
  <c r="S591" i="1"/>
  <c r="S405" i="1" s="1"/>
  <c r="S409" i="1" s="1"/>
  <c r="U398" i="1"/>
  <c r="AF398" i="1"/>
  <c r="AJ390" i="1"/>
  <c r="AJ197" i="1" s="1"/>
  <c r="AJ203" i="1" s="1"/>
  <c r="T581" i="1"/>
  <c r="T361" i="1" s="1"/>
  <c r="T368" i="1" s="1"/>
  <c r="T174" i="1" s="1"/>
  <c r="T181" i="1" s="1"/>
  <c r="AK363" i="1"/>
  <c r="AL363" i="1" s="1"/>
  <c r="Z581" i="1"/>
  <c r="Z361" i="1" s="1"/>
  <c r="Z368" i="1" s="1"/>
  <c r="Z174" i="1" s="1"/>
  <c r="Z181" i="1" s="1"/>
  <c r="AJ578" i="1"/>
  <c r="AJ340" i="1" s="1"/>
  <c r="AJ347" i="1" s="1"/>
  <c r="AJ152" i="1" s="1"/>
  <c r="AJ160" i="1" s="1"/>
  <c r="Y578" i="1"/>
  <c r="Y340" i="1" s="1"/>
  <c r="Y347" i="1" s="1"/>
  <c r="Y152" i="1" s="1"/>
  <c r="Y160" i="1" s="1"/>
  <c r="P578" i="1"/>
  <c r="P340" i="1" s="1"/>
  <c r="P347" i="1" s="1"/>
  <c r="P152" i="1" s="1"/>
  <c r="P160" i="1" s="1"/>
  <c r="AC578" i="1"/>
  <c r="AC340" i="1" s="1"/>
  <c r="AC347" i="1" s="1"/>
  <c r="AC152" i="1" s="1"/>
  <c r="AC160" i="1" s="1"/>
  <c r="AC307" i="1"/>
  <c r="U307" i="1"/>
  <c r="K307" i="1"/>
  <c r="AK483" i="1"/>
  <c r="AL483" i="1" s="1"/>
  <c r="AA485" i="1"/>
  <c r="AD471" i="1"/>
  <c r="X471" i="1"/>
  <c r="I156" i="1"/>
  <c r="AH591" i="1"/>
  <c r="AH218" i="1" s="1"/>
  <c r="J589" i="1"/>
  <c r="J591" i="1" s="1"/>
  <c r="J405" i="1" s="1"/>
  <c r="J409" i="1" s="1"/>
  <c r="H589" i="1"/>
  <c r="H591" i="1" s="1"/>
  <c r="H405" i="1" s="1"/>
  <c r="AK469" i="1"/>
  <c r="AL469" i="1" s="1"/>
  <c r="AD485" i="1"/>
  <c r="AF485" i="1"/>
  <c r="J485" i="1"/>
  <c r="AC485" i="1"/>
  <c r="H471" i="1"/>
  <c r="AH390" i="1"/>
  <c r="AH197" i="1" s="1"/>
  <c r="AH203" i="1" s="1"/>
  <c r="O390" i="1"/>
  <c r="O197" i="1" s="1"/>
  <c r="O203" i="1" s="1"/>
  <c r="AK366" i="1"/>
  <c r="AL366" i="1" s="1"/>
  <c r="J364" i="1"/>
  <c r="Q581" i="1"/>
  <c r="Q361" i="1" s="1"/>
  <c r="Q368" i="1" s="1"/>
  <c r="I351" i="1"/>
  <c r="I580" i="1" s="1"/>
  <c r="AK345" i="1"/>
  <c r="AL345" i="1" s="1"/>
  <c r="AA578" i="1"/>
  <c r="AA340" i="1" s="1"/>
  <c r="AA347" i="1" s="1"/>
  <c r="AA152" i="1" s="1"/>
  <c r="AA160" i="1" s="1"/>
  <c r="L218" i="1"/>
  <c r="L405" i="1"/>
  <c r="L409" i="1" s="1"/>
  <c r="L219" i="1"/>
  <c r="Q485" i="1"/>
  <c r="AK475" i="1"/>
  <c r="AL475" i="1" s="1"/>
  <c r="AK478" i="1"/>
  <c r="AL478" i="1" s="1"/>
  <c r="Q471" i="1"/>
  <c r="I364" i="1"/>
  <c r="W275" i="1"/>
  <c r="W453" i="1"/>
  <c r="W256" i="1"/>
  <c r="W434" i="1"/>
  <c r="AJ254" i="1"/>
  <c r="AJ272" i="1"/>
  <c r="AJ450" i="1"/>
  <c r="AJ432" i="1"/>
  <c r="AJ587" i="1"/>
  <c r="AJ143" i="1" s="1"/>
  <c r="AD253" i="1"/>
  <c r="AD271" i="1"/>
  <c r="AD449" i="1"/>
  <c r="AD587" i="1"/>
  <c r="AD143" i="1" s="1"/>
  <c r="AD431" i="1"/>
  <c r="Q253" i="1"/>
  <c r="Q271" i="1"/>
  <c r="Q449" i="1"/>
  <c r="Q431" i="1"/>
  <c r="H271" i="1"/>
  <c r="H587" i="1"/>
  <c r="H143" i="1" s="1"/>
  <c r="H449" i="1"/>
  <c r="H431" i="1"/>
  <c r="AA251" i="1"/>
  <c r="AA269" i="1"/>
  <c r="AA270" i="1"/>
  <c r="AA252" i="1"/>
  <c r="AA430" i="1"/>
  <c r="AA448" i="1"/>
  <c r="AA447" i="1"/>
  <c r="Q269" i="1"/>
  <c r="Q270" i="1"/>
  <c r="Q430" i="1"/>
  <c r="Q251" i="1"/>
  <c r="Q252" i="1"/>
  <c r="Q447" i="1"/>
  <c r="H269" i="1"/>
  <c r="H251" i="1"/>
  <c r="H270" i="1"/>
  <c r="H430" i="1"/>
  <c r="H448" i="1"/>
  <c r="H429" i="1"/>
  <c r="H45" i="1"/>
  <c r="H61" i="1" s="1"/>
  <c r="Y471" i="1"/>
  <c r="AF218" i="1"/>
  <c r="AF405" i="1"/>
  <c r="AF409" i="1" s="1"/>
  <c r="I485" i="1"/>
  <c r="U485" i="1"/>
  <c r="J222" i="1"/>
  <c r="AF219" i="1"/>
  <c r="V433" i="1"/>
  <c r="V436" i="1"/>
  <c r="AF256" i="1"/>
  <c r="AF434" i="1"/>
  <c r="AF275" i="1"/>
  <c r="AF453" i="1"/>
  <c r="AA273" i="1"/>
  <c r="AK406" i="1"/>
  <c r="AL406" i="1" s="1"/>
  <c r="I589" i="1"/>
  <c r="I591" i="1" s="1"/>
  <c r="I220" i="1" s="1"/>
  <c r="H407" i="1"/>
  <c r="F409" i="1"/>
  <c r="AC398" i="1"/>
  <c r="AA398" i="1"/>
  <c r="J384" i="1"/>
  <c r="P581" i="1"/>
  <c r="P361" i="1" s="1"/>
  <c r="P368" i="1" s="1"/>
  <c r="P174" i="1" s="1"/>
  <c r="P181" i="1" s="1"/>
  <c r="M275" i="1"/>
  <c r="H252" i="1"/>
  <c r="M485" i="1"/>
  <c r="X485" i="1"/>
  <c r="I471" i="1"/>
  <c r="AK467" i="1"/>
  <c r="AL467" i="1" s="1"/>
  <c r="I394" i="1"/>
  <c r="AJ582" i="1"/>
  <c r="AJ371" i="1" s="1"/>
  <c r="AJ377" i="1" s="1"/>
  <c r="AJ184" i="1" s="1"/>
  <c r="AJ190" i="1" s="1"/>
  <c r="AH581" i="1"/>
  <c r="AH361" i="1" s="1"/>
  <c r="AH368" i="1" s="1"/>
  <c r="AH174" i="1" s="1"/>
  <c r="AH181" i="1" s="1"/>
  <c r="O581" i="1"/>
  <c r="O361" i="1" s="1"/>
  <c r="O368" i="1" s="1"/>
  <c r="AC581" i="1"/>
  <c r="AC361" i="1" s="1"/>
  <c r="AC368" i="1" s="1"/>
  <c r="AC174" i="1" s="1"/>
  <c r="AC181" i="1" s="1"/>
  <c r="U581" i="1"/>
  <c r="U361" i="1" s="1"/>
  <c r="U368" i="1" s="1"/>
  <c r="U174" i="1" s="1"/>
  <c r="U181" i="1" s="1"/>
  <c r="W580" i="1"/>
  <c r="W350" i="1" s="1"/>
  <c r="W356" i="1" s="1"/>
  <c r="V578" i="1"/>
  <c r="V340" i="1" s="1"/>
  <c r="V347" i="1" s="1"/>
  <c r="L578" i="1"/>
  <c r="L340" i="1" s="1"/>
  <c r="L347" i="1" s="1"/>
  <c r="X293" i="1"/>
  <c r="H253" i="1"/>
  <c r="AK474" i="1"/>
  <c r="AL474" i="1" s="1"/>
  <c r="AJ591" i="1"/>
  <c r="Q591" i="1"/>
  <c r="Q221" i="1" s="1"/>
  <c r="K485" i="1"/>
  <c r="W398" i="1"/>
  <c r="M398" i="1"/>
  <c r="AJ398" i="1"/>
  <c r="Y398" i="1"/>
  <c r="P398" i="1"/>
  <c r="AF390" i="1"/>
  <c r="M390" i="1"/>
  <c r="X275" i="1"/>
  <c r="X256" i="1"/>
  <c r="P275" i="1"/>
  <c r="P256" i="1"/>
  <c r="AA272" i="1"/>
  <c r="AA254" i="1"/>
  <c r="AH253" i="1"/>
  <c r="AH271" i="1"/>
  <c r="O591" i="1"/>
  <c r="O220" i="1" s="1"/>
  <c r="Q29" i="1"/>
  <c r="AK178" i="1"/>
  <c r="AL178" i="1" s="1"/>
  <c r="AA471" i="1"/>
  <c r="AB398" i="1"/>
  <c r="T398" i="1"/>
  <c r="Q398" i="1"/>
  <c r="W582" i="1"/>
  <c r="W371" i="1" s="1"/>
  <c r="W377" i="1" s="1"/>
  <c r="W184" i="1" s="1"/>
  <c r="W190" i="1" s="1"/>
  <c r="Z211" i="1"/>
  <c r="O256" i="1"/>
  <c r="O434" i="1"/>
  <c r="S270" i="1"/>
  <c r="S447" i="1"/>
  <c r="F32" i="1"/>
  <c r="V398" i="1"/>
  <c r="J388" i="1"/>
  <c r="H388" i="1"/>
  <c r="AC582" i="1"/>
  <c r="AC371" i="1" s="1"/>
  <c r="AC377" i="1" s="1"/>
  <c r="AC184" i="1" s="1"/>
  <c r="AC190" i="1" s="1"/>
  <c r="I199" i="1"/>
  <c r="H199" i="1"/>
  <c r="AK187" i="1"/>
  <c r="AL187" i="1" s="1"/>
  <c r="U255" i="1"/>
  <c r="U274" i="1"/>
  <c r="AC436" i="1"/>
  <c r="AC258" i="1"/>
  <c r="K258" i="1"/>
  <c r="K436" i="1"/>
  <c r="T591" i="1"/>
  <c r="AC591" i="1"/>
  <c r="AC219" i="1" s="1"/>
  <c r="AB255" i="1"/>
  <c r="AB274" i="1"/>
  <c r="AK16" i="1"/>
  <c r="AL16" i="1" s="1"/>
  <c r="U591" i="1"/>
  <c r="U221" i="1" s="1"/>
  <c r="W485" i="1"/>
  <c r="Z485" i="1"/>
  <c r="J209" i="1"/>
  <c r="F211" i="1"/>
  <c r="F203" i="1"/>
  <c r="S255" i="1"/>
  <c r="S274" i="1"/>
  <c r="I274" i="1"/>
  <c r="I452" i="1"/>
  <c r="Y591" i="1"/>
  <c r="Y405" i="1" s="1"/>
  <c r="Y409" i="1" s="1"/>
  <c r="F535" i="2"/>
  <c r="AF578" i="1"/>
  <c r="AF340" i="1" s="1"/>
  <c r="AF347" i="1" s="1"/>
  <c r="W578" i="1"/>
  <c r="W340" i="1" s="1"/>
  <c r="W347" i="1" s="1"/>
  <c r="W152" i="1" s="1"/>
  <c r="W160" i="1" s="1"/>
  <c r="M578" i="1"/>
  <c r="M340" i="1" s="1"/>
  <c r="M347" i="1" s="1"/>
  <c r="S578" i="1"/>
  <c r="S340" i="1" s="1"/>
  <c r="S347" i="1" s="1"/>
  <c r="S152" i="1" s="1"/>
  <c r="S160" i="1" s="1"/>
  <c r="H307" i="1"/>
  <c r="AB307" i="1"/>
  <c r="Q211" i="1"/>
  <c r="Y32" i="1"/>
  <c r="Y521" i="1" s="1"/>
  <c r="AJ580" i="1"/>
  <c r="AJ350" i="1" s="1"/>
  <c r="AJ356" i="1" s="1"/>
  <c r="Q578" i="1"/>
  <c r="Q340" i="1" s="1"/>
  <c r="Q347" i="1" s="1"/>
  <c r="I45" i="1"/>
  <c r="I61" i="1" s="1"/>
  <c r="AA256" i="1"/>
  <c r="X581" i="1"/>
  <c r="X361" i="1" s="1"/>
  <c r="X368" i="1" s="1"/>
  <c r="X174" i="1" s="1"/>
  <c r="X181" i="1" s="1"/>
  <c r="Z578" i="1"/>
  <c r="Z340" i="1" s="1"/>
  <c r="Z347" i="1" s="1"/>
  <c r="AK166" i="1"/>
  <c r="AL166" i="1" s="1"/>
  <c r="AD32" i="1"/>
  <c r="AD521" i="1" s="1"/>
  <c r="I32" i="1"/>
  <c r="I521" i="1" s="1"/>
  <c r="AH26" i="1"/>
  <c r="P293" i="1"/>
  <c r="Q45" i="1"/>
  <c r="Q61" i="1" s="1"/>
  <c r="Q436" i="1"/>
  <c r="Q293" i="1"/>
  <c r="F549" i="2"/>
  <c r="P485" i="1"/>
  <c r="W471" i="1"/>
  <c r="AH471" i="1"/>
  <c r="M471" i="1"/>
  <c r="AK198" i="1"/>
  <c r="AL198" i="1" s="1"/>
  <c r="AF271" i="1"/>
  <c r="AF449" i="1"/>
  <c r="AF45" i="1"/>
  <c r="AF61" i="1" s="1"/>
  <c r="S271" i="1"/>
  <c r="S253" i="1"/>
  <c r="S431" i="1"/>
  <c r="S449" i="1"/>
  <c r="S587" i="1"/>
  <c r="S143" i="1" s="1"/>
  <c r="U587" i="1"/>
  <c r="U143" i="1" s="1"/>
  <c r="U272" i="1"/>
  <c r="U432" i="1"/>
  <c r="U450" i="1"/>
  <c r="AK539" i="1"/>
  <c r="AL539" i="1" s="1"/>
  <c r="H200" i="1"/>
  <c r="AH578" i="1"/>
  <c r="AH340" i="1" s="1"/>
  <c r="AH347" i="1" s="1"/>
  <c r="X578" i="1"/>
  <c r="X340" i="1" s="1"/>
  <c r="X347" i="1" s="1"/>
  <c r="O578" i="1"/>
  <c r="O340" i="1" s="1"/>
  <c r="O347" i="1" s="1"/>
  <c r="V273" i="1"/>
  <c r="V451" i="1"/>
  <c r="J100" i="1"/>
  <c r="I100" i="1"/>
  <c r="H100" i="1"/>
  <c r="K272" i="1"/>
  <c r="K587" i="1"/>
  <c r="K143" i="1" s="1"/>
  <c r="K432" i="1"/>
  <c r="K450" i="1"/>
  <c r="K45" i="1"/>
  <c r="K61" i="1" s="1"/>
  <c r="K254" i="1"/>
  <c r="T390" i="1"/>
  <c r="AD581" i="1"/>
  <c r="AD361" i="1" s="1"/>
  <c r="AD368" i="1" s="1"/>
  <c r="I223" i="1"/>
  <c r="J223" i="1"/>
  <c r="J101" i="1"/>
  <c r="I101" i="1"/>
  <c r="K434" i="1"/>
  <c r="K256" i="1"/>
  <c r="K275" i="1"/>
  <c r="AK300" i="1"/>
  <c r="AL300" i="1" s="1"/>
  <c r="Y307" i="1"/>
  <c r="P307" i="1"/>
  <c r="AJ307" i="1"/>
  <c r="U254" i="1"/>
  <c r="AK153" i="1"/>
  <c r="AL153" i="1" s="1"/>
  <c r="AK144" i="1"/>
  <c r="AL144" i="1" s="1"/>
  <c r="F529" i="2"/>
  <c r="AK482" i="1"/>
  <c r="AL482" i="1" s="1"/>
  <c r="AK480" i="1"/>
  <c r="AL480" i="1" s="1"/>
  <c r="AK479" i="1"/>
  <c r="AL479" i="1" s="1"/>
  <c r="S485" i="1"/>
  <c r="T485" i="1"/>
  <c r="J395" i="1"/>
  <c r="W307" i="1"/>
  <c r="V255" i="1"/>
  <c r="V452" i="1"/>
  <c r="AK590" i="1"/>
  <c r="AL590" i="1" s="1"/>
  <c r="F425" i="1"/>
  <c r="H186" i="1"/>
  <c r="I186" i="1"/>
  <c r="J186" i="1"/>
  <c r="I99" i="1"/>
  <c r="H99" i="1"/>
  <c r="J99" i="1"/>
  <c r="AC452" i="1"/>
  <c r="AC255" i="1"/>
  <c r="AC274" i="1"/>
  <c r="J449" i="1"/>
  <c r="J253" i="1"/>
  <c r="J271" i="1"/>
  <c r="AC252" i="1"/>
  <c r="AC448" i="1"/>
  <c r="AC270" i="1"/>
  <c r="AC251" i="1"/>
  <c r="AC429" i="1"/>
  <c r="AC430" i="1"/>
  <c r="AC269" i="1"/>
  <c r="U251" i="1"/>
  <c r="U429" i="1"/>
  <c r="U430" i="1"/>
  <c r="U252" i="1"/>
  <c r="U447" i="1"/>
  <c r="U270" i="1"/>
  <c r="J252" i="1"/>
  <c r="J429" i="1"/>
  <c r="J430" i="1"/>
  <c r="J448" i="1"/>
  <c r="J251" i="1"/>
  <c r="J270" i="1"/>
  <c r="J269" i="1"/>
  <c r="J447" i="1"/>
  <c r="L211" i="1"/>
  <c r="Y390" i="1"/>
  <c r="Q390" i="1"/>
  <c r="AA211" i="1"/>
  <c r="F533" i="1"/>
  <c r="V471" i="1"/>
  <c r="AJ471" i="1"/>
  <c r="W390" i="1"/>
  <c r="AB580" i="1"/>
  <c r="AB350" i="1" s="1"/>
  <c r="AB356" i="1" s="1"/>
  <c r="AH293" i="1"/>
  <c r="U390" i="1"/>
  <c r="L390" i="1"/>
  <c r="T582" i="1"/>
  <c r="T371" i="1" s="1"/>
  <c r="T377" i="1" s="1"/>
  <c r="T184" i="1" s="1"/>
  <c r="T190" i="1" s="1"/>
  <c r="AA580" i="1"/>
  <c r="AA350" i="1" s="1"/>
  <c r="AA356" i="1" s="1"/>
  <c r="S580" i="1"/>
  <c r="S350" i="1" s="1"/>
  <c r="S356" i="1" s="1"/>
  <c r="I209" i="1"/>
  <c r="Q26" i="1"/>
  <c r="Q60" i="1" s="1"/>
  <c r="O471" i="1"/>
  <c r="M211" i="1"/>
  <c r="M591" i="1"/>
  <c r="Z471" i="1"/>
  <c r="AB471" i="1"/>
  <c r="L471" i="1"/>
  <c r="H396" i="1"/>
  <c r="AD580" i="1"/>
  <c r="AD350" i="1" s="1"/>
  <c r="AD356" i="1" s="1"/>
  <c r="AF580" i="1"/>
  <c r="AF350" i="1" s="1"/>
  <c r="AF356" i="1" s="1"/>
  <c r="AF163" i="1" s="1"/>
  <c r="AF169" i="1" s="1"/>
  <c r="Z390" i="1"/>
  <c r="X582" i="1"/>
  <c r="X371" i="1" s="1"/>
  <c r="X377" i="1" s="1"/>
  <c r="V581" i="1"/>
  <c r="V361" i="1" s="1"/>
  <c r="V368" i="1" s="1"/>
  <c r="H176" i="1"/>
  <c r="O436" i="1"/>
  <c r="AB32" i="1"/>
  <c r="F12" i="1"/>
  <c r="S471" i="1"/>
  <c r="AK466" i="1"/>
  <c r="AL466" i="1" s="1"/>
  <c r="Q134" i="1"/>
  <c r="Q135" i="1"/>
  <c r="Q72" i="1"/>
  <c r="Q126" i="1"/>
  <c r="O485" i="1"/>
  <c r="K591" i="1"/>
  <c r="T471" i="1"/>
  <c r="W293" i="1"/>
  <c r="J179" i="1"/>
  <c r="F181" i="1"/>
  <c r="H179" i="1"/>
  <c r="O134" i="1"/>
  <c r="AK120" i="1"/>
  <c r="AL120" i="1" s="1"/>
  <c r="P591" i="1"/>
  <c r="AF221" i="1"/>
  <c r="AF220" i="1"/>
  <c r="V591" i="1"/>
  <c r="P134" i="1"/>
  <c r="V485" i="1"/>
  <c r="T452" i="1"/>
  <c r="T255" i="1"/>
  <c r="P29" i="1"/>
  <c r="X591" i="1"/>
  <c r="AC471" i="1"/>
  <c r="U471" i="1"/>
  <c r="AA274" i="1"/>
  <c r="AA452" i="1"/>
  <c r="AK298" i="1"/>
  <c r="AL298" i="1" s="1"/>
  <c r="J185" i="1"/>
  <c r="I185" i="1"/>
  <c r="Z591" i="1"/>
  <c r="Y485" i="1"/>
  <c r="AJ273" i="1"/>
  <c r="AJ45" i="1"/>
  <c r="AJ61" i="1" s="1"/>
  <c r="W273" i="1"/>
  <c r="W451" i="1"/>
  <c r="O273" i="1"/>
  <c r="O451" i="1"/>
  <c r="L272" i="1"/>
  <c r="L254" i="1"/>
  <c r="L587" i="1"/>
  <c r="T271" i="1"/>
  <c r="T253" i="1"/>
  <c r="T449" i="1"/>
  <c r="T431" i="1"/>
  <c r="M307" i="1"/>
  <c r="J200" i="1"/>
  <c r="I200" i="1"/>
  <c r="Q433" i="1"/>
  <c r="Q258" i="1"/>
  <c r="I258" i="1"/>
  <c r="I433" i="1"/>
  <c r="I436" i="1"/>
  <c r="U434" i="1"/>
  <c r="U275" i="1"/>
  <c r="U45" i="1"/>
  <c r="U61" i="1" s="1"/>
  <c r="U256" i="1"/>
  <c r="U453" i="1"/>
  <c r="M45" i="1"/>
  <c r="M61" i="1" s="1"/>
  <c r="M451" i="1"/>
  <c r="AF431" i="1"/>
  <c r="AF587" i="1"/>
  <c r="AF143" i="1" s="1"/>
  <c r="AF253" i="1"/>
  <c r="AD390" i="1"/>
  <c r="V390" i="1"/>
  <c r="H433" i="1"/>
  <c r="H258" i="1"/>
  <c r="H436" i="1"/>
  <c r="U211" i="1"/>
  <c r="J256" i="1"/>
  <c r="J275" i="1"/>
  <c r="AB270" i="1"/>
  <c r="AB447" i="1"/>
  <c r="J471" i="1"/>
  <c r="AB390" i="1"/>
  <c r="Z582" i="1"/>
  <c r="T580" i="1"/>
  <c r="T350" i="1" s="1"/>
  <c r="T356" i="1" s="1"/>
  <c r="W258" i="1"/>
  <c r="W433" i="1"/>
  <c r="S272" i="1"/>
  <c r="S432" i="1"/>
  <c r="S450" i="1"/>
  <c r="Q580" i="1"/>
  <c r="M253" i="1"/>
  <c r="M271" i="1"/>
  <c r="AJ430" i="1"/>
  <c r="AJ269" i="1"/>
  <c r="AJ270" i="1"/>
  <c r="O251" i="1"/>
  <c r="O252" i="1"/>
  <c r="P390" i="1"/>
  <c r="Y581" i="1"/>
  <c r="L255" i="1"/>
  <c r="L274" i="1"/>
  <c r="L26" i="1"/>
  <c r="L60" i="1" s="1"/>
  <c r="I71" i="1"/>
  <c r="AB275" i="1"/>
  <c r="AB256" i="1"/>
  <c r="L275" i="1"/>
  <c r="H254" i="1"/>
  <c r="AH252" i="1"/>
  <c r="AF251" i="1"/>
  <c r="Y274" i="1"/>
  <c r="AF270" i="1"/>
  <c r="L270" i="1"/>
  <c r="H783" i="2" l="1"/>
  <c r="H784" i="2"/>
  <c r="O521" i="1"/>
  <c r="AB104" i="1"/>
  <c r="AB521" i="1"/>
  <c r="O104" i="1"/>
  <c r="AD245" i="1"/>
  <c r="AD104" i="1"/>
  <c r="Y422" i="1"/>
  <c r="Y104" i="1"/>
  <c r="AC102" i="1"/>
  <c r="AC104" i="1"/>
  <c r="H421" i="1"/>
  <c r="H104" i="1"/>
  <c r="AF414" i="1"/>
  <c r="AF104" i="1"/>
  <c r="X520" i="1"/>
  <c r="X104" i="1"/>
  <c r="L421" i="1"/>
  <c r="L104" i="1"/>
  <c r="AA419" i="1"/>
  <c r="AA104" i="1"/>
  <c r="V102" i="1"/>
  <c r="V104" i="1"/>
  <c r="U423" i="1"/>
  <c r="U104" i="1"/>
  <c r="AH417" i="1"/>
  <c r="AH104" i="1"/>
  <c r="AJ421" i="1"/>
  <c r="AJ104" i="1"/>
  <c r="M420" i="1"/>
  <c r="M104" i="1"/>
  <c r="J417" i="1"/>
  <c r="J104" i="1"/>
  <c r="Z422" i="1"/>
  <c r="Z104" i="1"/>
  <c r="I415" i="1"/>
  <c r="I104" i="1"/>
  <c r="S419" i="1"/>
  <c r="S104" i="1"/>
  <c r="T418" i="1"/>
  <c r="T104" i="1"/>
  <c r="W245" i="1"/>
  <c r="W104" i="1"/>
  <c r="K245" i="1"/>
  <c r="K104" i="1"/>
  <c r="Z517" i="1"/>
  <c r="Z60" i="1"/>
  <c r="AD529" i="1"/>
  <c r="AD60" i="1"/>
  <c r="M529" i="1"/>
  <c r="M60" i="1"/>
  <c r="V518" i="1"/>
  <c r="V60" i="1"/>
  <c r="AJ516" i="1"/>
  <c r="AJ60" i="1"/>
  <c r="AF516" i="1"/>
  <c r="AF60" i="1"/>
  <c r="AH517" i="1"/>
  <c r="AH60" i="1"/>
  <c r="AH522" i="1"/>
  <c r="AH61" i="1"/>
  <c r="O517" i="1"/>
  <c r="O60" i="1"/>
  <c r="S518" i="1"/>
  <c r="S60" i="1"/>
  <c r="J260" i="1"/>
  <c r="J61" i="1"/>
  <c r="K517" i="1"/>
  <c r="K60" i="1"/>
  <c r="AA516" i="1"/>
  <c r="AA60" i="1"/>
  <c r="F545" i="1"/>
  <c r="G309" i="1"/>
  <c r="I1" i="2"/>
  <c r="AK30" i="1"/>
  <c r="AL30" i="1" s="1"/>
  <c r="Q32" i="1"/>
  <c r="Q521" i="1" s="1"/>
  <c r="AK38" i="1"/>
  <c r="AL38" i="1" s="1"/>
  <c r="Z273" i="1"/>
  <c r="AK273" i="1" s="1"/>
  <c r="AL273" i="1" s="1"/>
  <c r="Z237" i="1"/>
  <c r="F458" i="1"/>
  <c r="F460" i="1" s="1"/>
  <c r="X358" i="1"/>
  <c r="Z416" i="1"/>
  <c r="Z414" i="1"/>
  <c r="Z238" i="1"/>
  <c r="Z415" i="1"/>
  <c r="Z244" i="1"/>
  <c r="Z530" i="1"/>
  <c r="Z417" i="1"/>
  <c r="Z418" i="1"/>
  <c r="Z103" i="1"/>
  <c r="Z419" i="1"/>
  <c r="Z102" i="1"/>
  <c r="Z420" i="1"/>
  <c r="Z245" i="1"/>
  <c r="Z423" i="1"/>
  <c r="Z520" i="1"/>
  <c r="Z421" i="1"/>
  <c r="Z519" i="1"/>
  <c r="V379" i="1"/>
  <c r="K103" i="1"/>
  <c r="L519" i="1"/>
  <c r="AJ520" i="1"/>
  <c r="L420" i="1"/>
  <c r="AH102" i="1"/>
  <c r="AJ418" i="1"/>
  <c r="AJ238" i="1"/>
  <c r="L244" i="1"/>
  <c r="AJ530" i="1"/>
  <c r="AJ519" i="1"/>
  <c r="AJ417" i="1"/>
  <c r="L245" i="1"/>
  <c r="AJ420" i="1"/>
  <c r="L237" i="1"/>
  <c r="AJ423" i="1"/>
  <c r="AJ415" i="1"/>
  <c r="AJ245" i="1"/>
  <c r="AJ414" i="1"/>
  <c r="AJ422" i="1"/>
  <c r="AJ102" i="1"/>
  <c r="AJ103" i="1"/>
  <c r="AJ419" i="1"/>
  <c r="AJ244" i="1"/>
  <c r="AJ416" i="1"/>
  <c r="AJ237" i="1"/>
  <c r="AK372" i="1"/>
  <c r="AL372" i="1" s="1"/>
  <c r="L520" i="1"/>
  <c r="L102" i="1"/>
  <c r="L417" i="1"/>
  <c r="L416" i="1"/>
  <c r="L415" i="1"/>
  <c r="L414" i="1"/>
  <c r="L423" i="1"/>
  <c r="L103" i="1"/>
  <c r="L530" i="1"/>
  <c r="L418" i="1"/>
  <c r="L238" i="1"/>
  <c r="L419" i="1"/>
  <c r="L422" i="1"/>
  <c r="K102" i="1"/>
  <c r="K530" i="1"/>
  <c r="K238" i="1"/>
  <c r="K422" i="1"/>
  <c r="W418" i="1"/>
  <c r="K415" i="1"/>
  <c r="K418" i="1"/>
  <c r="K237" i="1"/>
  <c r="K417" i="1"/>
  <c r="K414" i="1"/>
  <c r="K416" i="1"/>
  <c r="K520" i="1"/>
  <c r="K244" i="1"/>
  <c r="K423" i="1"/>
  <c r="K420" i="1"/>
  <c r="X102" i="1"/>
  <c r="K519" i="1"/>
  <c r="K421" i="1"/>
  <c r="X416" i="1"/>
  <c r="AH415" i="1"/>
  <c r="X530" i="1"/>
  <c r="X422" i="1"/>
  <c r="K419" i="1"/>
  <c r="AH423" i="1"/>
  <c r="AH520" i="1"/>
  <c r="AH103" i="1"/>
  <c r="X244" i="1"/>
  <c r="AH244" i="1"/>
  <c r="AH418" i="1"/>
  <c r="AH414" i="1"/>
  <c r="X423" i="1"/>
  <c r="AH421" i="1"/>
  <c r="X238" i="1"/>
  <c r="AH238" i="1"/>
  <c r="AH419" i="1"/>
  <c r="X420" i="1"/>
  <c r="AH530" i="1"/>
  <c r="X415" i="1"/>
  <c r="X418" i="1"/>
  <c r="AH422" i="1"/>
  <c r="AH420" i="1"/>
  <c r="X237" i="1"/>
  <c r="AH237" i="1"/>
  <c r="X421" i="1"/>
  <c r="X414" i="1"/>
  <c r="X417" i="1"/>
  <c r="AH245" i="1"/>
  <c r="X103" i="1"/>
  <c r="X519" i="1"/>
  <c r="AH519" i="1"/>
  <c r="AH416" i="1"/>
  <c r="X245" i="1"/>
  <c r="X419" i="1"/>
  <c r="K154" i="1"/>
  <c r="AK154" i="1" s="1"/>
  <c r="AL154" i="1" s="1"/>
  <c r="Q379" i="1"/>
  <c r="V519" i="1"/>
  <c r="H519" i="1"/>
  <c r="AA414" i="1"/>
  <c r="AA519" i="1"/>
  <c r="W420" i="1"/>
  <c r="W417" i="1"/>
  <c r="T420" i="1"/>
  <c r="AH454" i="1"/>
  <c r="AH584" i="1" s="1"/>
  <c r="AH446" i="1" s="1"/>
  <c r="AH456" i="1" s="1"/>
  <c r="AH268" i="1" s="1"/>
  <c r="U421" i="1"/>
  <c r="T245" i="1"/>
  <c r="AD358" i="1"/>
  <c r="T103" i="1"/>
  <c r="T416" i="1"/>
  <c r="W422" i="1"/>
  <c r="AB192" i="1"/>
  <c r="AF519" i="1"/>
  <c r="H419" i="1"/>
  <c r="H416" i="1"/>
  <c r="AK342" i="1"/>
  <c r="AL342" i="1" s="1"/>
  <c r="H237" i="1"/>
  <c r="H103" i="1"/>
  <c r="U520" i="1"/>
  <c r="U102" i="1"/>
  <c r="AD414" i="1"/>
  <c r="I64" i="1"/>
  <c r="U414" i="1"/>
  <c r="W414" i="1"/>
  <c r="W103" i="1"/>
  <c r="U519" i="1"/>
  <c r="Q260" i="1"/>
  <c r="H261" i="1"/>
  <c r="S437" i="1"/>
  <c r="W102" i="1"/>
  <c r="U420" i="1"/>
  <c r="U103" i="1"/>
  <c r="W519" i="1"/>
  <c r="U418" i="1"/>
  <c r="P73" i="1"/>
  <c r="W530" i="1"/>
  <c r="J73" i="1"/>
  <c r="U415" i="1"/>
  <c r="U245" i="1"/>
  <c r="U419" i="1"/>
  <c r="W423" i="1"/>
  <c r="AH438" i="1"/>
  <c r="U416" i="1"/>
  <c r="W244" i="1"/>
  <c r="W237" i="1"/>
  <c r="U422" i="1"/>
  <c r="U244" i="1"/>
  <c r="W520" i="1"/>
  <c r="W415" i="1"/>
  <c r="L531" i="1"/>
  <c r="O438" i="1"/>
  <c r="U417" i="1"/>
  <c r="U238" i="1"/>
  <c r="W416" i="1"/>
  <c r="W419" i="1"/>
  <c r="AK176" i="1"/>
  <c r="AL176" i="1" s="1"/>
  <c r="W238" i="1"/>
  <c r="J398" i="1"/>
  <c r="U530" i="1"/>
  <c r="AK407" i="1"/>
  <c r="AL407" i="1" s="1"/>
  <c r="W421" i="1"/>
  <c r="U237" i="1"/>
  <c r="H458" i="1"/>
  <c r="L105" i="1"/>
  <c r="J237" i="1"/>
  <c r="J245" i="1"/>
  <c r="I581" i="1"/>
  <c r="I361" i="1" s="1"/>
  <c r="I368" i="1" s="1"/>
  <c r="I174" i="1" s="1"/>
  <c r="J420" i="1"/>
  <c r="Z529" i="1"/>
  <c r="J238" i="1"/>
  <c r="J519" i="1"/>
  <c r="J419" i="1"/>
  <c r="J423" i="1"/>
  <c r="J244" i="1"/>
  <c r="AD218" i="1"/>
  <c r="AK164" i="1"/>
  <c r="AL164" i="1" s="1"/>
  <c r="AF517" i="1"/>
  <c r="P192" i="1"/>
  <c r="V416" i="1"/>
  <c r="V418" i="1"/>
  <c r="V417" i="1"/>
  <c r="V415" i="1"/>
  <c r="AF518" i="1"/>
  <c r="H244" i="1"/>
  <c r="AF471" i="1"/>
  <c r="AK471" i="1" s="1"/>
  <c r="AL471" i="1" s="1"/>
  <c r="V419" i="1"/>
  <c r="V245" i="1"/>
  <c r="AA529" i="1"/>
  <c r="V422" i="1"/>
  <c r="H520" i="1"/>
  <c r="AF529" i="1"/>
  <c r="AA518" i="1"/>
  <c r="AA517" i="1"/>
  <c r="AK396" i="1"/>
  <c r="AL396" i="1" s="1"/>
  <c r="H245" i="1"/>
  <c r="H530" i="1"/>
  <c r="AB219" i="1"/>
  <c r="H102" i="1"/>
  <c r="H211" i="1"/>
  <c r="H423" i="1"/>
  <c r="I398" i="1"/>
  <c r="I400" i="1" s="1"/>
  <c r="Y171" i="1"/>
  <c r="H415" i="1"/>
  <c r="H420" i="1"/>
  <c r="H238" i="1"/>
  <c r="AB358" i="1"/>
  <c r="H418" i="1"/>
  <c r="H414" i="1"/>
  <c r="H422" i="1"/>
  <c r="H417" i="1"/>
  <c r="AB379" i="1"/>
  <c r="AF417" i="1"/>
  <c r="AF421" i="1"/>
  <c r="AA103" i="1"/>
  <c r="L379" i="1"/>
  <c r="M516" i="1"/>
  <c r="S220" i="1"/>
  <c r="Y432" i="1"/>
  <c r="M517" i="1"/>
  <c r="Y450" i="1"/>
  <c r="L127" i="1"/>
  <c r="AC419" i="1"/>
  <c r="S529" i="1"/>
  <c r="S517" i="1"/>
  <c r="S516" i="1"/>
  <c r="M423" i="1"/>
  <c r="AA420" i="1"/>
  <c r="AJ518" i="1"/>
  <c r="L64" i="1"/>
  <c r="AB218" i="1"/>
  <c r="M518" i="1"/>
  <c r="AJ517" i="1"/>
  <c r="AJ529" i="1"/>
  <c r="L454" i="1"/>
  <c r="L584" i="1" s="1"/>
  <c r="L446" i="1" s="1"/>
  <c r="L456" i="1" s="1"/>
  <c r="L612" i="1" s="1"/>
  <c r="M419" i="1"/>
  <c r="L260" i="1"/>
  <c r="AD405" i="1"/>
  <c r="AD409" i="1" s="1"/>
  <c r="I26" i="1"/>
  <c r="I60" i="1" s="1"/>
  <c r="AK365" i="1"/>
  <c r="AL365" i="1" s="1"/>
  <c r="L136" i="1"/>
  <c r="AF102" i="1"/>
  <c r="H454" i="1"/>
  <c r="H584" i="1" s="1"/>
  <c r="AF245" i="1"/>
  <c r="L276" i="1"/>
  <c r="AF415" i="1"/>
  <c r="AH259" i="1"/>
  <c r="AH260" i="1"/>
  <c r="J520" i="1"/>
  <c r="J530" i="1"/>
  <c r="AF419" i="1"/>
  <c r="AH276" i="1"/>
  <c r="S137" i="1"/>
  <c r="AD420" i="1"/>
  <c r="AH458" i="1"/>
  <c r="AD417" i="1"/>
  <c r="AF238" i="1"/>
  <c r="J578" i="1"/>
  <c r="J340" i="1" s="1"/>
  <c r="J347" i="1" s="1"/>
  <c r="J418" i="1"/>
  <c r="AF418" i="1"/>
  <c r="AH64" i="1"/>
  <c r="AD103" i="1"/>
  <c r="Q261" i="1"/>
  <c r="AF520" i="1"/>
  <c r="J421" i="1"/>
  <c r="AF420" i="1"/>
  <c r="AH261" i="1"/>
  <c r="H136" i="1"/>
  <c r="AF103" i="1"/>
  <c r="AH531" i="1"/>
  <c r="AF47" i="1"/>
  <c r="AF74" i="1" s="1"/>
  <c r="J416" i="1"/>
  <c r="AH137" i="1"/>
  <c r="J103" i="1"/>
  <c r="AF244" i="1"/>
  <c r="AH136" i="1"/>
  <c r="H260" i="1"/>
  <c r="J415" i="1"/>
  <c r="AF530" i="1"/>
  <c r="S400" i="1"/>
  <c r="S379" i="1"/>
  <c r="AH105" i="1"/>
  <c r="AF422" i="1"/>
  <c r="AF416" i="1"/>
  <c r="S136" i="1"/>
  <c r="AD419" i="1"/>
  <c r="P259" i="1"/>
  <c r="J102" i="1"/>
  <c r="AD421" i="1"/>
  <c r="H259" i="1"/>
  <c r="AF237" i="1"/>
  <c r="AF423" i="1"/>
  <c r="J422" i="1"/>
  <c r="J414" i="1"/>
  <c r="AK208" i="1"/>
  <c r="AL208" i="1" s="1"/>
  <c r="AC221" i="1"/>
  <c r="AB220" i="1"/>
  <c r="O213" i="1"/>
  <c r="AD520" i="1"/>
  <c r="H64" i="1"/>
  <c r="AD102" i="1"/>
  <c r="AD221" i="1"/>
  <c r="Y272" i="1"/>
  <c r="S184" i="1"/>
  <c r="S190" i="1" s="1"/>
  <c r="S192" i="1" s="1"/>
  <c r="AB221" i="1"/>
  <c r="AC171" i="1"/>
  <c r="AJ400" i="1"/>
  <c r="AH213" i="1"/>
  <c r="AK125" i="1"/>
  <c r="AL125" i="1" s="1"/>
  <c r="AC218" i="1"/>
  <c r="Q531" i="1"/>
  <c r="AJ213" i="1"/>
  <c r="J220" i="1"/>
  <c r="AA423" i="1"/>
  <c r="AK206" i="1"/>
  <c r="AL206" i="1" s="1"/>
  <c r="Y358" i="1"/>
  <c r="AC417" i="1"/>
  <c r="M379" i="1"/>
  <c r="AA245" i="1"/>
  <c r="AC358" i="1"/>
  <c r="S221" i="1"/>
  <c r="AD220" i="1"/>
  <c r="AC244" i="1"/>
  <c r="S73" i="1"/>
  <c r="O420" i="1"/>
  <c r="V530" i="1"/>
  <c r="AF379" i="1"/>
  <c r="X400" i="1"/>
  <c r="AK157" i="1"/>
  <c r="AL157" i="1" s="1"/>
  <c r="F192" i="1"/>
  <c r="M237" i="1"/>
  <c r="I211" i="1"/>
  <c r="S261" i="1"/>
  <c r="S64" i="1"/>
  <c r="V520" i="1"/>
  <c r="S531" i="1"/>
  <c r="V423" i="1"/>
  <c r="AC103" i="1"/>
  <c r="P458" i="1"/>
  <c r="P438" i="1"/>
  <c r="S127" i="1"/>
  <c r="P260" i="1"/>
  <c r="K518" i="1"/>
  <c r="V244" i="1"/>
  <c r="AD518" i="1"/>
  <c r="S522" i="1"/>
  <c r="W221" i="1"/>
  <c r="W163" i="1"/>
  <c r="W169" i="1" s="1"/>
  <c r="W171" i="1" s="1"/>
  <c r="S458" i="1"/>
  <c r="S259" i="1"/>
  <c r="V421" i="1"/>
  <c r="I136" i="1"/>
  <c r="U529" i="1"/>
  <c r="AH485" i="1"/>
  <c r="AK485" i="1" s="1"/>
  <c r="AL485" i="1" s="1"/>
  <c r="AC519" i="1"/>
  <c r="P522" i="1"/>
  <c r="U517" i="1"/>
  <c r="AA400" i="1"/>
  <c r="AK387" i="1"/>
  <c r="AL387" i="1" s="1"/>
  <c r="K516" i="1"/>
  <c r="U516" i="1"/>
  <c r="U379" i="1"/>
  <c r="K529" i="1"/>
  <c r="V414" i="1"/>
  <c r="U197" i="1"/>
  <c r="U203" i="1" s="1"/>
  <c r="U213" i="1" s="1"/>
  <c r="S276" i="1"/>
  <c r="AC416" i="1"/>
  <c r="P531" i="1"/>
  <c r="P127" i="1"/>
  <c r="U518" i="1"/>
  <c r="X450" i="1"/>
  <c r="V358" i="1"/>
  <c r="U192" i="1"/>
  <c r="P136" i="1"/>
  <c r="AD517" i="1"/>
  <c r="V420" i="1"/>
  <c r="V272" i="1"/>
  <c r="AD516" i="1"/>
  <c r="I105" i="1"/>
  <c r="AD415" i="1"/>
  <c r="V238" i="1"/>
  <c r="M416" i="1"/>
  <c r="V432" i="1"/>
  <c r="M238" i="1"/>
  <c r="W358" i="1"/>
  <c r="J221" i="1"/>
  <c r="AC420" i="1"/>
  <c r="J211" i="1"/>
  <c r="P437" i="1"/>
  <c r="V103" i="1"/>
  <c r="V237" i="1"/>
  <c r="AK207" i="1"/>
  <c r="AL207" i="1" s="1"/>
  <c r="AA421" i="1"/>
  <c r="AA415" i="1"/>
  <c r="AA244" i="1"/>
  <c r="AD238" i="1"/>
  <c r="Q136" i="1"/>
  <c r="AA422" i="1"/>
  <c r="Y238" i="1"/>
  <c r="P379" i="1"/>
  <c r="AF174" i="1"/>
  <c r="AF181" i="1" s="1"/>
  <c r="AF192" i="1" s="1"/>
  <c r="S416" i="1"/>
  <c r="J581" i="1"/>
  <c r="J361" i="1" s="1"/>
  <c r="J368" i="1" s="1"/>
  <c r="X432" i="1"/>
  <c r="O400" i="1"/>
  <c r="Y414" i="1"/>
  <c r="AB152" i="1"/>
  <c r="AB160" i="1" s="1"/>
  <c r="AA530" i="1"/>
  <c r="AA416" i="1"/>
  <c r="AA192" i="1"/>
  <c r="AD423" i="1"/>
  <c r="AA417" i="1"/>
  <c r="AA418" i="1"/>
  <c r="Z518" i="1"/>
  <c r="AH518" i="1"/>
  <c r="X213" i="1"/>
  <c r="I437" i="1"/>
  <c r="AA379" i="1"/>
  <c r="S47" i="1"/>
  <c r="S62" i="1" s="1"/>
  <c r="Z516" i="1"/>
  <c r="AA102" i="1"/>
  <c r="AC213" i="1"/>
  <c r="AH192" i="1"/>
  <c r="AA520" i="1"/>
  <c r="AD244" i="1"/>
  <c r="Y417" i="1"/>
  <c r="AA237" i="1"/>
  <c r="J438" i="1"/>
  <c r="AA238" i="1"/>
  <c r="Y237" i="1"/>
  <c r="AK37" i="1"/>
  <c r="AL37" i="1" s="1"/>
  <c r="U358" i="1"/>
  <c r="I578" i="1"/>
  <c r="L225" i="1"/>
  <c r="W379" i="1"/>
  <c r="I197" i="1"/>
  <c r="I203" i="1" s="1"/>
  <c r="AH47" i="1"/>
  <c r="AH10" i="1" s="1"/>
  <c r="M421" i="1"/>
  <c r="M244" i="1"/>
  <c r="S219" i="1"/>
  <c r="P171" i="1"/>
  <c r="L137" i="1"/>
  <c r="I405" i="1"/>
  <c r="I409" i="1" s="1"/>
  <c r="V516" i="1"/>
  <c r="O379" i="1"/>
  <c r="I259" i="1"/>
  <c r="P358" i="1"/>
  <c r="M415" i="1"/>
  <c r="M520" i="1"/>
  <c r="S218" i="1"/>
  <c r="L438" i="1"/>
  <c r="I522" i="1"/>
  <c r="I218" i="1"/>
  <c r="M174" i="1"/>
  <c r="M181" i="1" s="1"/>
  <c r="M192" i="1" s="1"/>
  <c r="AF400" i="1"/>
  <c r="V517" i="1"/>
  <c r="AH400" i="1"/>
  <c r="O260" i="1"/>
  <c r="M245" i="1"/>
  <c r="M103" i="1"/>
  <c r="I221" i="1"/>
  <c r="M418" i="1"/>
  <c r="AH379" i="1"/>
  <c r="U220" i="1"/>
  <c r="J259" i="1"/>
  <c r="AC400" i="1"/>
  <c r="V529" i="1"/>
  <c r="M422" i="1"/>
  <c r="M414" i="1"/>
  <c r="M519" i="1"/>
  <c r="M417" i="1"/>
  <c r="M102" i="1"/>
  <c r="O136" i="1"/>
  <c r="U405" i="1"/>
  <c r="U409" i="1" s="1"/>
  <c r="T237" i="1"/>
  <c r="J137" i="1"/>
  <c r="O174" i="1"/>
  <c r="O181" i="1" s="1"/>
  <c r="O192" i="1" s="1"/>
  <c r="I260" i="1"/>
  <c r="I127" i="1"/>
  <c r="U400" i="1"/>
  <c r="M530" i="1"/>
  <c r="M152" i="1"/>
  <c r="M160" i="1" s="1"/>
  <c r="T423" i="1"/>
  <c r="O137" i="1"/>
  <c r="T520" i="1"/>
  <c r="AK156" i="1"/>
  <c r="AL156" i="1" s="1"/>
  <c r="AK186" i="1"/>
  <c r="AL186" i="1" s="1"/>
  <c r="O522" i="1"/>
  <c r="AA218" i="1"/>
  <c r="S213" i="1"/>
  <c r="AK388" i="1"/>
  <c r="AL388" i="1" s="1"/>
  <c r="O47" i="1"/>
  <c r="AK175" i="1"/>
  <c r="AL175" i="1" s="1"/>
  <c r="O127" i="1"/>
  <c r="O276" i="1"/>
  <c r="O437" i="1"/>
  <c r="AH220" i="1"/>
  <c r="AA220" i="1"/>
  <c r="AH221" i="1"/>
  <c r="L522" i="1"/>
  <c r="L259" i="1"/>
  <c r="J136" i="1"/>
  <c r="J276" i="1"/>
  <c r="J64" i="1"/>
  <c r="J105" i="1"/>
  <c r="J454" i="1"/>
  <c r="J584" i="1" s="1"/>
  <c r="J446" i="1" s="1"/>
  <c r="J456" i="1" s="1"/>
  <c r="J268" i="1" s="1"/>
  <c r="J522" i="1"/>
  <c r="J127" i="1"/>
  <c r="L73" i="1"/>
  <c r="L458" i="1"/>
  <c r="H531" i="1"/>
  <c r="W600" i="1"/>
  <c r="Y102" i="1"/>
  <c r="Y421" i="1"/>
  <c r="O105" i="1"/>
  <c r="AC238" i="1"/>
  <c r="T421" i="1"/>
  <c r="AA405" i="1"/>
  <c r="AA409" i="1" s="1"/>
  <c r="AC379" i="1"/>
  <c r="AJ192" i="1"/>
  <c r="O454" i="1"/>
  <c r="O584" i="1" s="1"/>
  <c r="O446" i="1" s="1"/>
  <c r="O456" i="1" s="1"/>
  <c r="O612" i="1" s="1"/>
  <c r="J437" i="1"/>
  <c r="L261" i="1"/>
  <c r="W432" i="1"/>
  <c r="W272" i="1"/>
  <c r="W450" i="1"/>
  <c r="O458" i="1"/>
  <c r="O529" i="1"/>
  <c r="Y419" i="1"/>
  <c r="Y520" i="1"/>
  <c r="AC422" i="1"/>
  <c r="T102" i="1"/>
  <c r="AA219" i="1"/>
  <c r="J390" i="1"/>
  <c r="O259" i="1"/>
  <c r="J261" i="1"/>
  <c r="L437" i="1"/>
  <c r="T422" i="1"/>
  <c r="P137" i="1"/>
  <c r="P454" i="1"/>
  <c r="P584" i="1" s="1"/>
  <c r="P446" i="1" s="1"/>
  <c r="P456" i="1" s="1"/>
  <c r="P105" i="1"/>
  <c r="P64" i="1"/>
  <c r="P276" i="1"/>
  <c r="P261" i="1"/>
  <c r="S105" i="1"/>
  <c r="S454" i="1"/>
  <c r="S584" i="1" s="1"/>
  <c r="S446" i="1" s="1"/>
  <c r="S456" i="1" s="1"/>
  <c r="S260" i="1"/>
  <c r="S438" i="1"/>
  <c r="O405" i="1"/>
  <c r="O409" i="1" s="1"/>
  <c r="Y244" i="1"/>
  <c r="T415" i="1"/>
  <c r="AC414" i="1"/>
  <c r="I219" i="1"/>
  <c r="O64" i="1"/>
  <c r="J458" i="1"/>
  <c r="T530" i="1"/>
  <c r="W174" i="1"/>
  <c r="W181" i="1" s="1"/>
  <c r="W192" i="1" s="1"/>
  <c r="AK185" i="1"/>
  <c r="AL185" i="1" s="1"/>
  <c r="O218" i="1"/>
  <c r="Y530" i="1"/>
  <c r="AC520" i="1"/>
  <c r="U171" i="1"/>
  <c r="AK199" i="1"/>
  <c r="AL199" i="1" s="1"/>
  <c r="O73" i="1"/>
  <c r="J531" i="1"/>
  <c r="T417" i="1"/>
  <c r="T238" i="1"/>
  <c r="V450" i="1"/>
  <c r="I371" i="1"/>
  <c r="I377" i="1" s="1"/>
  <c r="O531" i="1"/>
  <c r="O261" i="1"/>
  <c r="AH219" i="1"/>
  <c r="AH405" i="1"/>
  <c r="AH409" i="1" s="1"/>
  <c r="I103" i="1"/>
  <c r="P516" i="1"/>
  <c r="P518" i="1"/>
  <c r="P517" i="1"/>
  <c r="P529" i="1"/>
  <c r="O516" i="1"/>
  <c r="O518" i="1"/>
  <c r="T192" i="1"/>
  <c r="S530" i="1"/>
  <c r="S414" i="1"/>
  <c r="S245" i="1"/>
  <c r="S415" i="1"/>
  <c r="S420" i="1"/>
  <c r="S417" i="1"/>
  <c r="S421" i="1"/>
  <c r="S418" i="1"/>
  <c r="S422" i="1"/>
  <c r="S103" i="1"/>
  <c r="S423" i="1"/>
  <c r="S237" i="1"/>
  <c r="S519" i="1"/>
  <c r="S238" i="1"/>
  <c r="S520" i="1"/>
  <c r="S102" i="1"/>
  <c r="S244" i="1"/>
  <c r="AH73" i="1"/>
  <c r="AH437" i="1"/>
  <c r="AH127" i="1"/>
  <c r="AC415" i="1"/>
  <c r="AC237" i="1"/>
  <c r="AC530" i="1"/>
  <c r="AC245" i="1"/>
  <c r="AC418" i="1"/>
  <c r="AC421" i="1"/>
  <c r="AC423" i="1"/>
  <c r="T519" i="1"/>
  <c r="T419" i="1"/>
  <c r="T244" i="1"/>
  <c r="T414" i="1"/>
  <c r="F574" i="2"/>
  <c r="F678" i="2" s="1"/>
  <c r="F734" i="2" s="1"/>
  <c r="W405" i="1"/>
  <c r="W409" i="1" s="1"/>
  <c r="W219" i="1"/>
  <c r="W218" i="1"/>
  <c r="AJ219" i="1"/>
  <c r="AJ405" i="1"/>
  <c r="AJ409" i="1" s="1"/>
  <c r="AJ218" i="1"/>
  <c r="AJ220" i="1"/>
  <c r="AH529" i="1"/>
  <c r="AH516" i="1"/>
  <c r="I261" i="1"/>
  <c r="I438" i="1"/>
  <c r="I454" i="1"/>
  <c r="I584" i="1" s="1"/>
  <c r="I446" i="1" s="1"/>
  <c r="I456" i="1" s="1"/>
  <c r="I73" i="1"/>
  <c r="U218" i="1"/>
  <c r="U219" i="1"/>
  <c r="V152" i="1"/>
  <c r="V160" i="1" s="1"/>
  <c r="V171" i="1" s="1"/>
  <c r="O414" i="1"/>
  <c r="O418" i="1"/>
  <c r="O422" i="1"/>
  <c r="AA600" i="1"/>
  <c r="H219" i="1"/>
  <c r="U600" i="1"/>
  <c r="L152" i="1"/>
  <c r="L160" i="1" s="1"/>
  <c r="Y219" i="1"/>
  <c r="M600" i="1"/>
  <c r="O416" i="1"/>
  <c r="AF600" i="1"/>
  <c r="AJ221" i="1"/>
  <c r="AC600" i="1"/>
  <c r="J219" i="1"/>
  <c r="I276" i="1"/>
  <c r="I137" i="1"/>
  <c r="Y519" i="1"/>
  <c r="I244" i="1"/>
  <c r="I414" i="1"/>
  <c r="I238" i="1"/>
  <c r="I520" i="1"/>
  <c r="I419" i="1"/>
  <c r="I416" i="1"/>
  <c r="I421" i="1"/>
  <c r="I417" i="1"/>
  <c r="I420" i="1"/>
  <c r="I245" i="1"/>
  <c r="I423" i="1"/>
  <c r="I237" i="1"/>
  <c r="I530" i="1"/>
  <c r="I422" i="1"/>
  <c r="I600" i="1"/>
  <c r="I519" i="1"/>
  <c r="I102" i="1"/>
  <c r="I418" i="1"/>
  <c r="J600" i="1"/>
  <c r="O600" i="1"/>
  <c r="H105" i="1"/>
  <c r="H276" i="1"/>
  <c r="H438" i="1"/>
  <c r="H127" i="1"/>
  <c r="H73" i="1"/>
  <c r="H522" i="1"/>
  <c r="H137" i="1"/>
  <c r="H437" i="1"/>
  <c r="O102" i="1"/>
  <c r="Q220" i="1"/>
  <c r="Q405" i="1"/>
  <c r="Q409" i="1" s="1"/>
  <c r="Q218" i="1"/>
  <c r="Q219" i="1"/>
  <c r="O520" i="1"/>
  <c r="L600" i="1"/>
  <c r="O421" i="1"/>
  <c r="AK589" i="1"/>
  <c r="AL589" i="1" s="1"/>
  <c r="AF225" i="1"/>
  <c r="O417" i="1"/>
  <c r="AF197" i="1"/>
  <c r="AF203" i="1" s="1"/>
  <c r="AF213" i="1" s="1"/>
  <c r="V600" i="1"/>
  <c r="I531" i="1"/>
  <c r="I458" i="1"/>
  <c r="AD237" i="1"/>
  <c r="AD416" i="1"/>
  <c r="AD519" i="1"/>
  <c r="AD422" i="1"/>
  <c r="AD530" i="1"/>
  <c r="AD418" i="1"/>
  <c r="Q152" i="1"/>
  <c r="Q160" i="1" s="1"/>
  <c r="AC405" i="1"/>
  <c r="AC409" i="1" s="1"/>
  <c r="AC220" i="1"/>
  <c r="AK200" i="1"/>
  <c r="AL200" i="1" s="1"/>
  <c r="AD600" i="1"/>
  <c r="O519" i="1"/>
  <c r="AJ379" i="1"/>
  <c r="AJ163" i="1"/>
  <c r="AJ169" i="1" s="1"/>
  <c r="AJ171" i="1" s="1"/>
  <c r="AJ358" i="1"/>
  <c r="AF152" i="1"/>
  <c r="AF160" i="1" s="1"/>
  <c r="AF171" i="1" s="1"/>
  <c r="F213" i="1"/>
  <c r="AC192" i="1"/>
  <c r="T600" i="1"/>
  <c r="J371" i="1"/>
  <c r="J377" i="1" s="1"/>
  <c r="Y221" i="1"/>
  <c r="Y218" i="1"/>
  <c r="Y220" i="1"/>
  <c r="T405" i="1"/>
  <c r="T409" i="1" s="1"/>
  <c r="T221" i="1"/>
  <c r="T219" i="1"/>
  <c r="T218" i="1"/>
  <c r="T220" i="1"/>
  <c r="K600" i="1"/>
  <c r="S600" i="1"/>
  <c r="Z600" i="1"/>
  <c r="X600" i="1"/>
  <c r="O415" i="1"/>
  <c r="O423" i="1"/>
  <c r="AH600" i="1"/>
  <c r="O530" i="1"/>
  <c r="O244" i="1"/>
  <c r="O419" i="1"/>
  <c r="Z358" i="1"/>
  <c r="Z152" i="1"/>
  <c r="Z160" i="1" s="1"/>
  <c r="Z171" i="1" s="1"/>
  <c r="Y418" i="1"/>
  <c r="Y245" i="1"/>
  <c r="Y416" i="1"/>
  <c r="Y600" i="1"/>
  <c r="Y103" i="1"/>
  <c r="Y420" i="1"/>
  <c r="Y423" i="1"/>
  <c r="Y415" i="1"/>
  <c r="H600" i="1"/>
  <c r="AJ600" i="1"/>
  <c r="O221" i="1"/>
  <c r="O219" i="1"/>
  <c r="H220" i="1"/>
  <c r="H218" i="1"/>
  <c r="H221" i="1"/>
  <c r="J218" i="1"/>
  <c r="M197" i="1"/>
  <c r="M203" i="1" s="1"/>
  <c r="M213" i="1" s="1"/>
  <c r="M400" i="1"/>
  <c r="Q174" i="1"/>
  <c r="Q181" i="1" s="1"/>
  <c r="Q192" i="1" s="1"/>
  <c r="AA163" i="1"/>
  <c r="AA169" i="1" s="1"/>
  <c r="AA171" i="1" s="1"/>
  <c r="K531" i="1"/>
  <c r="K261" i="1"/>
  <c r="K260" i="1"/>
  <c r="K522" i="1"/>
  <c r="K105" i="1"/>
  <c r="K438" i="1"/>
  <c r="K259" i="1"/>
  <c r="K437" i="1"/>
  <c r="K73" i="1"/>
  <c r="K137" i="1"/>
  <c r="K136" i="1"/>
  <c r="K64" i="1"/>
  <c r="K276" i="1"/>
  <c r="K47" i="1"/>
  <c r="K62" i="1" s="1"/>
  <c r="K458" i="1"/>
  <c r="K454" i="1"/>
  <c r="K584" i="1" s="1"/>
  <c r="K446" i="1" s="1"/>
  <c r="K456" i="1" s="1"/>
  <c r="K127" i="1"/>
  <c r="AF358" i="1"/>
  <c r="L197" i="1"/>
  <c r="L203" i="1" s="1"/>
  <c r="L213" i="1" s="1"/>
  <c r="L400" i="1"/>
  <c r="AK209" i="1"/>
  <c r="AL209" i="1" s="1"/>
  <c r="T400" i="1"/>
  <c r="T197" i="1"/>
  <c r="T203" i="1" s="1"/>
  <c r="T213" i="1" s="1"/>
  <c r="AB420" i="1"/>
  <c r="AB416" i="1"/>
  <c r="AB600" i="1"/>
  <c r="AB422" i="1"/>
  <c r="AB102" i="1"/>
  <c r="AB415" i="1"/>
  <c r="AB103" i="1"/>
  <c r="AB238" i="1"/>
  <c r="AB245" i="1"/>
  <c r="AB519" i="1"/>
  <c r="AB423" i="1"/>
  <c r="AB417" i="1"/>
  <c r="AB421" i="1"/>
  <c r="AB418" i="1"/>
  <c r="AD174" i="1"/>
  <c r="AD181" i="1" s="1"/>
  <c r="AD192" i="1" s="1"/>
  <c r="AD379" i="1"/>
  <c r="AB237" i="1"/>
  <c r="AD163" i="1"/>
  <c r="AD169" i="1" s="1"/>
  <c r="AD171" i="1" s="1"/>
  <c r="AK99" i="1"/>
  <c r="AL99" i="1" s="1"/>
  <c r="AB419" i="1"/>
  <c r="AB414" i="1"/>
  <c r="T379" i="1"/>
  <c r="V174" i="1"/>
  <c r="V181" i="1" s="1"/>
  <c r="V192" i="1" s="1"/>
  <c r="AA213" i="1"/>
  <c r="AB530" i="1"/>
  <c r="AA358" i="1"/>
  <c r="X184" i="1"/>
  <c r="X190" i="1" s="1"/>
  <c r="X192" i="1" s="1"/>
  <c r="X379" i="1"/>
  <c r="O152" i="1"/>
  <c r="O160" i="1" s="1"/>
  <c r="O171" i="1" s="1"/>
  <c r="O358" i="1"/>
  <c r="AF137" i="1"/>
  <c r="AF458" i="1"/>
  <c r="AF437" i="1"/>
  <c r="AF438" i="1"/>
  <c r="AF522" i="1"/>
  <c r="AF127" i="1"/>
  <c r="AF136" i="1"/>
  <c r="AF261" i="1"/>
  <c r="AF454" i="1"/>
  <c r="AF584" i="1" s="1"/>
  <c r="AF446" i="1" s="1"/>
  <c r="AF456" i="1" s="1"/>
  <c r="AF259" i="1"/>
  <c r="AF276" i="1"/>
  <c r="AF531" i="1"/>
  <c r="AF260" i="1"/>
  <c r="AF105" i="1"/>
  <c r="AF64" i="1"/>
  <c r="AF73" i="1"/>
  <c r="Z400" i="1"/>
  <c r="Z197" i="1"/>
  <c r="Z203" i="1" s="1"/>
  <c r="Z213" i="1" s="1"/>
  <c r="Q518" i="1"/>
  <c r="Q529" i="1"/>
  <c r="Q516" i="1"/>
  <c r="Q517" i="1"/>
  <c r="AB163" i="1"/>
  <c r="AB169" i="1" s="1"/>
  <c r="Q400" i="1"/>
  <c r="Q197" i="1"/>
  <c r="Q203" i="1" s="1"/>
  <c r="Q213" i="1" s="1"/>
  <c r="X152" i="1"/>
  <c r="X160" i="1" s="1"/>
  <c r="X171" i="1" s="1"/>
  <c r="Q73" i="1"/>
  <c r="Q522" i="1"/>
  <c r="Q127" i="1"/>
  <c r="Q64" i="1"/>
  <c r="Q105" i="1"/>
  <c r="Q438" i="1"/>
  <c r="Q259" i="1"/>
  <c r="Q454" i="1"/>
  <c r="Q584" i="1" s="1"/>
  <c r="Q446" i="1" s="1"/>
  <c r="Q456" i="1" s="1"/>
  <c r="Q276" i="1"/>
  <c r="Q137" i="1"/>
  <c r="Q458" i="1"/>
  <c r="Q437" i="1"/>
  <c r="AB244" i="1"/>
  <c r="AB520" i="1"/>
  <c r="W400" i="1"/>
  <c r="W197" i="1"/>
  <c r="W203" i="1" s="1"/>
  <c r="W213" i="1" s="1"/>
  <c r="Y400" i="1"/>
  <c r="Y197" i="1"/>
  <c r="Y203" i="1" s="1"/>
  <c r="Y213" i="1" s="1"/>
  <c r="AH152" i="1"/>
  <c r="AH160" i="1" s="1"/>
  <c r="AH171" i="1" s="1"/>
  <c r="AH358" i="1"/>
  <c r="M405" i="1"/>
  <c r="M409" i="1" s="1"/>
  <c r="M218" i="1"/>
  <c r="M219" i="1"/>
  <c r="M221" i="1"/>
  <c r="M220" i="1"/>
  <c r="S163" i="1"/>
  <c r="S169" i="1" s="1"/>
  <c r="S171" i="1" s="1"/>
  <c r="AK100" i="1"/>
  <c r="AL100" i="1" s="1"/>
  <c r="S358" i="1"/>
  <c r="M136" i="1"/>
  <c r="M73" i="1"/>
  <c r="M458" i="1"/>
  <c r="M259" i="1"/>
  <c r="M454" i="1"/>
  <c r="M584" i="1" s="1"/>
  <c r="M446" i="1" s="1"/>
  <c r="M456" i="1" s="1"/>
  <c r="M261" i="1"/>
  <c r="M437" i="1"/>
  <c r="M64" i="1"/>
  <c r="M438" i="1"/>
  <c r="M105" i="1"/>
  <c r="M531" i="1"/>
  <c r="M137" i="1"/>
  <c r="M260" i="1"/>
  <c r="M276" i="1"/>
  <c r="M127" i="1"/>
  <c r="M522" i="1"/>
  <c r="P220" i="1"/>
  <c r="P221" i="1"/>
  <c r="P218" i="1"/>
  <c r="P219" i="1"/>
  <c r="P405" i="1"/>
  <c r="P409" i="1" s="1"/>
  <c r="H409" i="1"/>
  <c r="Y361" i="1"/>
  <c r="AK179" i="1"/>
  <c r="AL179" i="1" s="1"/>
  <c r="L517" i="1"/>
  <c r="L516" i="1"/>
  <c r="L518" i="1"/>
  <c r="L529" i="1"/>
  <c r="L47" i="1"/>
  <c r="L62" i="1" s="1"/>
  <c r="Z371" i="1"/>
  <c r="AB400" i="1"/>
  <c r="AB197" i="1"/>
  <c r="AB203" i="1" s="1"/>
  <c r="AB213" i="1" s="1"/>
  <c r="AK29" i="1"/>
  <c r="AL29" i="1" s="1"/>
  <c r="P32" i="1"/>
  <c r="K219" i="1"/>
  <c r="K220" i="1"/>
  <c r="K218" i="1"/>
  <c r="K221" i="1"/>
  <c r="K405" i="1"/>
  <c r="K409" i="1" s="1"/>
  <c r="AK591" i="1"/>
  <c r="AL591" i="1" s="1"/>
  <c r="AJ454" i="1"/>
  <c r="AJ584" i="1" s="1"/>
  <c r="AJ446" i="1" s="1"/>
  <c r="AJ456" i="1" s="1"/>
  <c r="AJ73" i="1"/>
  <c r="AJ438" i="1"/>
  <c r="AJ522" i="1"/>
  <c r="AJ260" i="1"/>
  <c r="AJ261" i="1"/>
  <c r="AJ105" i="1"/>
  <c r="AJ259" i="1"/>
  <c r="AJ127" i="1"/>
  <c r="AJ136" i="1"/>
  <c r="AJ137" i="1"/>
  <c r="AJ458" i="1"/>
  <c r="AJ276" i="1"/>
  <c r="AJ437" i="1"/>
  <c r="AJ64" i="1"/>
  <c r="AJ47" i="1"/>
  <c r="AJ62" i="1" s="1"/>
  <c r="AJ531" i="1"/>
  <c r="P197" i="1"/>
  <c r="P203" i="1" s="1"/>
  <c r="P213" i="1" s="1"/>
  <c r="P400" i="1"/>
  <c r="U137" i="1"/>
  <c r="U73" i="1"/>
  <c r="U64" i="1"/>
  <c r="U438" i="1"/>
  <c r="U127" i="1"/>
  <c r="U531" i="1"/>
  <c r="U261" i="1"/>
  <c r="U260" i="1"/>
  <c r="U437" i="1"/>
  <c r="U276" i="1"/>
  <c r="U454" i="1"/>
  <c r="U136" i="1"/>
  <c r="U259" i="1"/>
  <c r="U458" i="1"/>
  <c r="U522" i="1"/>
  <c r="U105" i="1"/>
  <c r="U47" i="1"/>
  <c r="U62" i="1" s="1"/>
  <c r="L143" i="1"/>
  <c r="X405" i="1"/>
  <c r="X409" i="1" s="1"/>
  <c r="X221" i="1"/>
  <c r="X218" i="1"/>
  <c r="X219" i="1"/>
  <c r="X220" i="1"/>
  <c r="V220" i="1"/>
  <c r="V218" i="1"/>
  <c r="V221" i="1"/>
  <c r="V405" i="1"/>
  <c r="V409" i="1" s="1"/>
  <c r="V219" i="1"/>
  <c r="J529" i="1"/>
  <c r="J517" i="1"/>
  <c r="J47" i="1"/>
  <c r="J62" i="1" s="1"/>
  <c r="J518" i="1"/>
  <c r="J516" i="1"/>
  <c r="AK451" i="1"/>
  <c r="AL451" i="1" s="1"/>
  <c r="AK134" i="1"/>
  <c r="AL134" i="1" s="1"/>
  <c r="Q350" i="1"/>
  <c r="Q356" i="1" s="1"/>
  <c r="V197" i="1"/>
  <c r="V203" i="1" s="1"/>
  <c r="V213" i="1" s="1"/>
  <c r="V400" i="1"/>
  <c r="M47" i="1"/>
  <c r="M62" i="1" s="1"/>
  <c r="Z218" i="1"/>
  <c r="Z220" i="1"/>
  <c r="Z221" i="1"/>
  <c r="Z219" i="1"/>
  <c r="Z405" i="1"/>
  <c r="Z409" i="1" s="1"/>
  <c r="AD197" i="1"/>
  <c r="AD203" i="1" s="1"/>
  <c r="AD213" i="1" s="1"/>
  <c r="AD400" i="1"/>
  <c r="AK72" i="1"/>
  <c r="AL72" i="1" s="1"/>
  <c r="T163" i="1"/>
  <c r="T169" i="1" s="1"/>
  <c r="T171" i="1" s="1"/>
  <c r="T358" i="1"/>
  <c r="L181" i="1"/>
  <c r="L192" i="1" s="1"/>
  <c r="I783" i="2" l="1"/>
  <c r="I784" i="2"/>
  <c r="W938" i="2"/>
  <c r="W917" i="2"/>
  <c r="P104" i="1"/>
  <c r="P521" i="1"/>
  <c r="AK521" i="1" s="1"/>
  <c r="AL521" i="1" s="1"/>
  <c r="AF62" i="1"/>
  <c r="Q103" i="1"/>
  <c r="Q104" i="1"/>
  <c r="AK104" i="1" s="1"/>
  <c r="AL104" i="1" s="1"/>
  <c r="AH62" i="1"/>
  <c r="J1" i="2"/>
  <c r="Q245" i="1"/>
  <c r="Q421" i="1"/>
  <c r="Q422" i="1"/>
  <c r="Q530" i="1"/>
  <c r="Q533" i="1" s="1"/>
  <c r="F362" i="2" s="1"/>
  <c r="Q416" i="1"/>
  <c r="Q423" i="1"/>
  <c r="Q244" i="1"/>
  <c r="Q415" i="1"/>
  <c r="Q47" i="1"/>
  <c r="Q62" i="1" s="1"/>
  <c r="Q600" i="1"/>
  <c r="Q519" i="1"/>
  <c r="Q418" i="1"/>
  <c r="Q414" i="1"/>
  <c r="Q417" i="1"/>
  <c r="Q102" i="1"/>
  <c r="Q520" i="1"/>
  <c r="Q238" i="1"/>
  <c r="Q420" i="1"/>
  <c r="Q237" i="1"/>
  <c r="Q419" i="1"/>
  <c r="Z425" i="1"/>
  <c r="Z241" i="1" s="1"/>
  <c r="Q583" i="1"/>
  <c r="Q428" i="1" s="1"/>
  <c r="Q440" i="1" s="1"/>
  <c r="Q611" i="1" s="1"/>
  <c r="AJ425" i="1"/>
  <c r="AJ243" i="1" s="1"/>
  <c r="L425" i="1"/>
  <c r="L234" i="1" s="1"/>
  <c r="K425" i="1"/>
  <c r="K236" i="1" s="1"/>
  <c r="X425" i="1"/>
  <c r="X241" i="1" s="1"/>
  <c r="AH425" i="1"/>
  <c r="AH234" i="1" s="1"/>
  <c r="AH278" i="1"/>
  <c r="AC225" i="1"/>
  <c r="W425" i="1"/>
  <c r="W235" i="1" s="1"/>
  <c r="W402" i="1"/>
  <c r="L533" i="1"/>
  <c r="F355" i="2" s="1"/>
  <c r="AH138" i="1"/>
  <c r="AH140" i="1" s="1"/>
  <c r="U425" i="1"/>
  <c r="U234" i="1" s="1"/>
  <c r="AJ533" i="1"/>
  <c r="F400" i="2" s="1"/>
  <c r="AF128" i="1"/>
  <c r="AF130" i="1" s="1"/>
  <c r="J400" i="1"/>
  <c r="O583" i="1"/>
  <c r="O428" i="1" s="1"/>
  <c r="O440" i="1" s="1"/>
  <c r="O250" i="1" s="1"/>
  <c r="O263" i="1" s="1"/>
  <c r="V402" i="1"/>
  <c r="AH583" i="1"/>
  <c r="AH428" i="1" s="1"/>
  <c r="AH440" i="1" s="1"/>
  <c r="AH611" i="1" s="1"/>
  <c r="AH612" i="1"/>
  <c r="AF9" i="1"/>
  <c r="AF8" i="1"/>
  <c r="S583" i="1"/>
  <c r="S428" i="1" s="1"/>
  <c r="S440" i="1" s="1"/>
  <c r="S250" i="1" s="1"/>
  <c r="S263" i="1" s="1"/>
  <c r="AF138" i="1"/>
  <c r="AF140" i="1" s="1"/>
  <c r="P215" i="1"/>
  <c r="I213" i="1"/>
  <c r="AB402" i="1"/>
  <c r="AF10" i="1"/>
  <c r="AF106" i="1"/>
  <c r="AF57" i="1"/>
  <c r="I47" i="1"/>
  <c r="AF59" i="1"/>
  <c r="AF107" i="1"/>
  <c r="AD225" i="1"/>
  <c r="H425" i="1"/>
  <c r="H239" i="1" s="1"/>
  <c r="AF533" i="1"/>
  <c r="F394" i="2" s="1"/>
  <c r="AC402" i="1"/>
  <c r="S8" i="1"/>
  <c r="S402" i="1"/>
  <c r="AK272" i="1"/>
  <c r="AL272" i="1" s="1"/>
  <c r="AB225" i="1"/>
  <c r="I516" i="1"/>
  <c r="I529" i="1"/>
  <c r="I533" i="1" s="1"/>
  <c r="F352" i="2" s="1"/>
  <c r="P583" i="1"/>
  <c r="P428" i="1" s="1"/>
  <c r="P440" i="1" s="1"/>
  <c r="P250" i="1" s="1"/>
  <c r="P263" i="1" s="1"/>
  <c r="AH128" i="1"/>
  <c r="AH130" i="1" s="1"/>
  <c r="AF425" i="1"/>
  <c r="AF232" i="1" s="1"/>
  <c r="AH107" i="1"/>
  <c r="AH59" i="1"/>
  <c r="AH57" i="1"/>
  <c r="AH328" i="1" s="1"/>
  <c r="O402" i="1"/>
  <c r="L583" i="1"/>
  <c r="L428" i="1" s="1"/>
  <c r="L440" i="1" s="1"/>
  <c r="L250" i="1" s="1"/>
  <c r="L263" i="1" s="1"/>
  <c r="J583" i="1"/>
  <c r="J428" i="1" s="1"/>
  <c r="J440" i="1" s="1"/>
  <c r="J250" i="1" s="1"/>
  <c r="J263" i="1" s="1"/>
  <c r="I517" i="1"/>
  <c r="AH74" i="1"/>
  <c r="AH77" i="1" s="1"/>
  <c r="AH94" i="1" s="1"/>
  <c r="U533" i="1"/>
  <c r="F372" i="2" s="1"/>
  <c r="AH106" i="1"/>
  <c r="I518" i="1"/>
  <c r="AH9" i="1"/>
  <c r="J425" i="1"/>
  <c r="J243" i="1" s="1"/>
  <c r="K533" i="1"/>
  <c r="F354" i="2" s="1"/>
  <c r="AK211" i="1"/>
  <c r="AL211" i="1" s="1"/>
  <c r="AB171" i="1"/>
  <c r="AB215" i="1" s="1"/>
  <c r="I181" i="1"/>
  <c r="AH533" i="1"/>
  <c r="F397" i="2" s="1"/>
  <c r="S533" i="1"/>
  <c r="F366" i="2" s="1"/>
  <c r="AA425" i="1"/>
  <c r="AA243" i="1" s="1"/>
  <c r="J174" i="1"/>
  <c r="J181" i="1" s="1"/>
  <c r="U402" i="1"/>
  <c r="AA402" i="1"/>
  <c r="W225" i="1"/>
  <c r="T425" i="1"/>
  <c r="T234" i="1" s="1"/>
  <c r="J278" i="1"/>
  <c r="P402" i="1"/>
  <c r="S74" i="1"/>
  <c r="S77" i="1" s="1"/>
  <c r="S94" i="1" s="1"/>
  <c r="AH8" i="1"/>
  <c r="S225" i="1"/>
  <c r="V425" i="1"/>
  <c r="V240" i="1" s="1"/>
  <c r="J379" i="1"/>
  <c r="S9" i="1"/>
  <c r="I583" i="1"/>
  <c r="I428" i="1" s="1"/>
  <c r="I440" i="1" s="1"/>
  <c r="I611" i="1" s="1"/>
  <c r="X402" i="1"/>
  <c r="AK450" i="1"/>
  <c r="AL450" i="1" s="1"/>
  <c r="AH225" i="1"/>
  <c r="AF402" i="1"/>
  <c r="L268" i="1"/>
  <c r="L278" i="1" s="1"/>
  <c r="AH402" i="1"/>
  <c r="Y425" i="1"/>
  <c r="Y239" i="1" s="1"/>
  <c r="O533" i="1"/>
  <c r="F360" i="2" s="1"/>
  <c r="F215" i="1"/>
  <c r="I379" i="1"/>
  <c r="AC215" i="1"/>
  <c r="S107" i="1"/>
  <c r="M425" i="1"/>
  <c r="M460" i="1" s="1"/>
  <c r="S10" i="1"/>
  <c r="S57" i="1"/>
  <c r="S59" i="1"/>
  <c r="AH215" i="1"/>
  <c r="S106" i="1"/>
  <c r="U225" i="1"/>
  <c r="O225" i="1"/>
  <c r="S215" i="1"/>
  <c r="S138" i="1"/>
  <c r="S140" i="1" s="1"/>
  <c r="I340" i="1"/>
  <c r="H583" i="1"/>
  <c r="H428" i="1" s="1"/>
  <c r="S128" i="1"/>
  <c r="S130" i="1" s="1"/>
  <c r="AC425" i="1"/>
  <c r="AC243" i="1" s="1"/>
  <c r="J184" i="1"/>
  <c r="J190" i="1" s="1"/>
  <c r="AF583" i="1"/>
  <c r="AF428" i="1" s="1"/>
  <c r="AF440" i="1" s="1"/>
  <c r="AF611" i="1" s="1"/>
  <c r="J152" i="1"/>
  <c r="J160" i="1" s="1"/>
  <c r="I225" i="1"/>
  <c r="AF215" i="1"/>
  <c r="AF227" i="1" s="1"/>
  <c r="AA225" i="1"/>
  <c r="O215" i="1"/>
  <c r="J197" i="1"/>
  <c r="J203" i="1" s="1"/>
  <c r="J213" i="1" s="1"/>
  <c r="P268" i="1"/>
  <c r="P278" i="1" s="1"/>
  <c r="P612" i="1"/>
  <c r="O268" i="1"/>
  <c r="O278" i="1" s="1"/>
  <c r="AK432" i="1"/>
  <c r="AL432" i="1" s="1"/>
  <c r="AJ215" i="1"/>
  <c r="U215" i="1"/>
  <c r="J612" i="1"/>
  <c r="I184" i="1"/>
  <c r="I190" i="1" s="1"/>
  <c r="S425" i="1"/>
  <c r="I425" i="1"/>
  <c r="I235" i="1" s="1"/>
  <c r="J225" i="1"/>
  <c r="U583" i="1"/>
  <c r="U428" i="1" s="1"/>
  <c r="U440" i="1" s="1"/>
  <c r="U250" i="1" s="1"/>
  <c r="U263" i="1" s="1"/>
  <c r="M225" i="1"/>
  <c r="Q225" i="1"/>
  <c r="AJ583" i="1"/>
  <c r="AJ428" i="1" s="1"/>
  <c r="AJ440" i="1" s="1"/>
  <c r="AJ611" i="1" s="1"/>
  <c r="AJ402" i="1"/>
  <c r="AD425" i="1"/>
  <c r="AD240" i="1" s="1"/>
  <c r="I268" i="1"/>
  <c r="I278" i="1" s="1"/>
  <c r="I612" i="1"/>
  <c r="AD402" i="1"/>
  <c r="AK409" i="1"/>
  <c r="AL409" i="1" s="1"/>
  <c r="X215" i="1"/>
  <c r="T225" i="1"/>
  <c r="T215" i="1"/>
  <c r="W215" i="1"/>
  <c r="AJ225" i="1"/>
  <c r="AK219" i="1"/>
  <c r="AL219" i="1" s="1"/>
  <c r="AB425" i="1"/>
  <c r="AB236" i="1" s="1"/>
  <c r="K583" i="1"/>
  <c r="K428" i="1" s="1"/>
  <c r="K440" i="1" s="1"/>
  <c r="K611" i="1" s="1"/>
  <c r="Y225" i="1"/>
  <c r="O425" i="1"/>
  <c r="AF77" i="1"/>
  <c r="AF94" i="1" s="1"/>
  <c r="AA215" i="1"/>
  <c r="K612" i="1"/>
  <c r="K268" i="1"/>
  <c r="K278" i="1" s="1"/>
  <c r="V215" i="1"/>
  <c r="AF612" i="1"/>
  <c r="AF268" i="1"/>
  <c r="AF278" i="1" s="1"/>
  <c r="P225" i="1"/>
  <c r="K9" i="1"/>
  <c r="K138" i="1"/>
  <c r="K140" i="1" s="1"/>
  <c r="K74" i="1"/>
  <c r="K77" i="1" s="1"/>
  <c r="K94" i="1" s="1"/>
  <c r="K8" i="1"/>
  <c r="K59" i="1"/>
  <c r="K107" i="1"/>
  <c r="K57" i="1"/>
  <c r="K128" i="1"/>
  <c r="K130" i="1" s="1"/>
  <c r="K10" i="1"/>
  <c r="K106" i="1"/>
  <c r="Q612" i="1"/>
  <c r="Q268" i="1"/>
  <c r="Q278" i="1" s="1"/>
  <c r="T402" i="1"/>
  <c r="AD215" i="1"/>
  <c r="Z225" i="1"/>
  <c r="Q163" i="1"/>
  <c r="Q169" i="1" s="1"/>
  <c r="Q171" i="1" s="1"/>
  <c r="Q215" i="1" s="1"/>
  <c r="Q358" i="1"/>
  <c r="Q402" i="1" s="1"/>
  <c r="S612" i="1"/>
  <c r="S268" i="1"/>
  <c r="S278" i="1" s="1"/>
  <c r="M268" i="1"/>
  <c r="M278" i="1" s="1"/>
  <c r="M612" i="1"/>
  <c r="M8" i="1"/>
  <c r="M107" i="1"/>
  <c r="M128" i="1"/>
  <c r="M130" i="1" s="1"/>
  <c r="M74" i="1"/>
  <c r="M77" i="1" s="1"/>
  <c r="M94" i="1" s="1"/>
  <c r="M10" i="1"/>
  <c r="M9" i="1"/>
  <c r="M57" i="1"/>
  <c r="M59" i="1"/>
  <c r="M106" i="1"/>
  <c r="M138" i="1"/>
  <c r="M140" i="1" s="1"/>
  <c r="X225" i="1"/>
  <c r="Z377" i="1"/>
  <c r="AK405" i="1"/>
  <c r="AL405" i="1" s="1"/>
  <c r="AK221" i="1"/>
  <c r="AL221" i="1" s="1"/>
  <c r="P237" i="1"/>
  <c r="P519" i="1"/>
  <c r="P600" i="1"/>
  <c r="P421" i="1"/>
  <c r="P244" i="1"/>
  <c r="P416" i="1"/>
  <c r="P520" i="1"/>
  <c r="P530" i="1"/>
  <c r="P103" i="1"/>
  <c r="AK32" i="1"/>
  <c r="AL32" i="1" s="1"/>
  <c r="P418" i="1"/>
  <c r="P245" i="1"/>
  <c r="P102" i="1"/>
  <c r="P423" i="1"/>
  <c r="P422" i="1"/>
  <c r="P415" i="1"/>
  <c r="P420" i="1"/>
  <c r="P417" i="1"/>
  <c r="P238" i="1"/>
  <c r="P419" i="1"/>
  <c r="P47" i="1"/>
  <c r="P62" i="1" s="1"/>
  <c r="P414" i="1"/>
  <c r="M533" i="1"/>
  <c r="F356" i="2" s="1"/>
  <c r="V225" i="1"/>
  <c r="AJ59" i="1"/>
  <c r="AJ106" i="1"/>
  <c r="AJ10" i="1"/>
  <c r="AJ74" i="1"/>
  <c r="AJ77" i="1" s="1"/>
  <c r="AJ94" i="1" s="1"/>
  <c r="AJ9" i="1"/>
  <c r="AJ8" i="1"/>
  <c r="AJ138" i="1"/>
  <c r="AJ140" i="1" s="1"/>
  <c r="AJ128" i="1"/>
  <c r="AJ130" i="1" s="1"/>
  <c r="AJ57" i="1"/>
  <c r="AJ107" i="1"/>
  <c r="AJ268" i="1"/>
  <c r="AJ278" i="1" s="1"/>
  <c r="AJ612" i="1"/>
  <c r="K225" i="1"/>
  <c r="AK218" i="1"/>
  <c r="AL218" i="1" s="1"/>
  <c r="U584" i="1"/>
  <c r="U446" i="1" s="1"/>
  <c r="U456" i="1" s="1"/>
  <c r="AK220" i="1"/>
  <c r="AL220" i="1" s="1"/>
  <c r="L8" i="1"/>
  <c r="L106" i="1"/>
  <c r="L9" i="1"/>
  <c r="L107" i="1"/>
  <c r="L57" i="1"/>
  <c r="L138" i="1"/>
  <c r="L140" i="1" s="1"/>
  <c r="L59" i="1"/>
  <c r="L128" i="1"/>
  <c r="L130" i="1" s="1"/>
  <c r="L10" i="1"/>
  <c r="L74" i="1"/>
  <c r="L77" i="1" s="1"/>
  <c r="L94" i="1" s="1"/>
  <c r="J533" i="1"/>
  <c r="U106" i="1"/>
  <c r="U128" i="1"/>
  <c r="U130" i="1" s="1"/>
  <c r="U57" i="1"/>
  <c r="U59" i="1"/>
  <c r="U138" i="1"/>
  <c r="U140" i="1" s="1"/>
  <c r="U9" i="1"/>
  <c r="U8" i="1"/>
  <c r="U10" i="1"/>
  <c r="U107" i="1"/>
  <c r="U74" i="1"/>
  <c r="U77" i="1" s="1"/>
  <c r="U94" i="1" s="1"/>
  <c r="M583" i="1"/>
  <c r="M428" i="1" s="1"/>
  <c r="M440" i="1" s="1"/>
  <c r="J138" i="1"/>
  <c r="J140" i="1" s="1"/>
  <c r="J74" i="1"/>
  <c r="J77" i="1" s="1"/>
  <c r="J94" i="1" s="1"/>
  <c r="J10" i="1"/>
  <c r="J107" i="1"/>
  <c r="J59" i="1"/>
  <c r="J57" i="1"/>
  <c r="J8" i="1"/>
  <c r="J9" i="1"/>
  <c r="J128" i="1"/>
  <c r="J130" i="1" s="1"/>
  <c r="J106" i="1"/>
  <c r="H446" i="1"/>
  <c r="Y368" i="1"/>
  <c r="W910" i="2" l="1"/>
  <c r="W924" i="2"/>
  <c r="J783" i="2"/>
  <c r="J784" i="2"/>
  <c r="X938" i="2"/>
  <c r="Y938" i="2" s="1"/>
  <c r="X924" i="2"/>
  <c r="Y924" i="2" s="1"/>
  <c r="X917" i="2"/>
  <c r="Y917" i="2" s="1"/>
  <c r="X910" i="2"/>
  <c r="Y910" i="2" s="1"/>
  <c r="W931" i="2"/>
  <c r="I10" i="1"/>
  <c r="I62" i="1"/>
  <c r="K1" i="2"/>
  <c r="AK421" i="1"/>
  <c r="AL421" i="1" s="1"/>
  <c r="AK422" i="1"/>
  <c r="AL422" i="1" s="1"/>
  <c r="AK416" i="1"/>
  <c r="AL416" i="1" s="1"/>
  <c r="AK244" i="1"/>
  <c r="AL244" i="1" s="1"/>
  <c r="Q10" i="1"/>
  <c r="AK423" i="1"/>
  <c r="AL423" i="1" s="1"/>
  <c r="Q106" i="1"/>
  <c r="Q74" i="1"/>
  <c r="Q77" i="1" s="1"/>
  <c r="Q94" i="1" s="1"/>
  <c r="AK415" i="1"/>
  <c r="AL415" i="1" s="1"/>
  <c r="Q57" i="1"/>
  <c r="Q523" i="1" s="1"/>
  <c r="Q8" i="1"/>
  <c r="Q128" i="1"/>
  <c r="Q130" i="1" s="1"/>
  <c r="Q138" i="1"/>
  <c r="Q140" i="1" s="1"/>
  <c r="Q107" i="1"/>
  <c r="Q9" i="1"/>
  <c r="Q59" i="1"/>
  <c r="AK417" i="1"/>
  <c r="AL417" i="1" s="1"/>
  <c r="AK418" i="1"/>
  <c r="AL418" i="1" s="1"/>
  <c r="AK520" i="1"/>
  <c r="AL520" i="1" s="1"/>
  <c r="AK600" i="1"/>
  <c r="AL600" i="1" s="1"/>
  <c r="Q425" i="1"/>
  <c r="Q243" i="1" s="1"/>
  <c r="AK420" i="1"/>
  <c r="AL420" i="1" s="1"/>
  <c r="AK419" i="1"/>
  <c r="AL419" i="1" s="1"/>
  <c r="J109" i="1"/>
  <c r="M109" i="1"/>
  <c r="Z242" i="1"/>
  <c r="Z233" i="1"/>
  <c r="Z234" i="1"/>
  <c r="Z243" i="1"/>
  <c r="Z239" i="1"/>
  <c r="Z236" i="1"/>
  <c r="Z240" i="1"/>
  <c r="Z235" i="1"/>
  <c r="Z232" i="1"/>
  <c r="Z610" i="1"/>
  <c r="AJ610" i="1"/>
  <c r="AJ460" i="1"/>
  <c r="AJ462" i="1" s="1"/>
  <c r="AJ487" i="1" s="1"/>
  <c r="AJ327" i="1" s="1"/>
  <c r="AJ234" i="1"/>
  <c r="AJ239" i="1"/>
  <c r="AJ233" i="1"/>
  <c r="AJ242" i="1"/>
  <c r="AJ236" i="1"/>
  <c r="AJ235" i="1"/>
  <c r="AJ241" i="1"/>
  <c r="AJ232" i="1"/>
  <c r="AJ240" i="1"/>
  <c r="X233" i="1"/>
  <c r="X232" i="1"/>
  <c r="Q250" i="1"/>
  <c r="Q263" i="1" s="1"/>
  <c r="Q280" i="1" s="1"/>
  <c r="X240" i="1"/>
  <c r="X235" i="1"/>
  <c r="X236" i="1"/>
  <c r="X234" i="1"/>
  <c r="X610" i="1"/>
  <c r="X243" i="1"/>
  <c r="X242" i="1"/>
  <c r="X239" i="1"/>
  <c r="K240" i="1"/>
  <c r="K239" i="1"/>
  <c r="K233" i="1"/>
  <c r="K243" i="1"/>
  <c r="K610" i="1"/>
  <c r="K235" i="1"/>
  <c r="K242" i="1"/>
  <c r="K234" i="1"/>
  <c r="K460" i="1"/>
  <c r="K241" i="1"/>
  <c r="K232" i="1"/>
  <c r="L241" i="1"/>
  <c r="L233" i="1"/>
  <c r="L460" i="1"/>
  <c r="L610" i="1"/>
  <c r="L243" i="1"/>
  <c r="L240" i="1"/>
  <c r="L242" i="1"/>
  <c r="L236" i="1"/>
  <c r="L235" i="1"/>
  <c r="L239" i="1"/>
  <c r="L232" i="1"/>
  <c r="AH242" i="1"/>
  <c r="AH232" i="1"/>
  <c r="AH241" i="1"/>
  <c r="AH610" i="1"/>
  <c r="AH239" i="1"/>
  <c r="AH243" i="1"/>
  <c r="AH233" i="1"/>
  <c r="AH236" i="1"/>
  <c r="AH235" i="1"/>
  <c r="AH240" i="1"/>
  <c r="AH460" i="1"/>
  <c r="AH462" i="1" s="1"/>
  <c r="AH487" i="1" s="1"/>
  <c r="AF614" i="1"/>
  <c r="AF328" i="1"/>
  <c r="AF523" i="1"/>
  <c r="AC227" i="1"/>
  <c r="W242" i="1"/>
  <c r="W239" i="1"/>
  <c r="W240" i="1"/>
  <c r="W243" i="1"/>
  <c r="AA241" i="1"/>
  <c r="W232" i="1"/>
  <c r="W233" i="1"/>
  <c r="W236" i="1"/>
  <c r="W241" i="1"/>
  <c r="W234" i="1"/>
  <c r="W610" i="1"/>
  <c r="P611" i="1"/>
  <c r="U235" i="1"/>
  <c r="AH250" i="1"/>
  <c r="AH263" i="1" s="1"/>
  <c r="AH280" i="1" s="1"/>
  <c r="M232" i="1"/>
  <c r="S227" i="1"/>
  <c r="AA234" i="1"/>
  <c r="AF503" i="1"/>
  <c r="AH523" i="1"/>
  <c r="AF329" i="1"/>
  <c r="K181" i="1"/>
  <c r="AA233" i="1"/>
  <c r="AA232" i="1"/>
  <c r="AF504" i="1"/>
  <c r="S12" i="1"/>
  <c r="S66" i="1" s="1"/>
  <c r="S117" i="1" s="1"/>
  <c r="AA610" i="1"/>
  <c r="U233" i="1"/>
  <c r="U240" i="1"/>
  <c r="U241" i="1"/>
  <c r="U239" i="1"/>
  <c r="U243" i="1"/>
  <c r="U236" i="1"/>
  <c r="U242" i="1"/>
  <c r="U460" i="1"/>
  <c r="U462" i="1" s="1"/>
  <c r="U487" i="1" s="1"/>
  <c r="U319" i="1" s="1"/>
  <c r="U610" i="1"/>
  <c r="U232" i="1"/>
  <c r="S503" i="1"/>
  <c r="O611" i="1"/>
  <c r="L611" i="1"/>
  <c r="AA239" i="1"/>
  <c r="P227" i="1"/>
  <c r="AF109" i="1"/>
  <c r="AH503" i="1"/>
  <c r="I138" i="1"/>
  <c r="I74" i="1"/>
  <c r="I77" i="1" s="1"/>
  <c r="I94" i="1" s="1"/>
  <c r="I57" i="1"/>
  <c r="S614" i="1"/>
  <c r="I59" i="1"/>
  <c r="AH614" i="1"/>
  <c r="S504" i="1"/>
  <c r="AF12" i="1"/>
  <c r="AH329" i="1"/>
  <c r="AF242" i="1"/>
  <c r="H242" i="1"/>
  <c r="AF460" i="1"/>
  <c r="AF462" i="1" s="1"/>
  <c r="AF487" i="1" s="1"/>
  <c r="S611" i="1"/>
  <c r="AD227" i="1"/>
  <c r="O280" i="1"/>
  <c r="H234" i="1"/>
  <c r="H241" i="1"/>
  <c r="H610" i="1"/>
  <c r="H232" i="1"/>
  <c r="H460" i="1"/>
  <c r="H236" i="1"/>
  <c r="H243" i="1"/>
  <c r="H240" i="1"/>
  <c r="H233" i="1"/>
  <c r="S329" i="1"/>
  <c r="H235" i="1"/>
  <c r="AA227" i="1"/>
  <c r="I9" i="1"/>
  <c r="I107" i="1"/>
  <c r="I250" i="1"/>
  <c r="I263" i="1" s="1"/>
  <c r="I280" i="1" s="1"/>
  <c r="V243" i="1"/>
  <c r="I106" i="1"/>
  <c r="V236" i="1"/>
  <c r="V241" i="1"/>
  <c r="J233" i="1"/>
  <c r="I8" i="1"/>
  <c r="I128" i="1"/>
  <c r="I130" i="1" s="1"/>
  <c r="AH142" i="1"/>
  <c r="U227" i="1"/>
  <c r="O227" i="1"/>
  <c r="AB227" i="1"/>
  <c r="V232" i="1"/>
  <c r="V242" i="1"/>
  <c r="J192" i="1"/>
  <c r="V239" i="1"/>
  <c r="AH504" i="1"/>
  <c r="V233" i="1"/>
  <c r="V610" i="1"/>
  <c r="V235" i="1"/>
  <c r="AH109" i="1"/>
  <c r="V234" i="1"/>
  <c r="J280" i="1"/>
  <c r="J236" i="1"/>
  <c r="J234" i="1"/>
  <c r="AF241" i="1"/>
  <c r="J611" i="1"/>
  <c r="J241" i="1"/>
  <c r="J242" i="1"/>
  <c r="AC236" i="1"/>
  <c r="S328" i="1"/>
  <c r="AF234" i="1"/>
  <c r="J460" i="1"/>
  <c r="J610" i="1"/>
  <c r="AF235" i="1"/>
  <c r="AF243" i="1"/>
  <c r="AA240" i="1"/>
  <c r="AA242" i="1"/>
  <c r="J232" i="1"/>
  <c r="J240" i="1"/>
  <c r="AF610" i="1"/>
  <c r="W227" i="1"/>
  <c r="AH12" i="1"/>
  <c r="AA235" i="1"/>
  <c r="J239" i="1"/>
  <c r="AF240" i="1"/>
  <c r="S523" i="1"/>
  <c r="J235" i="1"/>
  <c r="T241" i="1"/>
  <c r="AF233" i="1"/>
  <c r="AD233" i="1"/>
  <c r="AA236" i="1"/>
  <c r="AF236" i="1"/>
  <c r="T239" i="1"/>
  <c r="AF239" i="1"/>
  <c r="L280" i="1"/>
  <c r="I192" i="1"/>
  <c r="X227" i="1"/>
  <c r="AC234" i="1"/>
  <c r="T243" i="1"/>
  <c r="T235" i="1"/>
  <c r="S142" i="1"/>
  <c r="AH227" i="1"/>
  <c r="T232" i="1"/>
  <c r="T240" i="1"/>
  <c r="Y610" i="1"/>
  <c r="T233" i="1"/>
  <c r="T610" i="1"/>
  <c r="Y234" i="1"/>
  <c r="T236" i="1"/>
  <c r="T242" i="1"/>
  <c r="Y243" i="1"/>
  <c r="M242" i="1"/>
  <c r="M236" i="1"/>
  <c r="Y242" i="1"/>
  <c r="Y241" i="1"/>
  <c r="AF250" i="1"/>
  <c r="AF263" i="1" s="1"/>
  <c r="AF280" i="1" s="1"/>
  <c r="Y236" i="1"/>
  <c r="Y233" i="1"/>
  <c r="M239" i="1"/>
  <c r="Y232" i="1"/>
  <c r="M234" i="1"/>
  <c r="M610" i="1"/>
  <c r="M241" i="1"/>
  <c r="M235" i="1"/>
  <c r="M233" i="1"/>
  <c r="M240" i="1"/>
  <c r="Y235" i="1"/>
  <c r="Y240" i="1"/>
  <c r="M243" i="1"/>
  <c r="S109" i="1"/>
  <c r="AD236" i="1"/>
  <c r="AD243" i="1"/>
  <c r="P280" i="1"/>
  <c r="I347" i="1"/>
  <c r="AD232" i="1"/>
  <c r="I233" i="1"/>
  <c r="AD235" i="1"/>
  <c r="AF142" i="1"/>
  <c r="AD242" i="1"/>
  <c r="AD610" i="1"/>
  <c r="AD239" i="1"/>
  <c r="AD241" i="1"/>
  <c r="AD234" i="1"/>
  <c r="AC235" i="1"/>
  <c r="AC239" i="1"/>
  <c r="AC241" i="1"/>
  <c r="AC232" i="1"/>
  <c r="AC240" i="1"/>
  <c r="AC610" i="1"/>
  <c r="AJ227" i="1"/>
  <c r="AC242" i="1"/>
  <c r="AC233" i="1"/>
  <c r="AJ250" i="1"/>
  <c r="AJ263" i="1" s="1"/>
  <c r="AJ280" i="1" s="1"/>
  <c r="AB233" i="1"/>
  <c r="AB234" i="1"/>
  <c r="I240" i="1"/>
  <c r="U611" i="1"/>
  <c r="T227" i="1"/>
  <c r="I460" i="1"/>
  <c r="I241" i="1"/>
  <c r="S243" i="1"/>
  <c r="S239" i="1"/>
  <c r="S240" i="1"/>
  <c r="S235" i="1"/>
  <c r="S610" i="1"/>
  <c r="S460" i="1"/>
  <c r="S462" i="1" s="1"/>
  <c r="S487" i="1" s="1"/>
  <c r="S241" i="1"/>
  <c r="S233" i="1"/>
  <c r="S236" i="1"/>
  <c r="S234" i="1"/>
  <c r="S242" i="1"/>
  <c r="S232" i="1"/>
  <c r="Q227" i="1"/>
  <c r="I232" i="1"/>
  <c r="I236" i="1"/>
  <c r="I242" i="1"/>
  <c r="I243" i="1"/>
  <c r="I234" i="1"/>
  <c r="I239" i="1"/>
  <c r="AJ109" i="1"/>
  <c r="I610" i="1"/>
  <c r="J142" i="1"/>
  <c r="K250" i="1"/>
  <c r="K263" i="1" s="1"/>
  <c r="K280" i="1" s="1"/>
  <c r="U12" i="1"/>
  <c r="AB610" i="1"/>
  <c r="AB243" i="1"/>
  <c r="M142" i="1"/>
  <c r="AB240" i="1"/>
  <c r="K12" i="1"/>
  <c r="K66" i="1" s="1"/>
  <c r="K117" i="1" s="1"/>
  <c r="AB232" i="1"/>
  <c r="AB235" i="1"/>
  <c r="AB241" i="1"/>
  <c r="AB239" i="1"/>
  <c r="S280" i="1"/>
  <c r="O242" i="1"/>
  <c r="O243" i="1"/>
  <c r="O460" i="1"/>
  <c r="O462" i="1" s="1"/>
  <c r="O487" i="1" s="1"/>
  <c r="O610" i="1"/>
  <c r="AB242" i="1"/>
  <c r="K142" i="1"/>
  <c r="L142" i="1"/>
  <c r="L109" i="1"/>
  <c r="K109" i="1"/>
  <c r="V227" i="1"/>
  <c r="K503" i="1"/>
  <c r="K329" i="1"/>
  <c r="K328" i="1"/>
  <c r="K504" i="1"/>
  <c r="K614" i="1"/>
  <c r="K523" i="1"/>
  <c r="AJ142" i="1"/>
  <c r="Y379" i="1"/>
  <c r="Y174" i="1"/>
  <c r="P425" i="1"/>
  <c r="AK414" i="1"/>
  <c r="AL414" i="1" s="1"/>
  <c r="M523" i="1"/>
  <c r="M503" i="1"/>
  <c r="M504" i="1"/>
  <c r="M614" i="1"/>
  <c r="M328" i="1"/>
  <c r="M329" i="1"/>
  <c r="M250" i="1"/>
  <c r="M263" i="1" s="1"/>
  <c r="M280" i="1" s="1"/>
  <c r="M611" i="1"/>
  <c r="U142" i="1"/>
  <c r="AJ12" i="1"/>
  <c r="AJ66" i="1" s="1"/>
  <c r="AJ117" i="1" s="1"/>
  <c r="P107" i="1"/>
  <c r="P9" i="1"/>
  <c r="P106" i="1"/>
  <c r="P10" i="1"/>
  <c r="P74" i="1"/>
  <c r="P77" i="1" s="1"/>
  <c r="P94" i="1" s="1"/>
  <c r="P57" i="1"/>
  <c r="P128" i="1"/>
  <c r="P130" i="1" s="1"/>
  <c r="P138" i="1"/>
  <c r="P140" i="1" s="1"/>
  <c r="P8" i="1"/>
  <c r="P59" i="1"/>
  <c r="AK102" i="1"/>
  <c r="AL102" i="1" s="1"/>
  <c r="L12" i="1"/>
  <c r="L66" i="1" s="1"/>
  <c r="L117" i="1" s="1"/>
  <c r="H440" i="1"/>
  <c r="Z184" i="1"/>
  <c r="Z379" i="1"/>
  <c r="Z402" i="1" s="1"/>
  <c r="U612" i="1"/>
  <c r="U268" i="1"/>
  <c r="U278" i="1" s="1"/>
  <c r="U280" i="1" s="1"/>
  <c r="J12" i="1"/>
  <c r="J66" i="1" s="1"/>
  <c r="J117" i="1" s="1"/>
  <c r="F353" i="2"/>
  <c r="AK519" i="1"/>
  <c r="AL519" i="1" s="1"/>
  <c r="U523" i="1"/>
  <c r="U328" i="1"/>
  <c r="U504" i="1"/>
  <c r="U503" i="1"/>
  <c r="U614" i="1"/>
  <c r="U329" i="1"/>
  <c r="J614" i="1"/>
  <c r="J328" i="1"/>
  <c r="J329" i="1"/>
  <c r="J504" i="1"/>
  <c r="J523" i="1"/>
  <c r="J503" i="1"/>
  <c r="U109" i="1"/>
  <c r="L503" i="1"/>
  <c r="L504" i="1"/>
  <c r="L328" i="1"/>
  <c r="L329" i="1"/>
  <c r="L523" i="1"/>
  <c r="L614" i="1"/>
  <c r="H456" i="1"/>
  <c r="AJ504" i="1"/>
  <c r="AJ614" i="1"/>
  <c r="AJ503" i="1"/>
  <c r="AJ329" i="1"/>
  <c r="AJ523" i="1"/>
  <c r="AJ328" i="1"/>
  <c r="P533" i="1"/>
  <c r="F361" i="2" s="1"/>
  <c r="AK530" i="1"/>
  <c r="AL530" i="1" s="1"/>
  <c r="M12" i="1"/>
  <c r="M66" i="1" s="1"/>
  <c r="M117" i="1" s="1"/>
  <c r="K783" i="2" l="1"/>
  <c r="K784" i="2"/>
  <c r="W820" i="2"/>
  <c r="X820" i="2" s="1"/>
  <c r="Y820" i="2" s="1"/>
  <c r="X931" i="2"/>
  <c r="Y931" i="2" s="1"/>
  <c r="L1" i="2"/>
  <c r="Q614" i="1"/>
  <c r="Q328" i="1"/>
  <c r="Q109" i="1"/>
  <c r="Q610" i="1"/>
  <c r="Q239" i="1"/>
  <c r="Q142" i="1"/>
  <c r="Q329" i="1"/>
  <c r="Q503" i="1"/>
  <c r="Q12" i="1"/>
  <c r="Q66" i="1" s="1"/>
  <c r="Q117" i="1" s="1"/>
  <c r="Q504" i="1"/>
  <c r="Q234" i="1"/>
  <c r="Q240" i="1"/>
  <c r="Q233" i="1"/>
  <c r="Q241" i="1"/>
  <c r="Q242" i="1"/>
  <c r="Q460" i="1"/>
  <c r="Q462" i="1" s="1"/>
  <c r="Q487" i="1" s="1"/>
  <c r="Q499" i="1" s="1"/>
  <c r="Q232" i="1"/>
  <c r="Q236" i="1"/>
  <c r="Q235" i="1"/>
  <c r="Z247" i="1"/>
  <c r="AJ247" i="1"/>
  <c r="AJ282" i="1" s="1"/>
  <c r="X247" i="1"/>
  <c r="K247" i="1"/>
  <c r="L247" i="1"/>
  <c r="AH247" i="1"/>
  <c r="AH284" i="1" s="1"/>
  <c r="S616" i="1"/>
  <c r="W247" i="1"/>
  <c r="AH66" i="1"/>
  <c r="AF616" i="1"/>
  <c r="AF66" i="1"/>
  <c r="AF117" i="1" s="1"/>
  <c r="U616" i="1"/>
  <c r="U66" i="1"/>
  <c r="S524" i="1"/>
  <c r="S526" i="1" s="1"/>
  <c r="F309" i="2" s="1"/>
  <c r="AF524" i="1"/>
  <c r="AF526" i="1" s="1"/>
  <c r="F337" i="2" s="1"/>
  <c r="U247" i="1"/>
  <c r="U282" i="1" s="1"/>
  <c r="U320" i="1"/>
  <c r="I504" i="1"/>
  <c r="U324" i="1"/>
  <c r="I614" i="1"/>
  <c r="I523" i="1"/>
  <c r="I328" i="1"/>
  <c r="I503" i="1"/>
  <c r="I329" i="1"/>
  <c r="I12" i="1"/>
  <c r="H247" i="1"/>
  <c r="V247" i="1"/>
  <c r="I109" i="1"/>
  <c r="S116" i="1"/>
  <c r="AA247" i="1"/>
  <c r="J247" i="1"/>
  <c r="AH616" i="1"/>
  <c r="AF247" i="1"/>
  <c r="AF282" i="1" s="1"/>
  <c r="AH524" i="1"/>
  <c r="AH526" i="1" s="1"/>
  <c r="F340" i="2" s="1"/>
  <c r="S93" i="1"/>
  <c r="S96" i="1" s="1"/>
  <c r="S497" i="1" s="1"/>
  <c r="S79" i="1"/>
  <c r="U496" i="1"/>
  <c r="U501" i="1"/>
  <c r="Y247" i="1"/>
  <c r="U493" i="1"/>
  <c r="U326" i="1"/>
  <c r="U494" i="1"/>
  <c r="U323" i="1"/>
  <c r="U498" i="1"/>
  <c r="U327" i="1"/>
  <c r="U499" i="1"/>
  <c r="U502" i="1"/>
  <c r="F23" i="2"/>
  <c r="U321" i="1"/>
  <c r="U495" i="1"/>
  <c r="S115" i="1"/>
  <c r="U318" i="1"/>
  <c r="T247" i="1"/>
  <c r="AD247" i="1"/>
  <c r="M247" i="1"/>
  <c r="M282" i="1" s="1"/>
  <c r="AJ326" i="1"/>
  <c r="AJ502" i="1"/>
  <c r="AC247" i="1"/>
  <c r="AJ318" i="1"/>
  <c r="AJ324" i="1"/>
  <c r="AJ319" i="1"/>
  <c r="AJ323" i="1"/>
  <c r="AJ499" i="1"/>
  <c r="AJ493" i="1"/>
  <c r="AJ494" i="1"/>
  <c r="AJ495" i="1"/>
  <c r="AJ320" i="1"/>
  <c r="AJ498" i="1"/>
  <c r="AJ321" i="1"/>
  <c r="AJ496" i="1"/>
  <c r="AJ501" i="1"/>
  <c r="I152" i="1"/>
  <c r="I247" i="1"/>
  <c r="I282" i="1" s="1"/>
  <c r="U524" i="1"/>
  <c r="U526" i="1" s="1"/>
  <c r="P109" i="1"/>
  <c r="S247" i="1"/>
  <c r="S284" i="1" s="1"/>
  <c r="S309" i="1" s="1"/>
  <c r="K524" i="1"/>
  <c r="K526" i="1" s="1"/>
  <c r="F297" i="2" s="1"/>
  <c r="K616" i="1"/>
  <c r="S324" i="1"/>
  <c r="S493" i="1"/>
  <c r="S326" i="1"/>
  <c r="S499" i="1"/>
  <c r="S495" i="1"/>
  <c r="S501" i="1"/>
  <c r="S323" i="1"/>
  <c r="S321" i="1"/>
  <c r="S327" i="1"/>
  <c r="S320" i="1"/>
  <c r="S318" i="1"/>
  <c r="S319" i="1"/>
  <c r="S502" i="1"/>
  <c r="S496" i="1"/>
  <c r="S498" i="1"/>
  <c r="S494" i="1"/>
  <c r="AB247" i="1"/>
  <c r="P142" i="1"/>
  <c r="F11" i="2"/>
  <c r="K79" i="1"/>
  <c r="K116" i="1"/>
  <c r="K115" i="1"/>
  <c r="K93" i="1"/>
  <c r="K96" i="1" s="1"/>
  <c r="Z190" i="1"/>
  <c r="P12" i="1"/>
  <c r="P66" i="1" s="1"/>
  <c r="P117" i="1" s="1"/>
  <c r="Y402" i="1"/>
  <c r="F363" i="2"/>
  <c r="J524" i="1"/>
  <c r="J526" i="1" s="1"/>
  <c r="J616" i="1"/>
  <c r="H612" i="1"/>
  <c r="H268" i="1"/>
  <c r="P329" i="1"/>
  <c r="P523" i="1"/>
  <c r="P328" i="1"/>
  <c r="P504" i="1"/>
  <c r="P503" i="1"/>
  <c r="P614" i="1"/>
  <c r="M616" i="1"/>
  <c r="M524" i="1"/>
  <c r="M526" i="1" s="1"/>
  <c r="L524" i="1"/>
  <c r="L526" i="1" s="1"/>
  <c r="L616" i="1"/>
  <c r="AJ616" i="1"/>
  <c r="AJ524" i="1"/>
  <c r="AJ526" i="1" s="1"/>
  <c r="P239" i="1"/>
  <c r="P241" i="1"/>
  <c r="P610" i="1"/>
  <c r="P235" i="1"/>
  <c r="P233" i="1"/>
  <c r="P240" i="1"/>
  <c r="P243" i="1"/>
  <c r="AK243" i="1" s="1"/>
  <c r="AL243" i="1" s="1"/>
  <c r="P232" i="1"/>
  <c r="P242" i="1"/>
  <c r="P236" i="1"/>
  <c r="P234" i="1"/>
  <c r="P460" i="1"/>
  <c r="AK425" i="1"/>
  <c r="AL425" i="1" s="1"/>
  <c r="H611" i="1"/>
  <c r="H250" i="1"/>
  <c r="Y181" i="1"/>
  <c r="L783" i="2" l="1"/>
  <c r="L784" i="2"/>
  <c r="W819" i="2"/>
  <c r="X819" i="2" s="1"/>
  <c r="Y819" i="2" s="1"/>
  <c r="U93" i="1"/>
  <c r="U96" i="1" s="1"/>
  <c r="U541" i="1" s="1"/>
  <c r="F606" i="2" s="1"/>
  <c r="U117" i="1"/>
  <c r="AH115" i="1"/>
  <c r="AH117" i="1"/>
  <c r="M1" i="2"/>
  <c r="AK610" i="1"/>
  <c r="AL610" i="1" s="1"/>
  <c r="Q501" i="1"/>
  <c r="Q616" i="1"/>
  <c r="Q320" i="1"/>
  <c r="Q496" i="1"/>
  <c r="Q319" i="1"/>
  <c r="Q524" i="1"/>
  <c r="Q526" i="1" s="1"/>
  <c r="F305" i="2" s="1"/>
  <c r="Q321" i="1"/>
  <c r="Q326" i="1"/>
  <c r="Q498" i="1"/>
  <c r="AK242" i="1"/>
  <c r="AL242" i="1" s="1"/>
  <c r="Q323" i="1"/>
  <c r="Q493" i="1"/>
  <c r="Q502" i="1"/>
  <c r="Q495" i="1"/>
  <c r="Q327" i="1"/>
  <c r="Q494" i="1"/>
  <c r="Q324" i="1"/>
  <c r="Q318" i="1"/>
  <c r="Q247" i="1"/>
  <c r="Q284" i="1" s="1"/>
  <c r="Q309" i="1" s="1"/>
  <c r="K282" i="1"/>
  <c r="AJ284" i="1"/>
  <c r="AJ309" i="1" s="1"/>
  <c r="L282" i="1"/>
  <c r="AH282" i="1"/>
  <c r="AF79" i="1"/>
  <c r="AH79" i="1"/>
  <c r="AH93" i="1"/>
  <c r="AH96" i="1" s="1"/>
  <c r="AH325" i="1" s="1"/>
  <c r="AH116" i="1"/>
  <c r="F54" i="2"/>
  <c r="AF115" i="1"/>
  <c r="U284" i="1"/>
  <c r="U309" i="1" s="1"/>
  <c r="F51" i="2"/>
  <c r="AF93" i="1"/>
  <c r="AF96" i="1" s="1"/>
  <c r="AF537" i="1" s="1"/>
  <c r="F508" i="2" s="1"/>
  <c r="AF116" i="1"/>
  <c r="I524" i="1"/>
  <c r="I526" i="1" s="1"/>
  <c r="F295" i="2" s="1"/>
  <c r="I66" i="1"/>
  <c r="S537" i="1"/>
  <c r="F480" i="2" s="1"/>
  <c r="U116" i="1"/>
  <c r="U79" i="1"/>
  <c r="I616" i="1"/>
  <c r="J282" i="1"/>
  <c r="U115" i="1"/>
  <c r="F29" i="2"/>
  <c r="S322" i="1"/>
  <c r="S535" i="1"/>
  <c r="F423" i="2" s="1"/>
  <c r="S325" i="1"/>
  <c r="S111" i="1"/>
  <c r="F81" i="2" s="1"/>
  <c r="AF284" i="1"/>
  <c r="S541" i="1"/>
  <c r="F600" i="2" s="1"/>
  <c r="S543" i="1"/>
  <c r="S500" i="1"/>
  <c r="S506" i="1" s="1"/>
  <c r="S508" i="1" s="1"/>
  <c r="I160" i="1"/>
  <c r="S282" i="1"/>
  <c r="F19" i="2"/>
  <c r="Q79" i="1"/>
  <c r="Q115" i="1"/>
  <c r="Q93" i="1"/>
  <c r="Q96" i="1" s="1"/>
  <c r="Q116" i="1"/>
  <c r="K325" i="1"/>
  <c r="K497" i="1"/>
  <c r="K543" i="1"/>
  <c r="K322" i="1"/>
  <c r="K541" i="1"/>
  <c r="F588" i="2" s="1"/>
  <c r="K535" i="1"/>
  <c r="K500" i="1"/>
  <c r="K537" i="1"/>
  <c r="F468" i="2" s="1"/>
  <c r="K111" i="1"/>
  <c r="F69" i="2" s="1"/>
  <c r="F298" i="2"/>
  <c r="F343" i="2"/>
  <c r="F315" i="2"/>
  <c r="P247" i="1"/>
  <c r="L93" i="1"/>
  <c r="L96" i="1" s="1"/>
  <c r="L116" i="1"/>
  <c r="L115" i="1"/>
  <c r="L79" i="1"/>
  <c r="F12" i="2"/>
  <c r="H278" i="1"/>
  <c r="J116" i="1"/>
  <c r="J115" i="1"/>
  <c r="F10" i="2"/>
  <c r="J79" i="1"/>
  <c r="J93" i="1"/>
  <c r="J96" i="1" s="1"/>
  <c r="H263" i="1"/>
  <c r="Y192" i="1"/>
  <c r="F299" i="2"/>
  <c r="Z192" i="1"/>
  <c r="Z215" i="1" s="1"/>
  <c r="Z227" i="1" s="1"/>
  <c r="F57" i="2"/>
  <c r="AJ79" i="1"/>
  <c r="AJ93" i="1"/>
  <c r="AJ96" i="1" s="1"/>
  <c r="AJ115" i="1"/>
  <c r="AJ116" i="1"/>
  <c r="P462" i="1"/>
  <c r="F296" i="2"/>
  <c r="M79" i="1"/>
  <c r="M115" i="1"/>
  <c r="M116" i="1"/>
  <c r="F13" i="2"/>
  <c r="M93" i="1"/>
  <c r="M96" i="1" s="1"/>
  <c r="P616" i="1"/>
  <c r="P524" i="1"/>
  <c r="U322" i="1" l="1"/>
  <c r="M783" i="2"/>
  <c r="M784" i="2"/>
  <c r="U111" i="1"/>
  <c r="F87" i="2" s="1"/>
  <c r="U537" i="1"/>
  <c r="F486" i="2" s="1"/>
  <c r="U500" i="1"/>
  <c r="U325" i="1"/>
  <c r="U331" i="1" s="1"/>
  <c r="U333" i="1" s="1"/>
  <c r="F201" i="2" s="1"/>
  <c r="U535" i="1"/>
  <c r="F429" i="2" s="1"/>
  <c r="U497" i="1"/>
  <c r="U543" i="1"/>
  <c r="I79" i="1"/>
  <c r="I117" i="1"/>
  <c r="N1" i="2"/>
  <c r="Q282" i="1"/>
  <c r="AH537" i="1"/>
  <c r="F511" i="2" s="1"/>
  <c r="AF535" i="1"/>
  <c r="F451" i="2" s="1"/>
  <c r="AH543" i="1"/>
  <c r="AH535" i="1"/>
  <c r="F454" i="2" s="1"/>
  <c r="AH497" i="1"/>
  <c r="AH500" i="1"/>
  <c r="AH322" i="1"/>
  <c r="AH541" i="1"/>
  <c r="F631" i="2" s="1"/>
  <c r="AH111" i="1"/>
  <c r="F112" i="2" s="1"/>
  <c r="AF497" i="1"/>
  <c r="AF111" i="1"/>
  <c r="F109" i="2" s="1"/>
  <c r="AF543" i="1"/>
  <c r="AF322" i="1"/>
  <c r="AF500" i="1"/>
  <c r="AF325" i="1"/>
  <c r="AF541" i="1"/>
  <c r="F628" i="2" s="1"/>
  <c r="S331" i="1"/>
  <c r="S333" i="1" s="1"/>
  <c r="F195" i="2" s="1"/>
  <c r="I115" i="1"/>
  <c r="I93" i="1"/>
  <c r="I96" i="1" s="1"/>
  <c r="I116" i="1"/>
  <c r="F9" i="2"/>
  <c r="S545" i="1"/>
  <c r="S510" i="1"/>
  <c r="F252" i="2"/>
  <c r="S123" i="1"/>
  <c r="Q541" i="1"/>
  <c r="F596" i="2" s="1"/>
  <c r="Q325" i="1"/>
  <c r="Q537" i="1"/>
  <c r="F476" i="2" s="1"/>
  <c r="Q535" i="1"/>
  <c r="Q111" i="1"/>
  <c r="F77" i="2" s="1"/>
  <c r="Q497" i="1"/>
  <c r="Q500" i="1"/>
  <c r="Q322" i="1"/>
  <c r="Q543" i="1"/>
  <c r="F411" i="2"/>
  <c r="K545" i="1"/>
  <c r="P282" i="1"/>
  <c r="P284" i="1"/>
  <c r="M111" i="1"/>
  <c r="F71" i="2" s="1"/>
  <c r="M322" i="1"/>
  <c r="M497" i="1"/>
  <c r="M543" i="1"/>
  <c r="M537" i="1"/>
  <c r="F470" i="2" s="1"/>
  <c r="M541" i="1"/>
  <c r="F590" i="2" s="1"/>
  <c r="M535" i="1"/>
  <c r="M500" i="1"/>
  <c r="M325" i="1"/>
  <c r="P526" i="1"/>
  <c r="AJ497" i="1"/>
  <c r="AJ543" i="1"/>
  <c r="AJ535" i="1"/>
  <c r="AJ500" i="1"/>
  <c r="AJ537" i="1"/>
  <c r="F514" i="2" s="1"/>
  <c r="AJ325" i="1"/>
  <c r="AJ111" i="1"/>
  <c r="F115" i="2" s="1"/>
  <c r="AJ322" i="1"/>
  <c r="AJ541" i="1"/>
  <c r="F634" i="2" s="1"/>
  <c r="L535" i="1"/>
  <c r="L537" i="1"/>
  <c r="F469" i="2" s="1"/>
  <c r="L541" i="1"/>
  <c r="F589" i="2" s="1"/>
  <c r="L111" i="1"/>
  <c r="F70" i="2" s="1"/>
  <c r="L322" i="1"/>
  <c r="L500" i="1"/>
  <c r="L497" i="1"/>
  <c r="L543" i="1"/>
  <c r="L325" i="1"/>
  <c r="P115" i="1"/>
  <c r="F18" i="2"/>
  <c r="P116" i="1"/>
  <c r="P79" i="1"/>
  <c r="P93" i="1"/>
  <c r="P96" i="1" s="1"/>
  <c r="H280" i="1"/>
  <c r="J537" i="1"/>
  <c r="F467" i="2" s="1"/>
  <c r="J111" i="1"/>
  <c r="F68" i="2" s="1"/>
  <c r="J497" i="1"/>
  <c r="J325" i="1"/>
  <c r="J500" i="1"/>
  <c r="J535" i="1"/>
  <c r="J543" i="1"/>
  <c r="J541" i="1"/>
  <c r="F587" i="2" s="1"/>
  <c r="J322" i="1"/>
  <c r="Y215" i="1"/>
  <c r="P487" i="1"/>
  <c r="U506" i="1" l="1"/>
  <c r="U508" i="1" s="1"/>
  <c r="U545" i="1"/>
  <c r="N783" i="2"/>
  <c r="N784" i="2"/>
  <c r="O1" i="2"/>
  <c r="AH545" i="1"/>
  <c r="AF545" i="1"/>
  <c r="S335" i="1"/>
  <c r="S547" i="1"/>
  <c r="I322" i="1"/>
  <c r="I500" i="1"/>
  <c r="I111" i="1"/>
  <c r="F67" i="2" s="1"/>
  <c r="I543" i="1"/>
  <c r="I535" i="1"/>
  <c r="I537" i="1"/>
  <c r="F466" i="2" s="1"/>
  <c r="I497" i="1"/>
  <c r="I325" i="1"/>
  <c r="I541" i="1"/>
  <c r="F586" i="2" s="1"/>
  <c r="Q506" i="1"/>
  <c r="Q508" i="1" s="1"/>
  <c r="Q123" i="1" s="1"/>
  <c r="Q331" i="1"/>
  <c r="Q333" i="1" s="1"/>
  <c r="F191" i="2" s="1"/>
  <c r="AJ506" i="1"/>
  <c r="AJ508" i="1" s="1"/>
  <c r="F286" i="2" s="1"/>
  <c r="AJ331" i="1"/>
  <c r="AJ333" i="1" s="1"/>
  <c r="AJ335" i="1" s="1"/>
  <c r="U547" i="1"/>
  <c r="U335" i="1"/>
  <c r="F419" i="2"/>
  <c r="Q545" i="1"/>
  <c r="P327" i="1"/>
  <c r="P326" i="1"/>
  <c r="P498" i="1"/>
  <c r="P493" i="1"/>
  <c r="P496" i="1"/>
  <c r="P494" i="1"/>
  <c r="P501" i="1"/>
  <c r="P319" i="1"/>
  <c r="P495" i="1"/>
  <c r="P323" i="1"/>
  <c r="P318" i="1"/>
  <c r="P321" i="1"/>
  <c r="P502" i="1"/>
  <c r="P320" i="1"/>
  <c r="P324" i="1"/>
  <c r="P499" i="1"/>
  <c r="P543" i="1"/>
  <c r="P537" i="1"/>
  <c r="F475" i="2" s="1"/>
  <c r="P325" i="1"/>
  <c r="P322" i="1"/>
  <c r="P111" i="1"/>
  <c r="F76" i="2" s="1"/>
  <c r="P541" i="1"/>
  <c r="F595" i="2" s="1"/>
  <c r="P500" i="1"/>
  <c r="P497" i="1"/>
  <c r="P535" i="1"/>
  <c r="F418" i="2" s="1"/>
  <c r="F457" i="2"/>
  <c r="AJ545" i="1"/>
  <c r="F413" i="2"/>
  <c r="M545" i="1"/>
  <c r="H282" i="1"/>
  <c r="F412" i="2"/>
  <c r="L545" i="1"/>
  <c r="F410" i="2"/>
  <c r="J545" i="1"/>
  <c r="P309" i="1"/>
  <c r="Y227" i="1"/>
  <c r="F304" i="2"/>
  <c r="F258" i="2"/>
  <c r="U510" i="1"/>
  <c r="U123" i="1"/>
  <c r="O783" i="2" l="1"/>
  <c r="O784" i="2"/>
  <c r="P1" i="2"/>
  <c r="S114" i="1"/>
  <c r="S118" i="1" s="1"/>
  <c r="S146" i="1" s="1"/>
  <c r="F138" i="2" s="1"/>
  <c r="F409" i="2"/>
  <c r="I545" i="1"/>
  <c r="AJ123" i="1"/>
  <c r="AJ510" i="1"/>
  <c r="Q510" i="1"/>
  <c r="F248" i="2"/>
  <c r="Q547" i="1"/>
  <c r="Q335" i="1"/>
  <c r="F229" i="2"/>
  <c r="AJ547" i="1"/>
  <c r="U114" i="1"/>
  <c r="U118" i="1" s="1"/>
  <c r="U146" i="1" s="1"/>
  <c r="F144" i="2" s="1"/>
  <c r="P545" i="1"/>
  <c r="AJ114" i="1"/>
  <c r="AJ118" i="1" s="1"/>
  <c r="AJ146" i="1" s="1"/>
  <c r="F172" i="2" s="1"/>
  <c r="P331" i="1"/>
  <c r="P333" i="1" s="1"/>
  <c r="P506" i="1"/>
  <c r="P508" i="1" s="1"/>
  <c r="P783" i="2" l="1"/>
  <c r="P784" i="2"/>
  <c r="Q1" i="2"/>
  <c r="Q114" i="1"/>
  <c r="Q118" i="1" s="1"/>
  <c r="Q146" i="1" s="1"/>
  <c r="F134" i="2" s="1"/>
  <c r="F190" i="2"/>
  <c r="P335" i="1"/>
  <c r="P547" i="1"/>
  <c r="P123" i="1"/>
  <c r="F247" i="2"/>
  <c r="P510" i="1"/>
  <c r="Q783" i="2" l="1"/>
  <c r="Q784" i="2"/>
  <c r="R1" i="2"/>
  <c r="P114" i="1"/>
  <c r="P118" i="1" s="1"/>
  <c r="P146" i="1" s="1"/>
  <c r="F133" i="2" s="1"/>
  <c r="R783" i="2" l="1"/>
  <c r="R784" i="2"/>
  <c r="S1" i="2"/>
  <c r="S783" i="2" l="1"/>
  <c r="S784" i="2"/>
  <c r="T1" i="2"/>
  <c r="T783" i="2" l="1"/>
  <c r="T784" i="2"/>
  <c r="U1" i="2"/>
  <c r="U783" i="2" l="1"/>
  <c r="U784" i="2"/>
  <c r="V1" i="2"/>
  <c r="V783" i="2" l="1"/>
  <c r="W783" i="2" s="1"/>
  <c r="X783" i="2" s="1"/>
  <c r="Y783" i="2" s="1"/>
  <c r="V784" i="2"/>
  <c r="W784" i="2" s="1"/>
  <c r="X784" i="2" s="1"/>
  <c r="Y784" i="2" s="1"/>
  <c r="L350" i="1"/>
  <c r="L356" i="1" s="1"/>
  <c r="L163" i="1" s="1"/>
  <c r="L169" i="1" s="1"/>
  <c r="L171" i="1" s="1"/>
  <c r="L215" i="1" s="1"/>
  <c r="L227" i="1" s="1"/>
  <c r="L284" i="1" s="1"/>
  <c r="I350" i="1"/>
  <c r="M350" i="1"/>
  <c r="M356" i="1" s="1"/>
  <c r="M163" i="1" s="1"/>
  <c r="M169" i="1" s="1"/>
  <c r="M171" i="1" s="1"/>
  <c r="M215" i="1" s="1"/>
  <c r="M227" i="1" s="1"/>
  <c r="M284" i="1" s="1"/>
  <c r="J350" i="1"/>
  <c r="J356" i="1" s="1"/>
  <c r="I356" i="1" l="1"/>
  <c r="I358" i="1" s="1"/>
  <c r="I402" i="1" s="1"/>
  <c r="I462" i="1" s="1"/>
  <c r="I487" i="1" s="1"/>
  <c r="M309" i="1"/>
  <c r="L309" i="1"/>
  <c r="J358" i="1"/>
  <c r="J402" i="1" s="1"/>
  <c r="J462" i="1" s="1"/>
  <c r="M358" i="1"/>
  <c r="M402" i="1" s="1"/>
  <c r="M462" i="1" s="1"/>
  <c r="L358" i="1"/>
  <c r="L402" i="1" s="1"/>
  <c r="L462" i="1" s="1"/>
  <c r="J163" i="1"/>
  <c r="J169" i="1" s="1"/>
  <c r="J171" i="1" s="1"/>
  <c r="J215" i="1" s="1"/>
  <c r="J227" i="1" s="1"/>
  <c r="J284" i="1" s="1"/>
  <c r="I163" i="1" l="1"/>
  <c r="I169" i="1" s="1"/>
  <c r="I171" i="1" s="1"/>
  <c r="I215" i="1" s="1"/>
  <c r="I227" i="1" s="1"/>
  <c r="I284" i="1" s="1"/>
  <c r="I309" i="1" s="1"/>
  <c r="I324" i="1"/>
  <c r="I496" i="1"/>
  <c r="I501" i="1"/>
  <c r="I319" i="1"/>
  <c r="I494" i="1"/>
  <c r="I495" i="1"/>
  <c r="I493" i="1"/>
  <c r="I499" i="1"/>
  <c r="I320" i="1"/>
  <c r="I318" i="1"/>
  <c r="I498" i="1"/>
  <c r="I327" i="1"/>
  <c r="I321" i="1"/>
  <c r="I502" i="1"/>
  <c r="I326" i="1"/>
  <c r="I323" i="1"/>
  <c r="J309" i="1"/>
  <c r="L487" i="1"/>
  <c r="M487" i="1"/>
  <c r="J487" i="1"/>
  <c r="I331" i="1" l="1"/>
  <c r="I333" i="1" s="1"/>
  <c r="I547" i="1" s="1"/>
  <c r="I506" i="1"/>
  <c r="I508" i="1" s="1"/>
  <c r="M320" i="1"/>
  <c r="M502" i="1"/>
  <c r="M495" i="1"/>
  <c r="M499" i="1"/>
  <c r="M494" i="1"/>
  <c r="M327" i="1"/>
  <c r="M323" i="1"/>
  <c r="M501" i="1"/>
  <c r="M319" i="1"/>
  <c r="M324" i="1"/>
  <c r="M326" i="1"/>
  <c r="M493" i="1"/>
  <c r="M496" i="1"/>
  <c r="M321" i="1"/>
  <c r="M498" i="1"/>
  <c r="M318" i="1"/>
  <c r="J326" i="1"/>
  <c r="J494" i="1"/>
  <c r="J499" i="1"/>
  <c r="J327" i="1"/>
  <c r="J320" i="1"/>
  <c r="J321" i="1"/>
  <c r="J495" i="1"/>
  <c r="J324" i="1"/>
  <c r="J318" i="1"/>
  <c r="J498" i="1"/>
  <c r="J493" i="1"/>
  <c r="J496" i="1"/>
  <c r="J501" i="1"/>
  <c r="J319" i="1"/>
  <c r="J323" i="1"/>
  <c r="J502" i="1"/>
  <c r="L496" i="1"/>
  <c r="L320" i="1"/>
  <c r="L501" i="1"/>
  <c r="L326" i="1"/>
  <c r="L318" i="1"/>
  <c r="L499" i="1"/>
  <c r="L494" i="1"/>
  <c r="L319" i="1"/>
  <c r="L502" i="1"/>
  <c r="L324" i="1"/>
  <c r="L327" i="1"/>
  <c r="L321" i="1"/>
  <c r="L498" i="1"/>
  <c r="L493" i="1"/>
  <c r="L495" i="1"/>
  <c r="L323" i="1"/>
  <c r="I335" i="1" l="1"/>
  <c r="F181" i="2"/>
  <c r="I123" i="1"/>
  <c r="F238" i="2"/>
  <c r="I510" i="1"/>
  <c r="J506" i="1"/>
  <c r="J508" i="1" s="1"/>
  <c r="J510" i="1" s="1"/>
  <c r="J331" i="1"/>
  <c r="J333" i="1" s="1"/>
  <c r="J335" i="1" s="1"/>
  <c r="L506" i="1"/>
  <c r="L508" i="1" s="1"/>
  <c r="L331" i="1"/>
  <c r="L333" i="1" s="1"/>
  <c r="M506" i="1"/>
  <c r="M508" i="1" s="1"/>
  <c r="M331" i="1"/>
  <c r="M333" i="1" s="1"/>
  <c r="I114" i="1" l="1"/>
  <c r="I118" i="1" s="1"/>
  <c r="F239" i="2"/>
  <c r="J123" i="1"/>
  <c r="F182" i="2"/>
  <c r="J547" i="1"/>
  <c r="M547" i="1"/>
  <c r="F185" i="2"/>
  <c r="M335" i="1"/>
  <c r="L510" i="1"/>
  <c r="L123" i="1"/>
  <c r="F241" i="2"/>
  <c r="F242" i="2"/>
  <c r="M510" i="1"/>
  <c r="M123" i="1"/>
  <c r="L547" i="1"/>
  <c r="L335" i="1"/>
  <c r="F184" i="2"/>
  <c r="J114" i="1"/>
  <c r="J118" i="1" s="1"/>
  <c r="J146" i="1" s="1"/>
  <c r="F125" i="2" s="1"/>
  <c r="M114" i="1" l="1"/>
  <c r="M118" i="1" s="1"/>
  <c r="M146" i="1" s="1"/>
  <c r="F128" i="2" s="1"/>
  <c r="L114" i="1"/>
  <c r="L118" i="1" s="1"/>
  <c r="L146" i="1" s="1"/>
  <c r="F127" i="2" s="1"/>
  <c r="H101" i="1" l="1"/>
  <c r="AB40" i="1"/>
  <c r="O103" i="1" l="1"/>
  <c r="AK101" i="1"/>
  <c r="AL101" i="1" s="1"/>
  <c r="AB45" i="1"/>
  <c r="AK40" i="1"/>
  <c r="AL40" i="1" s="1"/>
  <c r="H20" i="1"/>
  <c r="O232" i="1"/>
  <c r="AF288" i="1"/>
  <c r="AK288" i="1" s="1"/>
  <c r="AL288" i="1" s="1"/>
  <c r="AK232" i="1" l="1"/>
  <c r="AL232" i="1" s="1"/>
  <c r="O234" i="1"/>
  <c r="AK234" i="1" s="1"/>
  <c r="AL234" i="1" s="1"/>
  <c r="AK103" i="1"/>
  <c r="AL103" i="1" s="1"/>
  <c r="W254" i="1"/>
  <c r="Y254" i="1"/>
  <c r="V254" i="1"/>
  <c r="X254" i="1"/>
  <c r="O237" i="1"/>
  <c r="AK237" i="1" s="1"/>
  <c r="AL237" i="1" s="1"/>
  <c r="AK20" i="1"/>
  <c r="AL20" i="1" s="1"/>
  <c r="F278" i="1"/>
  <c r="AB47" i="1"/>
  <c r="AK254" i="1" l="1"/>
  <c r="AL254" i="1" s="1"/>
  <c r="O241" i="1"/>
  <c r="AK241" i="1" s="1"/>
  <c r="AL241" i="1" s="1"/>
  <c r="O233" i="1"/>
  <c r="O245" i="1"/>
  <c r="AK245" i="1" s="1"/>
  <c r="AL245" i="1" s="1"/>
  <c r="H395" i="1" l="1"/>
  <c r="AK395" i="1" s="1"/>
  <c r="AL395" i="1" s="1"/>
  <c r="AK233" i="1"/>
  <c r="AL233" i="1" s="1"/>
  <c r="O238" i="1"/>
  <c r="AK238" i="1" s="1"/>
  <c r="AL238" i="1" s="1"/>
  <c r="AH301" i="1" l="1"/>
  <c r="AK301" i="1" s="1"/>
  <c r="AL301" i="1" s="1"/>
  <c r="AH303" i="1"/>
  <c r="AK303" i="1" s="1"/>
  <c r="AL303" i="1" s="1"/>
  <c r="AH302" i="1"/>
  <c r="AK302" i="1" s="1"/>
  <c r="AL302" i="1" s="1"/>
  <c r="AH299" i="1"/>
  <c r="AK299" i="1" s="1"/>
  <c r="AL299" i="1" s="1"/>
  <c r="AH297" i="1"/>
  <c r="AK297" i="1" s="1"/>
  <c r="AL297" i="1" s="1"/>
  <c r="K341" i="1" l="1"/>
  <c r="K375" i="1"/>
  <c r="AK375" i="1" s="1"/>
  <c r="AL375" i="1" s="1"/>
  <c r="K354" i="1"/>
  <c r="AK354" i="1" s="1"/>
  <c r="AL354" i="1" s="1"/>
  <c r="AH304" i="1"/>
  <c r="AK304" i="1" s="1"/>
  <c r="AL304" i="1" s="1"/>
  <c r="F109" i="1"/>
  <c r="F115" i="1"/>
  <c r="AF291" i="1"/>
  <c r="AK291" i="1" s="1"/>
  <c r="AL291" i="1" s="1"/>
  <c r="F77" i="1"/>
  <c r="F94" i="1" s="1"/>
  <c r="H71" i="1"/>
  <c r="AK71" i="1" s="1"/>
  <c r="AL71" i="1" s="1"/>
  <c r="AF290" i="1"/>
  <c r="AK290" i="1" s="1"/>
  <c r="AL290" i="1" s="1"/>
  <c r="K352" i="1"/>
  <c r="H343" i="1" l="1"/>
  <c r="H133" i="1"/>
  <c r="K578" i="1"/>
  <c r="AK341" i="1"/>
  <c r="AL341" i="1" s="1"/>
  <c r="AK352" i="1"/>
  <c r="AL352" i="1" s="1"/>
  <c r="AH296" i="1"/>
  <c r="F307" i="1"/>
  <c r="I133" i="1"/>
  <c r="I140" i="1" s="1"/>
  <c r="I142" i="1" s="1"/>
  <c r="I146" i="1" s="1"/>
  <c r="F124" i="2" s="1"/>
  <c r="H155" i="1" l="1"/>
  <c r="K155" i="1" s="1"/>
  <c r="AK155" i="1" s="1"/>
  <c r="AL155" i="1" s="1"/>
  <c r="AK343" i="1"/>
  <c r="AL343" i="1" s="1"/>
  <c r="K353" i="1"/>
  <c r="K385" i="1"/>
  <c r="AK133" i="1"/>
  <c r="AL133" i="1" s="1"/>
  <c r="AH307" i="1"/>
  <c r="AK296" i="1"/>
  <c r="AL296" i="1" s="1"/>
  <c r="T35" i="1"/>
  <c r="K390" i="1" l="1"/>
  <c r="K400" i="1" s="1"/>
  <c r="AK385" i="1"/>
  <c r="AL385" i="1" s="1"/>
  <c r="AK353" i="1"/>
  <c r="AL353" i="1" s="1"/>
  <c r="K580" i="1"/>
  <c r="Y36" i="1"/>
  <c r="Y271" i="1" s="1"/>
  <c r="V36" i="1"/>
  <c r="V253" i="1" s="1"/>
  <c r="W36" i="1"/>
  <c r="W431" i="1" s="1"/>
  <c r="X36" i="1"/>
  <c r="X253" i="1" s="1"/>
  <c r="O126" i="1"/>
  <c r="AK126" i="1" s="1"/>
  <c r="F130" i="1"/>
  <c r="T45" i="1"/>
  <c r="T430" i="1"/>
  <c r="AK430" i="1" s="1"/>
  <c r="AL430" i="1" s="1"/>
  <c r="T269" i="1"/>
  <c r="T429" i="1"/>
  <c r="T252" i="1"/>
  <c r="AK252" i="1" s="1"/>
  <c r="AL252" i="1" s="1"/>
  <c r="T270" i="1"/>
  <c r="AK270" i="1" s="1"/>
  <c r="AL270" i="1" s="1"/>
  <c r="T448" i="1"/>
  <c r="AK448" i="1" s="1"/>
  <c r="AL448" i="1" s="1"/>
  <c r="AK35" i="1"/>
  <c r="AL35" i="1" s="1"/>
  <c r="T447" i="1"/>
  <c r="AK447" i="1" s="1"/>
  <c r="AL447" i="1" s="1"/>
  <c r="AK307" i="1"/>
  <c r="AL307" i="1" s="1"/>
  <c r="AH309" i="1"/>
  <c r="V449" i="1" l="1"/>
  <c r="V431" i="1"/>
  <c r="W587" i="1"/>
  <c r="V587" i="1"/>
  <c r="AK36" i="1"/>
  <c r="AL36" i="1" s="1"/>
  <c r="W449" i="1"/>
  <c r="W253" i="1"/>
  <c r="W45" i="1"/>
  <c r="W271" i="1"/>
  <c r="Y449" i="1"/>
  <c r="V45" i="1"/>
  <c r="V271" i="1"/>
  <c r="Y431" i="1"/>
  <c r="Y45" i="1"/>
  <c r="X45" i="1"/>
  <c r="X271" i="1"/>
  <c r="Y587" i="1"/>
  <c r="X587" i="1"/>
  <c r="X431" i="1"/>
  <c r="Y253" i="1"/>
  <c r="X449" i="1"/>
  <c r="AL126" i="1"/>
  <c r="T47" i="1"/>
  <c r="O135" i="1"/>
  <c r="AK135" i="1" s="1"/>
  <c r="AL135" i="1" s="1"/>
  <c r="AK429" i="1"/>
  <c r="AL429" i="1" s="1"/>
  <c r="Y47" i="1" l="1"/>
  <c r="W47" i="1"/>
  <c r="X47" i="1"/>
  <c r="V47" i="1"/>
  <c r="AK253" i="1"/>
  <c r="AL253" i="1" s="1"/>
  <c r="AK449" i="1"/>
  <c r="AL449" i="1" s="1"/>
  <c r="AK431" i="1"/>
  <c r="AL431" i="1" s="1"/>
  <c r="AK271" i="1"/>
  <c r="AL271" i="1" s="1"/>
  <c r="AK587" i="1"/>
  <c r="AL587" i="1" s="1"/>
  <c r="F390" i="1"/>
  <c r="I609" i="1" s="1"/>
  <c r="H384" i="1"/>
  <c r="AK384" i="1" s="1"/>
  <c r="AL384" i="1" s="1"/>
  <c r="K197" i="1"/>
  <c r="K203" i="1" s="1"/>
  <c r="K213" i="1" s="1"/>
  <c r="AJ609" i="1" l="1"/>
  <c r="AB609" i="1"/>
  <c r="AC609" i="1"/>
  <c r="X609" i="1"/>
  <c r="AH609" i="1"/>
  <c r="W609" i="1"/>
  <c r="Y609" i="1"/>
  <c r="AA609" i="1"/>
  <c r="K609" i="1"/>
  <c r="Z609" i="1"/>
  <c r="AD609" i="1"/>
  <c r="U609" i="1"/>
  <c r="Q609" i="1"/>
  <c r="J609" i="1"/>
  <c r="L609" i="1"/>
  <c r="AF609" i="1"/>
  <c r="O609" i="1"/>
  <c r="H390" i="1"/>
  <c r="H609" i="1" s="1"/>
  <c r="P609" i="1"/>
  <c r="T609" i="1"/>
  <c r="S609" i="1"/>
  <c r="M609" i="1"/>
  <c r="V609" i="1"/>
  <c r="H197" i="1" l="1"/>
  <c r="H203" i="1" s="1"/>
  <c r="AK609" i="1"/>
  <c r="AL609" i="1" s="1"/>
  <c r="AK390" i="1"/>
  <c r="AL390" i="1" s="1"/>
  <c r="F578" i="1"/>
  <c r="H344" i="1"/>
  <c r="H578" i="1" s="1"/>
  <c r="F347" i="1"/>
  <c r="AC605" i="1" s="1"/>
  <c r="K340" i="1"/>
  <c r="K347" i="1" s="1"/>
  <c r="K152" i="1" s="1"/>
  <c r="K160" i="1" s="1"/>
  <c r="F580" i="1"/>
  <c r="K350" i="1" s="1"/>
  <c r="K356" i="1" s="1"/>
  <c r="H351" i="1"/>
  <c r="F356" i="1"/>
  <c r="U605" i="1" l="1"/>
  <c r="W605" i="1"/>
  <c r="S605" i="1"/>
  <c r="I605" i="1"/>
  <c r="AA605" i="1"/>
  <c r="M605" i="1"/>
  <c r="J605" i="1"/>
  <c r="O605" i="1"/>
  <c r="Q605" i="1"/>
  <c r="AD605" i="1"/>
  <c r="L605" i="1"/>
  <c r="AB605" i="1"/>
  <c r="AF605" i="1"/>
  <c r="Z605" i="1"/>
  <c r="Y605" i="1"/>
  <c r="P605" i="1"/>
  <c r="AJ605" i="1"/>
  <c r="X605" i="1"/>
  <c r="V605" i="1"/>
  <c r="AH605" i="1"/>
  <c r="T605" i="1"/>
  <c r="AK197" i="1"/>
  <c r="AL197" i="1" s="1"/>
  <c r="AK344" i="1"/>
  <c r="AL344" i="1" s="1"/>
  <c r="F140" i="1"/>
  <c r="F142" i="1" s="1"/>
  <c r="K605" i="1"/>
  <c r="Y143" i="1"/>
  <c r="W143" i="1"/>
  <c r="X143" i="1"/>
  <c r="V143" i="1"/>
  <c r="Y606" i="1"/>
  <c r="U606" i="1"/>
  <c r="O606" i="1"/>
  <c r="AF606" i="1"/>
  <c r="Z606" i="1"/>
  <c r="X606" i="1"/>
  <c r="AA606" i="1"/>
  <c r="W606" i="1"/>
  <c r="AH606" i="1"/>
  <c r="AB606" i="1"/>
  <c r="S606" i="1"/>
  <c r="AC606" i="1"/>
  <c r="AJ606" i="1"/>
  <c r="AD606" i="1"/>
  <c r="T606" i="1"/>
  <c r="V606" i="1"/>
  <c r="P606" i="1"/>
  <c r="Q606" i="1"/>
  <c r="J606" i="1"/>
  <c r="L606" i="1"/>
  <c r="M606" i="1"/>
  <c r="I606" i="1"/>
  <c r="K606" i="1"/>
  <c r="K163" i="1"/>
  <c r="K169" i="1" s="1"/>
  <c r="K171" i="1" s="1"/>
  <c r="K358" i="1"/>
  <c r="H213" i="1"/>
  <c r="AK213" i="1" s="1"/>
  <c r="AL213" i="1" s="1"/>
  <c r="AK203" i="1"/>
  <c r="AL203" i="1" s="1"/>
  <c r="H580" i="1"/>
  <c r="AK351" i="1"/>
  <c r="AL351" i="1" s="1"/>
  <c r="F358" i="1"/>
  <c r="H340" i="1"/>
  <c r="AK578" i="1"/>
  <c r="AL578" i="1" s="1"/>
  <c r="AK143" i="1" l="1"/>
  <c r="AL143" i="1" s="1"/>
  <c r="H350" i="1"/>
  <c r="AK580" i="1"/>
  <c r="AL580" i="1" s="1"/>
  <c r="H347" i="1"/>
  <c r="AK340" i="1"/>
  <c r="AL340" i="1" s="1"/>
  <c r="H223" i="1" l="1"/>
  <c r="AK223" i="1" s="1"/>
  <c r="AL223" i="1" s="1"/>
  <c r="K374" i="1"/>
  <c r="H605" i="1"/>
  <c r="AK605" i="1" s="1"/>
  <c r="AL605" i="1" s="1"/>
  <c r="H152" i="1"/>
  <c r="AK347" i="1"/>
  <c r="AL347" i="1" s="1"/>
  <c r="H356" i="1"/>
  <c r="H358" i="1" s="1"/>
  <c r="AK358" i="1" s="1"/>
  <c r="AL358" i="1" s="1"/>
  <c r="AK350" i="1"/>
  <c r="AL350" i="1" s="1"/>
  <c r="K582" i="1" l="1"/>
  <c r="AK374" i="1"/>
  <c r="AL374" i="1" s="1"/>
  <c r="H163" i="1"/>
  <c r="H606" i="1"/>
  <c r="AK606" i="1" s="1"/>
  <c r="AL606" i="1" s="1"/>
  <c r="AK356" i="1"/>
  <c r="AL356" i="1" s="1"/>
  <c r="H160" i="1"/>
  <c r="AK152" i="1"/>
  <c r="AK160" i="1" l="1"/>
  <c r="AL160" i="1" s="1"/>
  <c r="AL152" i="1"/>
  <c r="H169" i="1"/>
  <c r="AK169" i="1" s="1"/>
  <c r="AL169" i="1" s="1"/>
  <c r="AK163" i="1"/>
  <c r="AL163" i="1" s="1"/>
  <c r="H171" i="1" l="1"/>
  <c r="AK171" i="1" s="1"/>
  <c r="AL171" i="1" s="1"/>
  <c r="H394" i="1" l="1"/>
  <c r="AK394" i="1" s="1"/>
  <c r="AL394" i="1" s="1"/>
  <c r="AD42" i="1"/>
  <c r="AD433" i="1" l="1"/>
  <c r="AK42" i="1"/>
  <c r="AL42" i="1" s="1"/>
  <c r="AD258" i="1"/>
  <c r="AK258" i="1" s="1"/>
  <c r="AL258" i="1" s="1"/>
  <c r="AD436" i="1"/>
  <c r="AK436" i="1" s="1"/>
  <c r="AL436" i="1" s="1"/>
  <c r="AC41" i="1"/>
  <c r="AC256" i="1" l="1"/>
  <c r="AK256" i="1" s="1"/>
  <c r="AL256" i="1" s="1"/>
  <c r="AK41" i="1"/>
  <c r="AL41" i="1" s="1"/>
  <c r="AC453" i="1"/>
  <c r="AK453" i="1" s="1"/>
  <c r="AL453" i="1" s="1"/>
  <c r="AC434" i="1"/>
  <c r="AC45" i="1"/>
  <c r="AC275" i="1"/>
  <c r="AK275" i="1" s="1"/>
  <c r="AL275" i="1" s="1"/>
  <c r="O235" i="1"/>
  <c r="AK433" i="1"/>
  <c r="AL433" i="1" s="1"/>
  <c r="H222" i="1" l="1"/>
  <c r="AK235" i="1"/>
  <c r="AL235" i="1" s="1"/>
  <c r="AC47" i="1"/>
  <c r="AK434" i="1"/>
  <c r="AL434" i="1" s="1"/>
  <c r="F225" i="1" l="1"/>
  <c r="F227" i="1" s="1"/>
  <c r="AK222" i="1"/>
  <c r="AL222" i="1" s="1"/>
  <c r="H225" i="1"/>
  <c r="AK225" i="1" s="1"/>
  <c r="AL225" i="1" l="1"/>
  <c r="H373" i="1"/>
  <c r="H582" i="1" s="1"/>
  <c r="F582" i="1"/>
  <c r="K371" i="1" s="1"/>
  <c r="K377" i="1" s="1"/>
  <c r="K379" i="1" s="1"/>
  <c r="K402" i="1" s="1"/>
  <c r="K462" i="1" s="1"/>
  <c r="K487" i="1" s="1"/>
  <c r="F377" i="1"/>
  <c r="AC608" i="1" s="1"/>
  <c r="AH608" i="1" l="1"/>
  <c r="Q608" i="1"/>
  <c r="Z608" i="1"/>
  <c r="J608" i="1"/>
  <c r="AJ608" i="1"/>
  <c r="AA608" i="1"/>
  <c r="S608" i="1"/>
  <c r="O608" i="1"/>
  <c r="U608" i="1"/>
  <c r="L608" i="1"/>
  <c r="I608" i="1"/>
  <c r="AB608" i="1"/>
  <c r="X608" i="1"/>
  <c r="AD608" i="1"/>
  <c r="M608" i="1"/>
  <c r="P608" i="1"/>
  <c r="T608" i="1"/>
  <c r="W608" i="1"/>
  <c r="AF608" i="1"/>
  <c r="Y608" i="1"/>
  <c r="V608" i="1"/>
  <c r="K608" i="1"/>
  <c r="K184" i="1"/>
  <c r="K190" i="1" s="1"/>
  <c r="K192" i="1" s="1"/>
  <c r="K215" i="1" s="1"/>
  <c r="K227" i="1" s="1"/>
  <c r="K284" i="1" s="1"/>
  <c r="K309" i="1" s="1"/>
  <c r="AK373" i="1"/>
  <c r="AL373" i="1" s="1"/>
  <c r="H371" i="1"/>
  <c r="AK582" i="1"/>
  <c r="AL582" i="1" s="1"/>
  <c r="O236" i="1" l="1"/>
  <c r="H377" i="1"/>
  <c r="AK371" i="1"/>
  <c r="AL371" i="1" s="1"/>
  <c r="F26" i="1" l="1"/>
  <c r="AK236" i="1"/>
  <c r="AL236" i="1" s="1"/>
  <c r="O239" i="1"/>
  <c r="AK239" i="1" s="1"/>
  <c r="AL239" i="1" s="1"/>
  <c r="H608" i="1"/>
  <c r="AK608" i="1" s="1"/>
  <c r="AL608" i="1" s="1"/>
  <c r="H184" i="1"/>
  <c r="AK377" i="1"/>
  <c r="AL377" i="1" s="1"/>
  <c r="H24" i="1"/>
  <c r="U615" i="1" l="1"/>
  <c r="AF615" i="1"/>
  <c r="Q615" i="1"/>
  <c r="AA615" i="1"/>
  <c r="L615" i="1"/>
  <c r="AC615" i="1"/>
  <c r="Y615" i="1"/>
  <c r="V615" i="1"/>
  <c r="J615" i="1"/>
  <c r="AJ615" i="1"/>
  <c r="X615" i="1"/>
  <c r="M615" i="1"/>
  <c r="S615" i="1"/>
  <c r="W615" i="1"/>
  <c r="Z615" i="1"/>
  <c r="O615" i="1"/>
  <c r="P615" i="1"/>
  <c r="AD615" i="1"/>
  <c r="K615" i="1"/>
  <c r="T615" i="1"/>
  <c r="AH615" i="1"/>
  <c r="AB615" i="1"/>
  <c r="I615" i="1"/>
  <c r="AK24" i="1"/>
  <c r="AL24" i="1" s="1"/>
  <c r="H26" i="1"/>
  <c r="H60" i="1" s="1"/>
  <c r="AK60" i="1" s="1"/>
  <c r="AL60" i="1" s="1"/>
  <c r="H190" i="1"/>
  <c r="AK184" i="1"/>
  <c r="AL184" i="1" s="1"/>
  <c r="T251" i="1" l="1"/>
  <c r="AK251" i="1" s="1"/>
  <c r="AL251" i="1" s="1"/>
  <c r="AK190" i="1"/>
  <c r="AL190" i="1" s="1"/>
  <c r="F263" i="1"/>
  <c r="H518" i="1"/>
  <c r="AK518" i="1" s="1"/>
  <c r="AL518" i="1" s="1"/>
  <c r="H517" i="1"/>
  <c r="AK517" i="1" s="1"/>
  <c r="AL517" i="1" s="1"/>
  <c r="H47" i="1"/>
  <c r="H615" i="1"/>
  <c r="AK615" i="1" s="1"/>
  <c r="AL615" i="1" s="1"/>
  <c r="H529" i="1"/>
  <c r="H516" i="1"/>
  <c r="AK516" i="1" s="1"/>
  <c r="AL516" i="1" s="1"/>
  <c r="AK26" i="1"/>
  <c r="AL26" i="1" s="1"/>
  <c r="H533" i="1" l="1"/>
  <c r="AK529" i="1"/>
  <c r="AL529" i="1" s="1"/>
  <c r="F280" i="1"/>
  <c r="F351" i="2" l="1"/>
  <c r="F357" i="2" l="1"/>
  <c r="AF289" i="1"/>
  <c r="AK289" i="1" s="1"/>
  <c r="AL289" i="1" s="1"/>
  <c r="O240" i="1"/>
  <c r="AD43" i="1"/>
  <c r="AK240" i="1" l="1"/>
  <c r="AL240" i="1" s="1"/>
  <c r="O247" i="1"/>
  <c r="F247" i="1"/>
  <c r="AD274" i="1"/>
  <c r="AK274" i="1" s="1"/>
  <c r="AL274" i="1" s="1"/>
  <c r="AD452" i="1"/>
  <c r="AK452" i="1" s="1"/>
  <c r="AL452" i="1" s="1"/>
  <c r="AK43" i="1"/>
  <c r="AL43" i="1" s="1"/>
  <c r="AD255" i="1"/>
  <c r="AK255" i="1" s="1"/>
  <c r="AL255" i="1" s="1"/>
  <c r="AD45" i="1"/>
  <c r="O284" i="1" l="1"/>
  <c r="O309" i="1" s="1"/>
  <c r="O282" i="1"/>
  <c r="AK247" i="1"/>
  <c r="AL247" i="1" s="1"/>
  <c r="F331" i="1"/>
  <c r="AD47" i="1"/>
  <c r="F284" i="1"/>
  <c r="F282" i="1"/>
  <c r="F398" i="1" l="1"/>
  <c r="F400" i="1" s="1"/>
  <c r="H393" i="1"/>
  <c r="AK393" i="1" s="1"/>
  <c r="AL393" i="1" s="1"/>
  <c r="F45" i="1"/>
  <c r="AB61" i="1" l="1"/>
  <c r="T61" i="1"/>
  <c r="Y61" i="1"/>
  <c r="X61" i="1"/>
  <c r="W61" i="1"/>
  <c r="V61" i="1"/>
  <c r="AC61" i="1"/>
  <c r="AD61" i="1"/>
  <c r="H398" i="1"/>
  <c r="AK398" i="1" s="1"/>
  <c r="AL398" i="1" s="1"/>
  <c r="AB105" i="1"/>
  <c r="AB127" i="1"/>
  <c r="AB261" i="1"/>
  <c r="AB438" i="1"/>
  <c r="AB437" i="1"/>
  <c r="AB260" i="1"/>
  <c r="AB137" i="1"/>
  <c r="AB531" i="1"/>
  <c r="AB533" i="1" s="1"/>
  <c r="F385" i="2" s="1"/>
  <c r="AB64" i="1"/>
  <c r="AB522" i="1"/>
  <c r="AB73" i="1"/>
  <c r="AB458" i="1"/>
  <c r="AB460" i="1" s="1"/>
  <c r="AB462" i="1" s="1"/>
  <c r="AB487" i="1" s="1"/>
  <c r="AB136" i="1"/>
  <c r="AB276" i="1"/>
  <c r="AB454" i="1"/>
  <c r="AB584" i="1" s="1"/>
  <c r="AB446" i="1" s="1"/>
  <c r="AB456" i="1" s="1"/>
  <c r="AB259" i="1"/>
  <c r="S599" i="1"/>
  <c r="AJ599" i="1"/>
  <c r="O599" i="1"/>
  <c r="H599" i="1"/>
  <c r="K599" i="1"/>
  <c r="L599" i="1"/>
  <c r="AF599" i="1"/>
  <c r="Q599" i="1"/>
  <c r="P599" i="1"/>
  <c r="U599" i="1"/>
  <c r="AB599" i="1"/>
  <c r="I599" i="1"/>
  <c r="M599" i="1"/>
  <c r="J599" i="1"/>
  <c r="AH599" i="1"/>
  <c r="Y127" i="1"/>
  <c r="Y137" i="1"/>
  <c r="Y522" i="1"/>
  <c r="Y136" i="1"/>
  <c r="V136" i="1"/>
  <c r="V259" i="1"/>
  <c r="V105" i="1"/>
  <c r="V260" i="1"/>
  <c r="X458" i="1"/>
  <c r="X460" i="1" s="1"/>
  <c r="X462" i="1" s="1"/>
  <c r="X487" i="1" s="1"/>
  <c r="X136" i="1"/>
  <c r="X599" i="1"/>
  <c r="X261" i="1"/>
  <c r="X531" i="1"/>
  <c r="X533" i="1" s="1"/>
  <c r="F375" i="2" s="1"/>
  <c r="T127" i="1"/>
  <c r="T261" i="1"/>
  <c r="T105" i="1"/>
  <c r="T454" i="1"/>
  <c r="T458" i="1"/>
  <c r="Y531" i="1"/>
  <c r="Y533" i="1" s="1"/>
  <c r="F376" i="2" s="1"/>
  <c r="Y454" i="1"/>
  <c r="Y584" i="1" s="1"/>
  <c r="Y446" i="1" s="1"/>
  <c r="Y456" i="1" s="1"/>
  <c r="Y73" i="1"/>
  <c r="Y261" i="1"/>
  <c r="Y599" i="1"/>
  <c r="V438" i="1"/>
  <c r="V437" i="1"/>
  <c r="V127" i="1"/>
  <c r="V64" i="1"/>
  <c r="X137" i="1"/>
  <c r="X522" i="1"/>
  <c r="X437" i="1"/>
  <c r="T276" i="1"/>
  <c r="T137" i="1"/>
  <c r="T136" i="1"/>
  <c r="T64" i="1"/>
  <c r="T531" i="1"/>
  <c r="W531" i="1"/>
  <c r="W533" i="1" s="1"/>
  <c r="F374" i="2" s="1"/>
  <c r="W105" i="1"/>
  <c r="W261" i="1"/>
  <c r="W127" i="1"/>
  <c r="W438" i="1"/>
  <c r="W259" i="1"/>
  <c r="W136" i="1"/>
  <c r="W437" i="1"/>
  <c r="Y259" i="1"/>
  <c r="Y437" i="1"/>
  <c r="Y438" i="1"/>
  <c r="Y105" i="1"/>
  <c r="Y458" i="1"/>
  <c r="Y460" i="1" s="1"/>
  <c r="Y462" i="1" s="1"/>
  <c r="Y487" i="1" s="1"/>
  <c r="V522" i="1"/>
  <c r="V73" i="1"/>
  <c r="V261" i="1"/>
  <c r="V454" i="1"/>
  <c r="V584" i="1" s="1"/>
  <c r="V446" i="1" s="1"/>
  <c r="V456" i="1" s="1"/>
  <c r="X276" i="1"/>
  <c r="X438" i="1"/>
  <c r="X73" i="1"/>
  <c r="X127" i="1"/>
  <c r="T260" i="1"/>
  <c r="T522" i="1"/>
  <c r="T259" i="1"/>
  <c r="T599" i="1"/>
  <c r="W137" i="1"/>
  <c r="W276" i="1"/>
  <c r="W454" i="1"/>
  <c r="W584" i="1" s="1"/>
  <c r="W446" i="1" s="1"/>
  <c r="W456" i="1" s="1"/>
  <c r="W522" i="1"/>
  <c r="W458" i="1"/>
  <c r="W460" i="1" s="1"/>
  <c r="W462" i="1" s="1"/>
  <c r="W487" i="1" s="1"/>
  <c r="W260" i="1"/>
  <c r="W599" i="1"/>
  <c r="W64" i="1"/>
  <c r="W73" i="1"/>
  <c r="Y260" i="1"/>
  <c r="Y276" i="1"/>
  <c r="Y64" i="1"/>
  <c r="V276" i="1"/>
  <c r="V458" i="1"/>
  <c r="V460" i="1" s="1"/>
  <c r="V462" i="1" s="1"/>
  <c r="V487" i="1" s="1"/>
  <c r="V531" i="1"/>
  <c r="V533" i="1" s="1"/>
  <c r="F373" i="2" s="1"/>
  <c r="V137" i="1"/>
  <c r="V599" i="1"/>
  <c r="X259" i="1"/>
  <c r="X454" i="1"/>
  <c r="X584" i="1" s="1"/>
  <c r="X446" i="1" s="1"/>
  <c r="X456" i="1" s="1"/>
  <c r="X260" i="1"/>
  <c r="X105" i="1"/>
  <c r="X64" i="1"/>
  <c r="T438" i="1"/>
  <c r="T73" i="1"/>
  <c r="T437" i="1"/>
  <c r="AC438" i="1"/>
  <c r="AC599" i="1"/>
  <c r="AC260" i="1"/>
  <c r="AC276" i="1"/>
  <c r="AC531" i="1"/>
  <c r="AC533" i="1" s="1"/>
  <c r="F388" i="2" s="1"/>
  <c r="AC105" i="1"/>
  <c r="AC136" i="1"/>
  <c r="AC127" i="1"/>
  <c r="AC73" i="1"/>
  <c r="AC261" i="1"/>
  <c r="AC137" i="1"/>
  <c r="AC437" i="1"/>
  <c r="AC259" i="1"/>
  <c r="AC454" i="1"/>
  <c r="AC584" i="1" s="1"/>
  <c r="AC446" i="1" s="1"/>
  <c r="AC456" i="1" s="1"/>
  <c r="AC458" i="1"/>
  <c r="AC460" i="1" s="1"/>
  <c r="AC462" i="1" s="1"/>
  <c r="AC487" i="1" s="1"/>
  <c r="AC64" i="1"/>
  <c r="AC522" i="1"/>
  <c r="F47" i="1"/>
  <c r="AD137" i="1"/>
  <c r="AD73" i="1"/>
  <c r="AD438" i="1"/>
  <c r="AD136" i="1"/>
  <c r="AD531" i="1"/>
  <c r="AD533" i="1" s="1"/>
  <c r="F391" i="2" s="1"/>
  <c r="AD260" i="1"/>
  <c r="AD261" i="1"/>
  <c r="AD64" i="1"/>
  <c r="AD599" i="1"/>
  <c r="AD437" i="1"/>
  <c r="AD454" i="1"/>
  <c r="AD584" i="1" s="1"/>
  <c r="AD446" i="1" s="1"/>
  <c r="AD456" i="1" s="1"/>
  <c r="AD259" i="1"/>
  <c r="AD127" i="1"/>
  <c r="AD522" i="1"/>
  <c r="AD105" i="1"/>
  <c r="AD276" i="1"/>
  <c r="AD458" i="1"/>
  <c r="AD460" i="1" s="1"/>
  <c r="AD462" i="1" s="1"/>
  <c r="AD487" i="1" s="1"/>
  <c r="Z39" i="1"/>
  <c r="Z45" i="1" s="1"/>
  <c r="Z61" i="1" s="1"/>
  <c r="AA39" i="1"/>
  <c r="AA45" i="1" s="1"/>
  <c r="AA61" i="1" s="1"/>
  <c r="O62" i="1" l="1"/>
  <c r="H62" i="1"/>
  <c r="AK61" i="1"/>
  <c r="AL61" i="1" s="1"/>
  <c r="H400" i="1"/>
  <c r="AK400" i="1" s="1"/>
  <c r="AL400" i="1" s="1"/>
  <c r="AB583" i="1"/>
  <c r="AB428" i="1" s="1"/>
  <c r="AB440" i="1" s="1"/>
  <c r="AB611" i="1" s="1"/>
  <c r="AD583" i="1"/>
  <c r="AD428" i="1" s="1"/>
  <c r="AD440" i="1" s="1"/>
  <c r="AD611" i="1" s="1"/>
  <c r="AC583" i="1"/>
  <c r="AC428" i="1" s="1"/>
  <c r="AC440" i="1" s="1"/>
  <c r="AC611" i="1" s="1"/>
  <c r="AD268" i="1"/>
  <c r="AD278" i="1" s="1"/>
  <c r="AD612" i="1"/>
  <c r="AB612" i="1"/>
  <c r="AB268" i="1"/>
  <c r="AB278" i="1" s="1"/>
  <c r="Z47" i="1"/>
  <c r="Z276" i="1"/>
  <c r="Z105" i="1"/>
  <c r="Z454" i="1"/>
  <c r="Z584" i="1" s="1"/>
  <c r="Z446" i="1" s="1"/>
  <c r="Z456" i="1" s="1"/>
  <c r="Z261" i="1"/>
  <c r="Z458" i="1"/>
  <c r="Z460" i="1" s="1"/>
  <c r="Z462" i="1" s="1"/>
  <c r="Z487" i="1" s="1"/>
  <c r="Z137" i="1"/>
  <c r="Z64" i="1"/>
  <c r="Z73" i="1"/>
  <c r="Z136" i="1"/>
  <c r="Z522" i="1"/>
  <c r="Z259" i="1"/>
  <c r="Z438" i="1"/>
  <c r="Z437" i="1"/>
  <c r="Z260" i="1"/>
  <c r="Z127" i="1"/>
  <c r="Z531" i="1"/>
  <c r="Z533" i="1" s="1"/>
  <c r="F380" i="2" s="1"/>
  <c r="Z599" i="1"/>
  <c r="AK45" i="1"/>
  <c r="AL45" i="1" s="1"/>
  <c r="X612" i="1"/>
  <c r="X268" i="1"/>
  <c r="X278" i="1" s="1"/>
  <c r="F377" i="2"/>
  <c r="W612" i="1"/>
  <c r="W268" i="1"/>
  <c r="W278" i="1" s="1"/>
  <c r="V612" i="1"/>
  <c r="V268" i="1"/>
  <c r="V278" i="1" s="1"/>
  <c r="Y583" i="1"/>
  <c r="Y428" i="1" s="1"/>
  <c r="Y440" i="1" s="1"/>
  <c r="X583" i="1"/>
  <c r="X428" i="1" s="1"/>
  <c r="X440" i="1" s="1"/>
  <c r="T460" i="1"/>
  <c r="V583" i="1"/>
  <c r="V428" i="1" s="1"/>
  <c r="V440" i="1" s="1"/>
  <c r="T584" i="1"/>
  <c r="O107" i="1"/>
  <c r="O138" i="1"/>
  <c r="O140" i="1" s="1"/>
  <c r="O8" i="1"/>
  <c r="O10" i="1"/>
  <c r="O106" i="1"/>
  <c r="O57" i="1"/>
  <c r="O74" i="1"/>
  <c r="O77" i="1" s="1"/>
  <c r="O94" i="1" s="1"/>
  <c r="O128" i="1"/>
  <c r="O130" i="1" s="1"/>
  <c r="O59" i="1"/>
  <c r="O9" i="1"/>
  <c r="AB106" i="1"/>
  <c r="AB9" i="1"/>
  <c r="AB8" i="1"/>
  <c r="AB74" i="1"/>
  <c r="AB77" i="1" s="1"/>
  <c r="AB94" i="1" s="1"/>
  <c r="AB59" i="1"/>
  <c r="AB57" i="1"/>
  <c r="AB138" i="1"/>
  <c r="AB140" i="1" s="1"/>
  <c r="AB107" i="1"/>
  <c r="AB128" i="1"/>
  <c r="AB130" i="1" s="1"/>
  <c r="AB10" i="1"/>
  <c r="V10" i="1"/>
  <c r="V74" i="1"/>
  <c r="V77" i="1" s="1"/>
  <c r="V94" i="1" s="1"/>
  <c r="W10" i="1"/>
  <c r="W128" i="1"/>
  <c r="W130" i="1" s="1"/>
  <c r="W138" i="1"/>
  <c r="W140" i="1" s="1"/>
  <c r="T128" i="1"/>
  <c r="T130" i="1" s="1"/>
  <c r="X138" i="1"/>
  <c r="X140" i="1" s="1"/>
  <c r="V59" i="1"/>
  <c r="V106" i="1"/>
  <c r="V107" i="1"/>
  <c r="W107" i="1"/>
  <c r="W106" i="1"/>
  <c r="W9" i="1"/>
  <c r="T10" i="1"/>
  <c r="T138" i="1"/>
  <c r="T140" i="1" s="1"/>
  <c r="X10" i="1"/>
  <c r="X57" i="1"/>
  <c r="Y10" i="1"/>
  <c r="Y128" i="1"/>
  <c r="Y130" i="1" s="1"/>
  <c r="Y74" i="1"/>
  <c r="Y77" i="1" s="1"/>
  <c r="Y94" i="1" s="1"/>
  <c r="T106" i="1"/>
  <c r="T57" i="1"/>
  <c r="T9" i="1"/>
  <c r="X107" i="1"/>
  <c r="X8" i="1"/>
  <c r="Y59" i="1"/>
  <c r="Y106" i="1"/>
  <c r="T8" i="1"/>
  <c r="Y57" i="1"/>
  <c r="V138" i="1"/>
  <c r="V140" i="1" s="1"/>
  <c r="V9" i="1"/>
  <c r="V128" i="1"/>
  <c r="V130" i="1" s="1"/>
  <c r="W59" i="1"/>
  <c r="W74" i="1"/>
  <c r="W77" i="1" s="1"/>
  <c r="W94" i="1" s="1"/>
  <c r="X106" i="1"/>
  <c r="Y138" i="1"/>
  <c r="Y140" i="1" s="1"/>
  <c r="X9" i="1"/>
  <c r="Y8" i="1"/>
  <c r="V8" i="1"/>
  <c r="V57" i="1"/>
  <c r="W8" i="1"/>
  <c r="W57" i="1"/>
  <c r="T59" i="1"/>
  <c r="T74" i="1"/>
  <c r="T77" i="1" s="1"/>
  <c r="T94" i="1" s="1"/>
  <c r="X74" i="1"/>
  <c r="X77" i="1" s="1"/>
  <c r="X94" i="1" s="1"/>
  <c r="X59" i="1"/>
  <c r="X128" i="1"/>
  <c r="X130" i="1" s="1"/>
  <c r="Y9" i="1"/>
  <c r="T107" i="1"/>
  <c r="Y107" i="1"/>
  <c r="AC74" i="1"/>
  <c r="AC77" i="1" s="1"/>
  <c r="AC94" i="1" s="1"/>
  <c r="AC10" i="1"/>
  <c r="AC138" i="1"/>
  <c r="AC140" i="1" s="1"/>
  <c r="AC57" i="1"/>
  <c r="AC128" i="1"/>
  <c r="AC130" i="1" s="1"/>
  <c r="AC106" i="1"/>
  <c r="AC107" i="1"/>
  <c r="AC8" i="1"/>
  <c r="AC9" i="1"/>
  <c r="AC59" i="1"/>
  <c r="O598" i="1"/>
  <c r="V598" i="1"/>
  <c r="U598" i="1"/>
  <c r="AJ598" i="1"/>
  <c r="Q598" i="1"/>
  <c r="X598" i="1"/>
  <c r="AC598" i="1"/>
  <c r="AF598" i="1"/>
  <c r="K598" i="1"/>
  <c r="J598" i="1"/>
  <c r="AB598" i="1"/>
  <c r="W598" i="1"/>
  <c r="S598" i="1"/>
  <c r="I598" i="1"/>
  <c r="T598" i="1"/>
  <c r="M598" i="1"/>
  <c r="AH598" i="1"/>
  <c r="L598" i="1"/>
  <c r="P598" i="1"/>
  <c r="Y598" i="1"/>
  <c r="H107" i="1"/>
  <c r="H57" i="1"/>
  <c r="H8" i="1"/>
  <c r="H138" i="1"/>
  <c r="H106" i="1"/>
  <c r="H59" i="1"/>
  <c r="H128" i="1"/>
  <c r="H10" i="1"/>
  <c r="H74" i="1"/>
  <c r="H9" i="1"/>
  <c r="H598" i="1"/>
  <c r="AD107" i="1"/>
  <c r="AD59" i="1"/>
  <c r="AD8" i="1"/>
  <c r="AD9" i="1"/>
  <c r="AD138" i="1"/>
  <c r="AD140" i="1" s="1"/>
  <c r="AD598" i="1"/>
  <c r="AD128" i="1"/>
  <c r="AD130" i="1" s="1"/>
  <c r="AD106" i="1"/>
  <c r="AD57" i="1"/>
  <c r="AD10" i="1"/>
  <c r="AD74" i="1"/>
  <c r="AD77" i="1" s="1"/>
  <c r="AD94" i="1" s="1"/>
  <c r="AC612" i="1"/>
  <c r="AC268" i="1"/>
  <c r="AC278" i="1" s="1"/>
  <c r="T583" i="1"/>
  <c r="W583" i="1"/>
  <c r="W428" i="1" s="1"/>
  <c r="W440" i="1" s="1"/>
  <c r="T533" i="1"/>
  <c r="Y268" i="1"/>
  <c r="Y278" i="1" s="1"/>
  <c r="Y612" i="1"/>
  <c r="H364" i="1"/>
  <c r="F581" i="1"/>
  <c r="F368" i="1"/>
  <c r="AA260" i="1"/>
  <c r="AA261" i="1"/>
  <c r="AA64" i="1"/>
  <c r="AA454" i="1"/>
  <c r="AA584" i="1" s="1"/>
  <c r="AA446" i="1" s="1"/>
  <c r="AA456" i="1" s="1"/>
  <c r="AA47" i="1"/>
  <c r="AA136" i="1"/>
  <c r="AA137" i="1"/>
  <c r="AA259" i="1"/>
  <c r="AA105" i="1"/>
  <c r="AA531" i="1"/>
  <c r="AA533" i="1" s="1"/>
  <c r="F381" i="2" s="1"/>
  <c r="AA276" i="1"/>
  <c r="AA522" i="1"/>
  <c r="AA437" i="1"/>
  <c r="AA73" i="1"/>
  <c r="AA438" i="1"/>
  <c r="AA127" i="1"/>
  <c r="AA599" i="1"/>
  <c r="AA458" i="1"/>
  <c r="AA460" i="1" s="1"/>
  <c r="AA462" i="1" s="1"/>
  <c r="AA487" i="1" s="1"/>
  <c r="AK39" i="1"/>
  <c r="AL39" i="1" s="1"/>
  <c r="AK522" i="1" l="1"/>
  <c r="AL522" i="1" s="1"/>
  <c r="AD250" i="1"/>
  <c r="AD263" i="1" s="1"/>
  <c r="AD280" i="1" s="1"/>
  <c r="AD282" i="1" s="1"/>
  <c r="AK127" i="1"/>
  <c r="AK259" i="1"/>
  <c r="AL259" i="1" s="1"/>
  <c r="AC250" i="1"/>
  <c r="AC263" i="1" s="1"/>
  <c r="AK137" i="1"/>
  <c r="AL137" i="1" s="1"/>
  <c r="AK276" i="1"/>
  <c r="AL276" i="1" s="1"/>
  <c r="AB250" i="1"/>
  <c r="AB263" i="1" s="1"/>
  <c r="AB280" i="1" s="1"/>
  <c r="AB284" i="1" s="1"/>
  <c r="AB309" i="1" s="1"/>
  <c r="AK136" i="1"/>
  <c r="AL136" i="1" s="1"/>
  <c r="AK599" i="1"/>
  <c r="AL599" i="1" s="1"/>
  <c r="AK437" i="1"/>
  <c r="AL437" i="1" s="1"/>
  <c r="AD109" i="1"/>
  <c r="X109" i="1"/>
  <c r="AB109" i="1"/>
  <c r="AK438" i="1"/>
  <c r="AL438" i="1" s="1"/>
  <c r="T109" i="1"/>
  <c r="W12" i="1"/>
  <c r="W524" i="1" s="1"/>
  <c r="O109" i="1"/>
  <c r="AK64" i="1"/>
  <c r="AL64" i="1" s="1"/>
  <c r="O142" i="1"/>
  <c r="AK260" i="1"/>
  <c r="AL260" i="1" s="1"/>
  <c r="AD12" i="1"/>
  <c r="AD616" i="1" s="1"/>
  <c r="V12" i="1"/>
  <c r="V616" i="1" s="1"/>
  <c r="T12" i="1"/>
  <c r="T616" i="1" s="1"/>
  <c r="V109" i="1"/>
  <c r="Z583" i="1"/>
  <c r="Z428" i="1" s="1"/>
  <c r="Z440" i="1" s="1"/>
  <c r="Z611" i="1" s="1"/>
  <c r="W109" i="1"/>
  <c r="AK261" i="1"/>
  <c r="AL261" i="1" s="1"/>
  <c r="X142" i="1"/>
  <c r="AC12" i="1"/>
  <c r="AC616" i="1" s="1"/>
  <c r="AB142" i="1"/>
  <c r="AD142" i="1"/>
  <c r="AC109" i="1"/>
  <c r="V142" i="1"/>
  <c r="AL127" i="1"/>
  <c r="AK531" i="1"/>
  <c r="AL531" i="1" s="1"/>
  <c r="T428" i="1"/>
  <c r="H130" i="1"/>
  <c r="AK458" i="1"/>
  <c r="AL458" i="1" s="1"/>
  <c r="W611" i="1"/>
  <c r="W250" i="1"/>
  <c r="W263" i="1" s="1"/>
  <c r="W280" i="1" s="1"/>
  <c r="H12" i="1"/>
  <c r="AC142" i="1"/>
  <c r="W329" i="1"/>
  <c r="W328" i="1"/>
  <c r="W504" i="1"/>
  <c r="W503" i="1"/>
  <c r="W523" i="1"/>
  <c r="W614" i="1"/>
  <c r="Y12" i="1"/>
  <c r="Y109" i="1"/>
  <c r="Y142" i="1"/>
  <c r="W142" i="1"/>
  <c r="O614" i="1"/>
  <c r="O504" i="1"/>
  <c r="O523" i="1"/>
  <c r="O329" i="1"/>
  <c r="O328" i="1"/>
  <c r="O503" i="1"/>
  <c r="O12" i="1"/>
  <c r="AK454" i="1"/>
  <c r="AL454" i="1" s="1"/>
  <c r="Y611" i="1"/>
  <c r="Y250" i="1"/>
  <c r="Y263" i="1" s="1"/>
  <c r="Y280" i="1" s="1"/>
  <c r="Z74" i="1"/>
  <c r="Z77" i="1" s="1"/>
  <c r="Z94" i="1" s="1"/>
  <c r="Z57" i="1"/>
  <c r="Z128" i="1"/>
  <c r="Z10" i="1"/>
  <c r="Z107" i="1"/>
  <c r="Z8" i="1"/>
  <c r="Z106" i="1"/>
  <c r="Z59" i="1"/>
  <c r="Z138" i="1"/>
  <c r="Z140" i="1" s="1"/>
  <c r="Z9" i="1"/>
  <c r="Z598" i="1"/>
  <c r="AK47" i="1"/>
  <c r="AL47" i="1" s="1"/>
  <c r="AA583" i="1"/>
  <c r="AA428" i="1" s="1"/>
  <c r="AA440" i="1" s="1"/>
  <c r="AA250" i="1" s="1"/>
  <c r="AA263" i="1" s="1"/>
  <c r="AD504" i="1"/>
  <c r="AD329" i="1"/>
  <c r="AD503" i="1"/>
  <c r="AD523" i="1"/>
  <c r="AD328" i="1"/>
  <c r="AD614" i="1"/>
  <c r="H77" i="1"/>
  <c r="H109" i="1"/>
  <c r="H504" i="1"/>
  <c r="H523" i="1"/>
  <c r="H328" i="1"/>
  <c r="H614" i="1"/>
  <c r="H503" i="1"/>
  <c r="H329" i="1"/>
  <c r="AC523" i="1"/>
  <c r="AC504" i="1"/>
  <c r="AC614" i="1"/>
  <c r="AC329" i="1"/>
  <c r="AC328" i="1"/>
  <c r="AC503" i="1"/>
  <c r="T329" i="1"/>
  <c r="T523" i="1"/>
  <c r="T614" i="1"/>
  <c r="T328" i="1"/>
  <c r="T503" i="1"/>
  <c r="T504" i="1"/>
  <c r="AB328" i="1"/>
  <c r="AB614" i="1"/>
  <c r="AB503" i="1"/>
  <c r="AB504" i="1"/>
  <c r="AB329" i="1"/>
  <c r="AB523" i="1"/>
  <c r="AB12" i="1"/>
  <c r="T446" i="1"/>
  <c r="AK584" i="1"/>
  <c r="AL584" i="1" s="1"/>
  <c r="X250" i="1"/>
  <c r="X263" i="1" s="1"/>
  <c r="X280" i="1" s="1"/>
  <c r="X611" i="1"/>
  <c r="Z268" i="1"/>
  <c r="Z278" i="1" s="1"/>
  <c r="Z612" i="1"/>
  <c r="AK105" i="1"/>
  <c r="AL105" i="1" s="1"/>
  <c r="F369" i="2"/>
  <c r="AK533" i="1"/>
  <c r="AL533" i="1" s="1"/>
  <c r="H140" i="1"/>
  <c r="V504" i="1"/>
  <c r="V328" i="1"/>
  <c r="V523" i="1"/>
  <c r="V329" i="1"/>
  <c r="V614" i="1"/>
  <c r="V503" i="1"/>
  <c r="Y503" i="1"/>
  <c r="Y329" i="1"/>
  <c r="Y328" i="1"/>
  <c r="Y504" i="1"/>
  <c r="Y523" i="1"/>
  <c r="Y614" i="1"/>
  <c r="X12" i="1"/>
  <c r="X329" i="1"/>
  <c r="X523" i="1"/>
  <c r="X504" i="1"/>
  <c r="X503" i="1"/>
  <c r="X614" i="1"/>
  <c r="X328" i="1"/>
  <c r="T142" i="1"/>
  <c r="V611" i="1"/>
  <c r="V250" i="1"/>
  <c r="V263" i="1" s="1"/>
  <c r="V280" i="1" s="1"/>
  <c r="T462" i="1"/>
  <c r="T487" i="1" s="1"/>
  <c r="AK460" i="1"/>
  <c r="AL460" i="1" s="1"/>
  <c r="AC280" i="1"/>
  <c r="AK73" i="1"/>
  <c r="AL73" i="1" s="1"/>
  <c r="F382" i="2"/>
  <c r="AA9" i="1"/>
  <c r="AA128" i="1"/>
  <c r="AA130" i="1" s="1"/>
  <c r="AA106" i="1"/>
  <c r="AA138" i="1"/>
  <c r="AA140" i="1" s="1"/>
  <c r="AA74" i="1"/>
  <c r="AA77" i="1" s="1"/>
  <c r="AA94" i="1" s="1"/>
  <c r="AA57" i="1"/>
  <c r="AA107" i="1"/>
  <c r="AA598" i="1"/>
  <c r="AA10" i="1"/>
  <c r="AA59" i="1"/>
  <c r="AA8" i="1"/>
  <c r="H581" i="1"/>
  <c r="AK364" i="1"/>
  <c r="AL364" i="1" s="1"/>
  <c r="AA268" i="1"/>
  <c r="AA278" i="1" s="1"/>
  <c r="AA612" i="1"/>
  <c r="AJ607" i="1"/>
  <c r="O607" i="1"/>
  <c r="T607" i="1"/>
  <c r="AB607" i="1"/>
  <c r="AF607" i="1"/>
  <c r="Q607" i="1"/>
  <c r="V607" i="1"/>
  <c r="P607" i="1"/>
  <c r="S607" i="1"/>
  <c r="L607" i="1"/>
  <c r="AA607" i="1"/>
  <c r="U607" i="1"/>
  <c r="K607" i="1"/>
  <c r="Z607" i="1"/>
  <c r="AD607" i="1"/>
  <c r="M607" i="1"/>
  <c r="AH607" i="1"/>
  <c r="AC607" i="1"/>
  <c r="X607" i="1"/>
  <c r="W607" i="1"/>
  <c r="F379" i="1"/>
  <c r="F402" i="1" s="1"/>
  <c r="F462" i="1" s="1"/>
  <c r="J607" i="1"/>
  <c r="I607" i="1"/>
  <c r="Y607" i="1"/>
  <c r="AK107" i="1" l="1"/>
  <c r="AL107" i="1" s="1"/>
  <c r="AD284" i="1"/>
  <c r="AK57" i="1"/>
  <c r="AL57" i="1" s="1"/>
  <c r="W616" i="1"/>
  <c r="V524" i="1"/>
  <c r="V526" i="1" s="1"/>
  <c r="T524" i="1"/>
  <c r="T526" i="1" s="1"/>
  <c r="AA611" i="1"/>
  <c r="Z109" i="1"/>
  <c r="AK9" i="1"/>
  <c r="AL9" i="1" s="1"/>
  <c r="F402" i="2"/>
  <c r="Z250" i="1"/>
  <c r="Z263" i="1" s="1"/>
  <c r="Z280" i="1" s="1"/>
  <c r="Z282" i="1" s="1"/>
  <c r="AB282" i="1"/>
  <c r="AD524" i="1"/>
  <c r="AD526" i="1" s="1"/>
  <c r="F334" i="2" s="1"/>
  <c r="AC524" i="1"/>
  <c r="AC526" i="1" s="1"/>
  <c r="F331" i="2" s="1"/>
  <c r="F932" i="2" s="1"/>
  <c r="AK10" i="1"/>
  <c r="AL10" i="1" s="1"/>
  <c r="AA109" i="1"/>
  <c r="AK598" i="1"/>
  <c r="AL598" i="1" s="1"/>
  <c r="AK59" i="1"/>
  <c r="AL59" i="1" s="1"/>
  <c r="AK128" i="1"/>
  <c r="AL128" i="1" s="1"/>
  <c r="AK138" i="1"/>
  <c r="AL138" i="1" s="1"/>
  <c r="Z12" i="1"/>
  <c r="Z524" i="1" s="1"/>
  <c r="W526" i="1"/>
  <c r="AK106" i="1"/>
  <c r="AL106" i="1" s="1"/>
  <c r="Z130" i="1"/>
  <c r="Z142" i="1" s="1"/>
  <c r="H616" i="1"/>
  <c r="H66" i="1"/>
  <c r="H117" i="1" s="1"/>
  <c r="H524" i="1"/>
  <c r="H526" i="1" s="1"/>
  <c r="X616" i="1"/>
  <c r="X524" i="1"/>
  <c r="X526" i="1" s="1"/>
  <c r="T456" i="1"/>
  <c r="AK446" i="1"/>
  <c r="AL446" i="1" s="1"/>
  <c r="AK74" i="1"/>
  <c r="AL74" i="1" s="1"/>
  <c r="Z329" i="1"/>
  <c r="Z523" i="1"/>
  <c r="Z614" i="1"/>
  <c r="Z328" i="1"/>
  <c r="Z503" i="1"/>
  <c r="Z504" i="1"/>
  <c r="AD309" i="1"/>
  <c r="Y284" i="1"/>
  <c r="Y282" i="1"/>
  <c r="O524" i="1"/>
  <c r="O526" i="1" s="1"/>
  <c r="O616" i="1"/>
  <c r="O66" i="1"/>
  <c r="O117" i="1" s="1"/>
  <c r="H142" i="1"/>
  <c r="AK583" i="1"/>
  <c r="AL583" i="1" s="1"/>
  <c r="H94" i="1"/>
  <c r="AK94" i="1" s="1"/>
  <c r="AL94" i="1" s="1"/>
  <c r="AK77" i="1"/>
  <c r="AL77" i="1" s="1"/>
  <c r="AK428" i="1"/>
  <c r="AL428" i="1" s="1"/>
  <c r="T440" i="1"/>
  <c r="AA12" i="1"/>
  <c r="AC284" i="1"/>
  <c r="AC309" i="1" s="1"/>
  <c r="AC282" i="1"/>
  <c r="V284" i="1"/>
  <c r="V282" i="1"/>
  <c r="X282" i="1"/>
  <c r="X284" i="1"/>
  <c r="AB524" i="1"/>
  <c r="AB526" i="1" s="1"/>
  <c r="AB616" i="1"/>
  <c r="Y616" i="1"/>
  <c r="Y524" i="1"/>
  <c r="Y526" i="1" s="1"/>
  <c r="AK8" i="1"/>
  <c r="AL8" i="1" s="1"/>
  <c r="W282" i="1"/>
  <c r="W284" i="1"/>
  <c r="F508" i="1"/>
  <c r="F487" i="1"/>
  <c r="AA523" i="1"/>
  <c r="AA504" i="1"/>
  <c r="AA503" i="1"/>
  <c r="AA614" i="1"/>
  <c r="AA328" i="1"/>
  <c r="AA329" i="1"/>
  <c r="AA142" i="1"/>
  <c r="H361" i="1"/>
  <c r="AK581" i="1"/>
  <c r="AL581" i="1" s="1"/>
  <c r="AA280" i="1"/>
  <c r="AK109" i="1" l="1"/>
  <c r="AL109" i="1" s="1"/>
  <c r="F675" i="2"/>
  <c r="F731" i="2"/>
  <c r="AK12" i="1"/>
  <c r="AL12" i="1" s="1"/>
  <c r="AK328" i="1"/>
  <c r="AL328" i="1" s="1"/>
  <c r="AA524" i="1"/>
  <c r="AA526" i="1" s="1"/>
  <c r="AK503" i="1"/>
  <c r="AL503" i="1" s="1"/>
  <c r="Z284" i="1"/>
  <c r="Z309" i="1" s="1"/>
  <c r="AK504" i="1"/>
  <c r="AL504" i="1" s="1"/>
  <c r="AK140" i="1"/>
  <c r="AL140" i="1" s="1"/>
  <c r="AK130" i="1"/>
  <c r="AL130" i="1" s="1"/>
  <c r="Z616" i="1"/>
  <c r="AA616" i="1"/>
  <c r="AK614" i="1"/>
  <c r="AL614" i="1" s="1"/>
  <c r="Z526" i="1"/>
  <c r="F323" i="2" s="1"/>
  <c r="AK523" i="1"/>
  <c r="AL523" i="1" s="1"/>
  <c r="AH321" i="1"/>
  <c r="AH494" i="1"/>
  <c r="AH502" i="1"/>
  <c r="AF326" i="1"/>
  <c r="AF319" i="1"/>
  <c r="AF501" i="1"/>
  <c r="AF494" i="1"/>
  <c r="AF324" i="1"/>
  <c r="O321" i="1"/>
  <c r="O494" i="1"/>
  <c r="O318" i="1"/>
  <c r="AF493" i="1"/>
  <c r="AF498" i="1"/>
  <c r="O327" i="1"/>
  <c r="AH326" i="1"/>
  <c r="AH499" i="1"/>
  <c r="AH327" i="1"/>
  <c r="AH319" i="1"/>
  <c r="AH498" i="1"/>
  <c r="AF496" i="1"/>
  <c r="AF323" i="1"/>
  <c r="AF318" i="1"/>
  <c r="O493" i="1"/>
  <c r="O499" i="1"/>
  <c r="O496" i="1"/>
  <c r="O501" i="1"/>
  <c r="O320" i="1"/>
  <c r="AF320" i="1"/>
  <c r="O326" i="1"/>
  <c r="AH323" i="1"/>
  <c r="AH324" i="1"/>
  <c r="AH493" i="1"/>
  <c r="AH318" i="1"/>
  <c r="AF321" i="1"/>
  <c r="O502" i="1"/>
  <c r="AH496" i="1"/>
  <c r="AH320" i="1"/>
  <c r="AH495" i="1"/>
  <c r="AH501" i="1"/>
  <c r="O319" i="1"/>
  <c r="AF495" i="1"/>
  <c r="AF327" i="1"/>
  <c r="AF502" i="1"/>
  <c r="AF499" i="1"/>
  <c r="O324" i="1"/>
  <c r="O323" i="1"/>
  <c r="O495" i="1"/>
  <c r="O498" i="1"/>
  <c r="K502" i="1"/>
  <c r="K319" i="1"/>
  <c r="K495" i="1"/>
  <c r="K326" i="1"/>
  <c r="K494" i="1"/>
  <c r="K496" i="1"/>
  <c r="K318" i="1"/>
  <c r="K327" i="1"/>
  <c r="K320" i="1"/>
  <c r="K498" i="1"/>
  <c r="K323" i="1"/>
  <c r="K321" i="1"/>
  <c r="K499" i="1"/>
  <c r="K493" i="1"/>
  <c r="K501" i="1"/>
  <c r="K324" i="1"/>
  <c r="AD324" i="1"/>
  <c r="AD319" i="1"/>
  <c r="AD323" i="1"/>
  <c r="AD496" i="1"/>
  <c r="AC323" i="1"/>
  <c r="AC327" i="1"/>
  <c r="AC493" i="1"/>
  <c r="AC498" i="1"/>
  <c r="V493" i="1"/>
  <c r="V502" i="1"/>
  <c r="V319" i="1"/>
  <c r="V326" i="1"/>
  <c r="Y493" i="1"/>
  <c r="Y499" i="1"/>
  <c r="Y320" i="1"/>
  <c r="Y319" i="1"/>
  <c r="X321" i="1"/>
  <c r="X502" i="1"/>
  <c r="X498" i="1"/>
  <c r="X493" i="1"/>
  <c r="W502" i="1"/>
  <c r="W495" i="1"/>
  <c r="W499" i="1"/>
  <c r="W498" i="1"/>
  <c r="AB494" i="1"/>
  <c r="AB326" i="1"/>
  <c r="AB320" i="1"/>
  <c r="AB498" i="1"/>
  <c r="AD320" i="1"/>
  <c r="AD495" i="1"/>
  <c r="AD493" i="1"/>
  <c r="AD501" i="1"/>
  <c r="AC326" i="1"/>
  <c r="AC495" i="1"/>
  <c r="AC324" i="1"/>
  <c r="AC502" i="1"/>
  <c r="V327" i="1"/>
  <c r="V501" i="1"/>
  <c r="V496" i="1"/>
  <c r="V320" i="1"/>
  <c r="Y321" i="1"/>
  <c r="Y498" i="1"/>
  <c r="Y323" i="1"/>
  <c r="Y324" i="1"/>
  <c r="X319" i="1"/>
  <c r="X326" i="1"/>
  <c r="X318" i="1"/>
  <c r="X320" i="1"/>
  <c r="W321" i="1"/>
  <c r="W326" i="1"/>
  <c r="W319" i="1"/>
  <c r="W501" i="1"/>
  <c r="AB496" i="1"/>
  <c r="AB499" i="1"/>
  <c r="AB323" i="1"/>
  <c r="AB501" i="1"/>
  <c r="AD321" i="1"/>
  <c r="AD318" i="1"/>
  <c r="AD499" i="1"/>
  <c r="AD498" i="1"/>
  <c r="AC499" i="1"/>
  <c r="AC320" i="1"/>
  <c r="AC321" i="1"/>
  <c r="AC494" i="1"/>
  <c r="V499" i="1"/>
  <c r="V324" i="1"/>
  <c r="V323" i="1"/>
  <c r="V321" i="1"/>
  <c r="Y494" i="1"/>
  <c r="Y495" i="1"/>
  <c r="Y502" i="1"/>
  <c r="Y327" i="1"/>
  <c r="X495" i="1"/>
  <c r="X496" i="1"/>
  <c r="X323" i="1"/>
  <c r="X327" i="1"/>
  <c r="W323" i="1"/>
  <c r="W318" i="1"/>
  <c r="W327" i="1"/>
  <c r="W496" i="1"/>
  <c r="AB502" i="1"/>
  <c r="AB321" i="1"/>
  <c r="AB327" i="1"/>
  <c r="AB318" i="1"/>
  <c r="AD326" i="1"/>
  <c r="AD494" i="1"/>
  <c r="AD327" i="1"/>
  <c r="AD502" i="1"/>
  <c r="AC319" i="1"/>
  <c r="AC318" i="1"/>
  <c r="AC496" i="1"/>
  <c r="AC501" i="1"/>
  <c r="V498" i="1"/>
  <c r="V494" i="1"/>
  <c r="V495" i="1"/>
  <c r="V318" i="1"/>
  <c r="Y501" i="1"/>
  <c r="Y318" i="1"/>
  <c r="Y326" i="1"/>
  <c r="Y496" i="1"/>
  <c r="X499" i="1"/>
  <c r="X324" i="1"/>
  <c r="X501" i="1"/>
  <c r="X494" i="1"/>
  <c r="W320" i="1"/>
  <c r="W494" i="1"/>
  <c r="W493" i="1"/>
  <c r="W324" i="1"/>
  <c r="AB324" i="1"/>
  <c r="AB319" i="1"/>
  <c r="AB493" i="1"/>
  <c r="AB495" i="1"/>
  <c r="Z319" i="1"/>
  <c r="Z320" i="1"/>
  <c r="Z501" i="1"/>
  <c r="Z494" i="1"/>
  <c r="AA320" i="1"/>
  <c r="AA494" i="1"/>
  <c r="AA502" i="1"/>
  <c r="AA493" i="1"/>
  <c r="Z493" i="1"/>
  <c r="Z326" i="1"/>
  <c r="Z496" i="1"/>
  <c r="Z495" i="1"/>
  <c r="AA326" i="1"/>
  <c r="AA324" i="1"/>
  <c r="AA318" i="1"/>
  <c r="Z502" i="1"/>
  <c r="Z323" i="1"/>
  <c r="Z318" i="1"/>
  <c r="Z327" i="1"/>
  <c r="AA321" i="1"/>
  <c r="AA499" i="1"/>
  <c r="Z324" i="1"/>
  <c r="Z321" i="1"/>
  <c r="Z499" i="1"/>
  <c r="Z498" i="1"/>
  <c r="AA501" i="1"/>
  <c r="AA323" i="1"/>
  <c r="AA495" i="1"/>
  <c r="AA327" i="1"/>
  <c r="AA496" i="1"/>
  <c r="AA319" i="1"/>
  <c r="AA498" i="1"/>
  <c r="X309" i="1"/>
  <c r="F318" i="2"/>
  <c r="T321" i="1"/>
  <c r="T493" i="1"/>
  <c r="T496" i="1"/>
  <c r="T320" i="1"/>
  <c r="F8" i="2"/>
  <c r="F861" i="2" s="1"/>
  <c r="H93" i="1"/>
  <c r="H79" i="1"/>
  <c r="F319" i="2"/>
  <c r="V309" i="1"/>
  <c r="T611" i="1"/>
  <c r="AK611" i="1" s="1"/>
  <c r="AL611" i="1" s="1"/>
  <c r="T250" i="1"/>
  <c r="AK440" i="1"/>
  <c r="AL440" i="1" s="1"/>
  <c r="F303" i="2"/>
  <c r="T323" i="1"/>
  <c r="T326" i="1"/>
  <c r="T327" i="1"/>
  <c r="T318" i="1"/>
  <c r="F294" i="2"/>
  <c r="F889" i="2" s="1"/>
  <c r="W309" i="1"/>
  <c r="F328" i="2"/>
  <c r="F312" i="2"/>
  <c r="T268" i="1"/>
  <c r="T612" i="1"/>
  <c r="AK612" i="1" s="1"/>
  <c r="AL612" i="1" s="1"/>
  <c r="AK456" i="1"/>
  <c r="AL456" i="1" s="1"/>
  <c r="T499" i="1"/>
  <c r="T501" i="1"/>
  <c r="T498" i="1"/>
  <c r="T324" i="1"/>
  <c r="F316" i="2"/>
  <c r="F17" i="2"/>
  <c r="O79" i="1"/>
  <c r="O93" i="1"/>
  <c r="O96" i="1" s="1"/>
  <c r="Y309" i="1"/>
  <c r="T502" i="1"/>
  <c r="T494" i="1"/>
  <c r="T319" i="1"/>
  <c r="T495" i="1"/>
  <c r="AK524" i="1"/>
  <c r="AL524" i="1" s="1"/>
  <c r="F317" i="2"/>
  <c r="S613" i="1"/>
  <c r="U613" i="1"/>
  <c r="AJ613" i="1"/>
  <c r="O613" i="1"/>
  <c r="AH613" i="1"/>
  <c r="AF613" i="1"/>
  <c r="Z613" i="1"/>
  <c r="Q613" i="1"/>
  <c r="P613" i="1"/>
  <c r="I613" i="1"/>
  <c r="J613" i="1"/>
  <c r="L613" i="1"/>
  <c r="M613" i="1"/>
  <c r="AB613" i="1"/>
  <c r="V613" i="1"/>
  <c r="Y613" i="1"/>
  <c r="W613" i="1"/>
  <c r="X613" i="1"/>
  <c r="T613" i="1"/>
  <c r="AC613" i="1"/>
  <c r="K613" i="1"/>
  <c r="AD613" i="1"/>
  <c r="AA613" i="1"/>
  <c r="H368" i="1"/>
  <c r="AK361" i="1"/>
  <c r="AL361" i="1" s="1"/>
  <c r="F510" i="1"/>
  <c r="S603" i="1"/>
  <c r="U603" i="1"/>
  <c r="AJ603" i="1"/>
  <c r="Q603" i="1"/>
  <c r="P603" i="1"/>
  <c r="I603" i="1"/>
  <c r="J603" i="1"/>
  <c r="L603" i="1"/>
  <c r="M603" i="1"/>
  <c r="AA284" i="1"/>
  <c r="AA282" i="1"/>
  <c r="F891" i="2" l="1"/>
  <c r="F892" i="2" s="1"/>
  <c r="W889" i="2"/>
  <c r="X889" i="2" s="1"/>
  <c r="Y889" i="2" s="1"/>
  <c r="F863" i="2"/>
  <c r="W861" i="2"/>
  <c r="X861" i="2" s="1"/>
  <c r="Y861" i="2" s="1"/>
  <c r="F300" i="2"/>
  <c r="F14" i="2"/>
  <c r="AK616" i="1"/>
  <c r="AL616" i="1" s="1"/>
  <c r="AK142" i="1"/>
  <c r="AL142" i="1" s="1"/>
  <c r="AK526" i="1"/>
  <c r="AL526" i="1" s="1"/>
  <c r="F324" i="2"/>
  <c r="K506" i="1"/>
  <c r="K508" i="1" s="1"/>
  <c r="K603" i="1" s="1"/>
  <c r="F320" i="2"/>
  <c r="AH331" i="1"/>
  <c r="AH333" i="1" s="1"/>
  <c r="F306" i="2"/>
  <c r="AH506" i="1"/>
  <c r="AH508" i="1" s="1"/>
  <c r="AF506" i="1"/>
  <c r="AF508" i="1" s="1"/>
  <c r="O111" i="1"/>
  <c r="F75" i="2" s="1"/>
  <c r="F20" i="2"/>
  <c r="AK268" i="1"/>
  <c r="AL268" i="1" s="1"/>
  <c r="T278" i="1"/>
  <c r="AK278" i="1" s="1"/>
  <c r="AL278" i="1" s="1"/>
  <c r="K331" i="1"/>
  <c r="K333" i="1" s="1"/>
  <c r="T263" i="1"/>
  <c r="AK250" i="1"/>
  <c r="AL250" i="1" s="1"/>
  <c r="H96" i="1"/>
  <c r="AF331" i="1"/>
  <c r="AA309" i="1"/>
  <c r="H174" i="1"/>
  <c r="H607" i="1"/>
  <c r="AK607" i="1" s="1"/>
  <c r="AL607" i="1" s="1"/>
  <c r="H379" i="1"/>
  <c r="AK368" i="1"/>
  <c r="AL368" i="1" s="1"/>
  <c r="F864" i="2" l="1"/>
  <c r="F325" i="2"/>
  <c r="F240" i="2"/>
  <c r="K510" i="1"/>
  <c r="K123" i="1"/>
  <c r="F345" i="2"/>
  <c r="AK263" i="1"/>
  <c r="AL263" i="1" s="1"/>
  <c r="T280" i="1"/>
  <c r="F78" i="2"/>
  <c r="AF123" i="1"/>
  <c r="F280" i="2"/>
  <c r="AF510" i="1"/>
  <c r="AF603" i="1"/>
  <c r="AH335" i="1"/>
  <c r="F226" i="2"/>
  <c r="AH547" i="1"/>
  <c r="H111" i="1"/>
  <c r="K335" i="1"/>
  <c r="F183" i="2"/>
  <c r="K547" i="1"/>
  <c r="F283" i="2"/>
  <c r="AH123" i="1"/>
  <c r="AH510" i="1"/>
  <c r="AH603" i="1"/>
  <c r="H181" i="1"/>
  <c r="AK174" i="1"/>
  <c r="AL174" i="1" s="1"/>
  <c r="AK379" i="1"/>
  <c r="AL379" i="1" s="1"/>
  <c r="H402" i="1"/>
  <c r="F674" i="2" l="1"/>
  <c r="F730" i="2"/>
  <c r="T284" i="1"/>
  <c r="T282" i="1"/>
  <c r="AK282" i="1" s="1"/>
  <c r="AL282" i="1" s="1"/>
  <c r="AK280" i="1"/>
  <c r="AL280" i="1" s="1"/>
  <c r="F66" i="2"/>
  <c r="F868" i="2" s="1"/>
  <c r="AK181" i="1"/>
  <c r="AL181" i="1" s="1"/>
  <c r="H192" i="1"/>
  <c r="H462" i="1"/>
  <c r="AK402" i="1"/>
  <c r="AL402" i="1" s="1"/>
  <c r="W868" i="2" l="1"/>
  <c r="X868" i="2" s="1"/>
  <c r="Y868" i="2" s="1"/>
  <c r="F870" i="2"/>
  <c r="F72" i="2"/>
  <c r="T309" i="1"/>
  <c r="H487" i="1"/>
  <c r="AK462" i="1"/>
  <c r="AL462" i="1" s="1"/>
  <c r="AK192" i="1"/>
  <c r="AL192" i="1" s="1"/>
  <c r="H215" i="1"/>
  <c r="W881" i="2" l="1"/>
  <c r="X881" i="2" s="1"/>
  <c r="Y881" i="2" s="1"/>
  <c r="F871" i="2"/>
  <c r="AK215" i="1"/>
  <c r="AL215" i="1" s="1"/>
  <c r="H227" i="1"/>
  <c r="AK487" i="1"/>
  <c r="AL487" i="1" s="1"/>
  <c r="H494" i="1"/>
  <c r="AK494" i="1" s="1"/>
  <c r="AL494" i="1" s="1"/>
  <c r="H324" i="1"/>
  <c r="AK324" i="1" s="1"/>
  <c r="AL324" i="1" s="1"/>
  <c r="H319" i="1"/>
  <c r="AK319" i="1" s="1"/>
  <c r="AL319" i="1" s="1"/>
  <c r="H502" i="1"/>
  <c r="AK502" i="1" s="1"/>
  <c r="AL502" i="1" s="1"/>
  <c r="H323" i="1"/>
  <c r="AK323" i="1" s="1"/>
  <c r="AL323" i="1" s="1"/>
  <c r="H499" i="1"/>
  <c r="AK499" i="1" s="1"/>
  <c r="AL499" i="1" s="1"/>
  <c r="H498" i="1"/>
  <c r="AK498" i="1" s="1"/>
  <c r="AL498" i="1" s="1"/>
  <c r="H495" i="1"/>
  <c r="AK495" i="1" s="1"/>
  <c r="AL495" i="1" s="1"/>
  <c r="H321" i="1"/>
  <c r="AK321" i="1" s="1"/>
  <c r="AL321" i="1" s="1"/>
  <c r="H501" i="1"/>
  <c r="AK501" i="1" s="1"/>
  <c r="AL501" i="1" s="1"/>
  <c r="H493" i="1"/>
  <c r="H496" i="1"/>
  <c r="AK496" i="1" s="1"/>
  <c r="AL496" i="1" s="1"/>
  <c r="H613" i="1"/>
  <c r="AK613" i="1" s="1"/>
  <c r="AL613" i="1" s="1"/>
  <c r="H326" i="1"/>
  <c r="AK326" i="1" s="1"/>
  <c r="AL326" i="1" s="1"/>
  <c r="H320" i="1"/>
  <c r="AK320" i="1" s="1"/>
  <c r="AL320" i="1" s="1"/>
  <c r="H327" i="1"/>
  <c r="AK327" i="1" s="1"/>
  <c r="AL327" i="1" s="1"/>
  <c r="H318" i="1"/>
  <c r="AK318" i="1" l="1"/>
  <c r="AL318" i="1" s="1"/>
  <c r="AK493" i="1"/>
  <c r="AL493" i="1" s="1"/>
  <c r="AK227" i="1"/>
  <c r="AL227" i="1" s="1"/>
  <c r="H284" i="1"/>
  <c r="W888" i="2" l="1"/>
  <c r="X888" i="2" s="1"/>
  <c r="Y888" i="2" s="1"/>
  <c r="H309" i="1"/>
  <c r="AK284" i="1"/>
  <c r="AL284" i="1" l="1"/>
  <c r="F293" i="1"/>
  <c r="AD62" i="1"/>
  <c r="AD66" i="1" s="1"/>
  <c r="F48" i="2" l="1"/>
  <c r="AD117" i="1"/>
  <c r="AD93" i="1"/>
  <c r="AD96" i="1" s="1"/>
  <c r="AD111" i="1" s="1"/>
  <c r="F106" i="2" s="1"/>
  <c r="F309" i="1"/>
  <c r="F333" i="1"/>
  <c r="AF287" i="1"/>
  <c r="AD79" i="1"/>
  <c r="AB62" i="1"/>
  <c r="AB66" i="1" s="1"/>
  <c r="AB117" i="1" s="1"/>
  <c r="T62" i="1"/>
  <c r="AA62" i="1"/>
  <c r="AA66" i="1" s="1"/>
  <c r="AA117" i="1" s="1"/>
  <c r="V62" i="1"/>
  <c r="V66" i="1" s="1"/>
  <c r="V117" i="1" s="1"/>
  <c r="Y62" i="1"/>
  <c r="Y66" i="1" s="1"/>
  <c r="Y117" i="1" s="1"/>
  <c r="W62" i="1"/>
  <c r="W66" i="1" s="1"/>
  <c r="W117" i="1" s="1"/>
  <c r="X62" i="1"/>
  <c r="X66" i="1" s="1"/>
  <c r="X117" i="1" s="1"/>
  <c r="AC62" i="1"/>
  <c r="AC66" i="1" s="1"/>
  <c r="AC117" i="1" s="1"/>
  <c r="Z62" i="1"/>
  <c r="Z66" i="1" s="1"/>
  <c r="Z117" i="1" s="1"/>
  <c r="F66" i="1"/>
  <c r="H115" i="1" l="1"/>
  <c r="H116" i="1"/>
  <c r="O116" i="1"/>
  <c r="O115" i="1"/>
  <c r="AH602" i="1"/>
  <c r="P602" i="1"/>
  <c r="L602" i="1"/>
  <c r="O602" i="1"/>
  <c r="U602" i="1"/>
  <c r="K602" i="1"/>
  <c r="J602" i="1"/>
  <c r="S602" i="1"/>
  <c r="I602" i="1"/>
  <c r="M602" i="1"/>
  <c r="AF602" i="1"/>
  <c r="AJ602" i="1"/>
  <c r="Q602" i="1"/>
  <c r="F93" i="1"/>
  <c r="F96" i="1" s="1"/>
  <c r="H602" i="1"/>
  <c r="F79" i="1"/>
  <c r="AD116" i="1"/>
  <c r="Z604" i="1"/>
  <c r="X604" i="1"/>
  <c r="S604" i="1"/>
  <c r="T604" i="1"/>
  <c r="AH604" i="1"/>
  <c r="Q604" i="1"/>
  <c r="AA604" i="1"/>
  <c r="V604" i="1"/>
  <c r="M604" i="1"/>
  <c r="AD604" i="1"/>
  <c r="AB604" i="1"/>
  <c r="Y604" i="1"/>
  <c r="AC604" i="1"/>
  <c r="I604" i="1"/>
  <c r="O604" i="1"/>
  <c r="K604" i="1"/>
  <c r="J604" i="1"/>
  <c r="AJ604" i="1"/>
  <c r="W604" i="1"/>
  <c r="L604" i="1"/>
  <c r="U604" i="1"/>
  <c r="P604" i="1"/>
  <c r="H604" i="1"/>
  <c r="AK287" i="1"/>
  <c r="AL287" i="1" s="1"/>
  <c r="AF293" i="1"/>
  <c r="Z115" i="1"/>
  <c r="Z79" i="1"/>
  <c r="F37" i="2"/>
  <c r="Z116" i="1"/>
  <c r="Z93" i="1"/>
  <c r="Z96" i="1" s="1"/>
  <c r="Z602" i="1"/>
  <c r="Y79" i="1"/>
  <c r="F33" i="2"/>
  <c r="Y115" i="1"/>
  <c r="Y116" i="1"/>
  <c r="Y93" i="1"/>
  <c r="Y96" i="1" s="1"/>
  <c r="Y602" i="1"/>
  <c r="AB116" i="1"/>
  <c r="AB79" i="1"/>
  <c r="AB93" i="1"/>
  <c r="AB96" i="1" s="1"/>
  <c r="F42" i="2"/>
  <c r="AB115" i="1"/>
  <c r="AB602" i="1"/>
  <c r="AD602" i="1"/>
  <c r="AC93" i="1"/>
  <c r="AC96" i="1" s="1"/>
  <c r="AC79" i="1"/>
  <c r="AC116" i="1"/>
  <c r="AC115" i="1"/>
  <c r="F45" i="2"/>
  <c r="F904" i="2" s="1"/>
  <c r="AC602" i="1"/>
  <c r="V116" i="1"/>
  <c r="V115" i="1"/>
  <c r="V93" i="1"/>
  <c r="V96" i="1" s="1"/>
  <c r="F30" i="2"/>
  <c r="V79" i="1"/>
  <c r="V602" i="1"/>
  <c r="X115" i="1"/>
  <c r="X93" i="1"/>
  <c r="X96" i="1" s="1"/>
  <c r="F32" i="2"/>
  <c r="X116" i="1"/>
  <c r="X79" i="1"/>
  <c r="X602" i="1"/>
  <c r="AA93" i="1"/>
  <c r="AA96" i="1" s="1"/>
  <c r="F38" i="2"/>
  <c r="AA79" i="1"/>
  <c r="AA116" i="1"/>
  <c r="AA115" i="1"/>
  <c r="AA602" i="1"/>
  <c r="AD115" i="1"/>
  <c r="F547" i="1"/>
  <c r="F335" i="1"/>
  <c r="AK62" i="1"/>
  <c r="T66" i="1"/>
  <c r="T117" i="1" s="1"/>
  <c r="AK117" i="1" s="1"/>
  <c r="AL117" i="1" s="1"/>
  <c r="W93" i="1"/>
  <c r="W96" i="1" s="1"/>
  <c r="F31" i="2"/>
  <c r="W115" i="1"/>
  <c r="W116" i="1"/>
  <c r="W79" i="1"/>
  <c r="W602" i="1"/>
  <c r="W904" i="2" l="1"/>
  <c r="X904" i="2" s="1"/>
  <c r="Y904" i="2" s="1"/>
  <c r="F906" i="2"/>
  <c r="F907" i="2" s="1"/>
  <c r="AK66" i="1"/>
  <c r="AL66" i="1" s="1"/>
  <c r="AL62" i="1"/>
  <c r="P601" i="1"/>
  <c r="AH601" i="1"/>
  <c r="L601" i="1"/>
  <c r="Q601" i="1"/>
  <c r="I601" i="1"/>
  <c r="AJ601" i="1"/>
  <c r="M601" i="1"/>
  <c r="S601" i="1"/>
  <c r="U601" i="1"/>
  <c r="K601" i="1"/>
  <c r="J601" i="1"/>
  <c r="AA500" i="1"/>
  <c r="AA537" i="1"/>
  <c r="F495" i="2" s="1"/>
  <c r="AA325" i="1"/>
  <c r="AA535" i="1"/>
  <c r="AA497" i="1"/>
  <c r="AA506" i="1" s="1"/>
  <c r="AA508" i="1" s="1"/>
  <c r="AA322" i="1"/>
  <c r="AA543" i="1"/>
  <c r="AA541" i="1"/>
  <c r="F615" i="2" s="1"/>
  <c r="AA111" i="1"/>
  <c r="F96" i="2" s="1"/>
  <c r="Z537" i="1"/>
  <c r="F494" i="2" s="1"/>
  <c r="Z111" i="1"/>
  <c r="F95" i="2" s="1"/>
  <c r="Z500" i="1"/>
  <c r="Z325" i="1"/>
  <c r="Z543" i="1"/>
  <c r="Z322" i="1"/>
  <c r="Z541" i="1"/>
  <c r="F614" i="2" s="1"/>
  <c r="Z535" i="1"/>
  <c r="Z497" i="1"/>
  <c r="W535" i="1"/>
  <c r="W500" i="1"/>
  <c r="W497" i="1"/>
  <c r="W537" i="1"/>
  <c r="F488" i="2" s="1"/>
  <c r="W541" i="1"/>
  <c r="F608" i="2" s="1"/>
  <c r="W325" i="1"/>
  <c r="W322" i="1"/>
  <c r="W543" i="1"/>
  <c r="W111" i="1"/>
  <c r="F89" i="2" s="1"/>
  <c r="X500" i="1"/>
  <c r="X537" i="1"/>
  <c r="F489" i="2" s="1"/>
  <c r="X325" i="1"/>
  <c r="X111" i="1"/>
  <c r="F90" i="2" s="1"/>
  <c r="X543" i="1"/>
  <c r="X497" i="1"/>
  <c r="X541" i="1"/>
  <c r="F609" i="2" s="1"/>
  <c r="X322" i="1"/>
  <c r="X535" i="1"/>
  <c r="F34" i="2"/>
  <c r="T115" i="1"/>
  <c r="AK115" i="1" s="1"/>
  <c r="AL115" i="1" s="1"/>
  <c r="T116" i="1"/>
  <c r="AK116" i="1" s="1"/>
  <c r="AL116" i="1" s="1"/>
  <c r="T79" i="1"/>
  <c r="AK79" i="1" s="1"/>
  <c r="AL79" i="1" s="1"/>
  <c r="F26" i="2"/>
  <c r="T93" i="1"/>
  <c r="T602" i="1"/>
  <c r="AK602" i="1" s="1"/>
  <c r="AL602" i="1" s="1"/>
  <c r="V543" i="1"/>
  <c r="V541" i="1"/>
  <c r="F607" i="2" s="1"/>
  <c r="V535" i="1"/>
  <c r="V111" i="1"/>
  <c r="F88" i="2" s="1"/>
  <c r="V322" i="1"/>
  <c r="V325" i="1"/>
  <c r="V497" i="1"/>
  <c r="V537" i="1"/>
  <c r="F487" i="2" s="1"/>
  <c r="V500" i="1"/>
  <c r="AC500" i="1"/>
  <c r="AC111" i="1"/>
  <c r="F103" i="2" s="1"/>
  <c r="F911" i="2" s="1"/>
  <c r="AC541" i="1"/>
  <c r="F622" i="2" s="1"/>
  <c r="AC497" i="1"/>
  <c r="AC322" i="1"/>
  <c r="AC543" i="1"/>
  <c r="AC537" i="1"/>
  <c r="F502" i="2" s="1"/>
  <c r="AC325" i="1"/>
  <c r="AC535" i="1"/>
  <c r="AB535" i="1"/>
  <c r="AB537" i="1"/>
  <c r="F499" i="2" s="1"/>
  <c r="AB500" i="1"/>
  <c r="AB497" i="1"/>
  <c r="AB543" i="1"/>
  <c r="AB325" i="1"/>
  <c r="AB111" i="1"/>
  <c r="F100" i="2" s="1"/>
  <c r="AB541" i="1"/>
  <c r="F619" i="2" s="1"/>
  <c r="AB322" i="1"/>
  <c r="Y500" i="1"/>
  <c r="Y322" i="1"/>
  <c r="Y537" i="1"/>
  <c r="F490" i="2" s="1"/>
  <c r="Y535" i="1"/>
  <c r="Y541" i="1"/>
  <c r="F610" i="2" s="1"/>
  <c r="Y325" i="1"/>
  <c r="Y111" i="1"/>
  <c r="F91" i="2" s="1"/>
  <c r="Y543" i="1"/>
  <c r="Y497" i="1"/>
  <c r="F39" i="2"/>
  <c r="AF309" i="1"/>
  <c r="AF604" i="1" s="1"/>
  <c r="AK604" i="1" s="1"/>
  <c r="AL604" i="1" s="1"/>
  <c r="AK293" i="1"/>
  <c r="AF333" i="1"/>
  <c r="O500" i="1"/>
  <c r="O543" i="1"/>
  <c r="H322" i="1"/>
  <c r="H500" i="1"/>
  <c r="O322" i="1"/>
  <c r="O325" i="1"/>
  <c r="H537" i="1"/>
  <c r="H497" i="1"/>
  <c r="O535" i="1"/>
  <c r="O497" i="1"/>
  <c r="H535" i="1"/>
  <c r="H543" i="1"/>
  <c r="O541" i="1"/>
  <c r="F594" i="2" s="1"/>
  <c r="O537" i="1"/>
  <c r="F474" i="2" s="1"/>
  <c r="H325" i="1"/>
  <c r="H541" i="1"/>
  <c r="F111" i="1"/>
  <c r="AD543" i="1"/>
  <c r="AD325" i="1"/>
  <c r="AD541" i="1"/>
  <c r="F625" i="2" s="1"/>
  <c r="AD500" i="1"/>
  <c r="AD535" i="1"/>
  <c r="AD322" i="1"/>
  <c r="AD497" i="1"/>
  <c r="AD537" i="1"/>
  <c r="F505" i="2" s="1"/>
  <c r="Y506" i="1" l="1"/>
  <c r="Y508" i="1" s="1"/>
  <c r="W911" i="2"/>
  <c r="X911" i="2" s="1"/>
  <c r="Y911" i="2" s="1"/>
  <c r="F913" i="2"/>
  <c r="AD331" i="1"/>
  <c r="AD333" i="1" s="1"/>
  <c r="AD335" i="1" s="1"/>
  <c r="AA331" i="1"/>
  <c r="AA333" i="1" s="1"/>
  <c r="AA335" i="1" s="1"/>
  <c r="Z506" i="1"/>
  <c r="Z508" i="1" s="1"/>
  <c r="Z603" i="1" s="1"/>
  <c r="AC506" i="1"/>
  <c r="AC508" i="1" s="1"/>
  <c r="AC603" i="1" s="1"/>
  <c r="O506" i="1"/>
  <c r="O508" i="1" s="1"/>
  <c r="O510" i="1" s="1"/>
  <c r="F597" i="2"/>
  <c r="F585" i="2"/>
  <c r="H506" i="1"/>
  <c r="AF547" i="1"/>
  <c r="F223" i="2"/>
  <c r="AF335" i="1"/>
  <c r="AB506" i="1"/>
  <c r="AB508" i="1" s="1"/>
  <c r="F445" i="2"/>
  <c r="F939" i="2" s="1"/>
  <c r="AC545" i="1"/>
  <c r="AC331" i="1"/>
  <c r="AC333" i="1" s="1"/>
  <c r="F491" i="2"/>
  <c r="F92" i="2"/>
  <c r="X506" i="1"/>
  <c r="X508" i="1" s="1"/>
  <c r="W331" i="1"/>
  <c r="W333" i="1" s="1"/>
  <c r="W506" i="1"/>
  <c r="W508" i="1" s="1"/>
  <c r="Z331" i="1"/>
  <c r="Z333" i="1" s="1"/>
  <c r="F97" i="2"/>
  <c r="F267" i="2"/>
  <c r="AA123" i="1"/>
  <c r="AA510" i="1"/>
  <c r="AA603" i="1"/>
  <c r="F477" i="2"/>
  <c r="AD506" i="1"/>
  <c r="AD508" i="1" s="1"/>
  <c r="F448" i="2"/>
  <c r="AD545" i="1"/>
  <c r="F408" i="2"/>
  <c r="F896" i="2" s="1"/>
  <c r="H545" i="1"/>
  <c r="F465" i="2"/>
  <c r="H331" i="1"/>
  <c r="AK309" i="1"/>
  <c r="AL309" i="1" s="1"/>
  <c r="AL293" i="1"/>
  <c r="Y331" i="1"/>
  <c r="Y333" i="1" s="1"/>
  <c r="V506" i="1"/>
  <c r="V508" i="1" s="1"/>
  <c r="F430" i="2"/>
  <c r="V545" i="1"/>
  <c r="T96" i="1"/>
  <c r="AK93" i="1"/>
  <c r="AL93" i="1" s="1"/>
  <c r="F432" i="2"/>
  <c r="X545" i="1"/>
  <c r="F496" i="2"/>
  <c r="F438" i="2"/>
  <c r="AA545" i="1"/>
  <c r="Y123" i="1"/>
  <c r="Y510" i="1"/>
  <c r="F262" i="2"/>
  <c r="Y603" i="1"/>
  <c r="F611" i="2"/>
  <c r="F59" i="2"/>
  <c r="X331" i="1"/>
  <c r="X333" i="1" s="1"/>
  <c r="F431" i="2"/>
  <c r="W545" i="1"/>
  <c r="F437" i="2"/>
  <c r="Z545" i="1"/>
  <c r="F417" i="2"/>
  <c r="O545" i="1"/>
  <c r="O331" i="1"/>
  <c r="O333" i="1" s="1"/>
  <c r="Y545" i="1"/>
  <c r="F433" i="2"/>
  <c r="AB331" i="1"/>
  <c r="AB333" i="1" s="1"/>
  <c r="F442" i="2"/>
  <c r="AB545" i="1"/>
  <c r="V331" i="1"/>
  <c r="V333" i="1" s="1"/>
  <c r="F616" i="2"/>
  <c r="F274" i="2" l="1"/>
  <c r="F210" i="2"/>
  <c r="W939" i="2"/>
  <c r="X939" i="2" s="1"/>
  <c r="Y939" i="2" s="1"/>
  <c r="F941" i="2"/>
  <c r="F914" i="2"/>
  <c r="W896" i="2"/>
  <c r="X896" i="2" s="1"/>
  <c r="Y896" i="2" s="1"/>
  <c r="F898" i="2"/>
  <c r="F899" i="2" s="1"/>
  <c r="AC123" i="1"/>
  <c r="AA547" i="1"/>
  <c r="AC510" i="1"/>
  <c r="AD547" i="1"/>
  <c r="F220" i="2"/>
  <c r="F591" i="2"/>
  <c r="F471" i="2"/>
  <c r="F414" i="2"/>
  <c r="W547" i="1"/>
  <c r="Z123" i="1"/>
  <c r="O123" i="1"/>
  <c r="F246" i="2"/>
  <c r="Z510" i="1"/>
  <c r="F266" i="2"/>
  <c r="O603" i="1"/>
  <c r="F214" i="2"/>
  <c r="AB335" i="1"/>
  <c r="AB547" i="1"/>
  <c r="F439" i="2"/>
  <c r="X547" i="1"/>
  <c r="Z335" i="1"/>
  <c r="F209" i="2"/>
  <c r="Z547" i="1"/>
  <c r="AB123" i="1"/>
  <c r="AB603" i="1"/>
  <c r="AB510" i="1"/>
  <c r="F271" i="2"/>
  <c r="AD601" i="1"/>
  <c r="F420" i="2"/>
  <c r="F204" i="2"/>
  <c r="X335" i="1"/>
  <c r="F434" i="2"/>
  <c r="F205" i="2"/>
  <c r="Y547" i="1"/>
  <c r="Y335" i="1"/>
  <c r="AC335" i="1"/>
  <c r="AC547" i="1"/>
  <c r="F217" i="2"/>
  <c r="F925" i="2" s="1"/>
  <c r="V335" i="1"/>
  <c r="V547" i="1"/>
  <c r="F202" i="2"/>
  <c r="V123" i="1"/>
  <c r="V510" i="1"/>
  <c r="F259" i="2"/>
  <c r="V603" i="1"/>
  <c r="W123" i="1"/>
  <c r="W603" i="1"/>
  <c r="F260" i="2"/>
  <c r="W510" i="1"/>
  <c r="F261" i="2"/>
  <c r="X510" i="1"/>
  <c r="X123" i="1"/>
  <c r="X603" i="1"/>
  <c r="AA601" i="1"/>
  <c r="O547" i="1"/>
  <c r="O335" i="1"/>
  <c r="F189" i="2"/>
  <c r="T543" i="1"/>
  <c r="AK543" i="1" s="1"/>
  <c r="AL543" i="1" s="1"/>
  <c r="T322" i="1"/>
  <c r="T497" i="1"/>
  <c r="T535" i="1"/>
  <c r="T537" i="1"/>
  <c r="T111" i="1"/>
  <c r="T325" i="1"/>
  <c r="AK325" i="1" s="1"/>
  <c r="AL325" i="1" s="1"/>
  <c r="T541" i="1"/>
  <c r="T500" i="1"/>
  <c r="AK500" i="1" s="1"/>
  <c r="AL500" i="1" s="1"/>
  <c r="AK96" i="1"/>
  <c r="AL96" i="1" s="1"/>
  <c r="H333" i="1"/>
  <c r="AD603" i="1"/>
  <c r="AD510" i="1"/>
  <c r="F277" i="2"/>
  <c r="AD123" i="1"/>
  <c r="W335" i="1"/>
  <c r="F203" i="2"/>
  <c r="AF601" i="1"/>
  <c r="H508" i="1"/>
  <c r="F942" i="2" l="1"/>
  <c r="F927" i="2"/>
  <c r="W925" i="2"/>
  <c r="X925" i="2" s="1"/>
  <c r="Y925" i="2" s="1"/>
  <c r="F268" i="2"/>
  <c r="F249" i="2"/>
  <c r="AK111" i="1"/>
  <c r="AL111" i="1" s="1"/>
  <c r="F84" i="2"/>
  <c r="T331" i="1"/>
  <c r="AK322" i="1"/>
  <c r="AL322" i="1" s="1"/>
  <c r="V601" i="1"/>
  <c r="X601" i="1"/>
  <c r="F211" i="2"/>
  <c r="AB601" i="1"/>
  <c r="H603" i="1"/>
  <c r="F237" i="2"/>
  <c r="H123" i="1"/>
  <c r="H510" i="1"/>
  <c r="F483" i="2"/>
  <c r="AK537" i="1"/>
  <c r="AL537" i="1" s="1"/>
  <c r="Z601" i="1"/>
  <c r="H547" i="1"/>
  <c r="H335" i="1"/>
  <c r="F180" i="2"/>
  <c r="F882" i="2" s="1"/>
  <c r="F603" i="2"/>
  <c r="AK541" i="1"/>
  <c r="AL541" i="1" s="1"/>
  <c r="F426" i="2"/>
  <c r="T545" i="1"/>
  <c r="AK545" i="1" s="1"/>
  <c r="AL545" i="1" s="1"/>
  <c r="AK535" i="1"/>
  <c r="AL535" i="1" s="1"/>
  <c r="F192" i="2"/>
  <c r="F206" i="2"/>
  <c r="AC601" i="1"/>
  <c r="W601" i="1"/>
  <c r="T506" i="1"/>
  <c r="AK497" i="1"/>
  <c r="AL497" i="1" s="1"/>
  <c r="O601" i="1"/>
  <c r="F263" i="2"/>
  <c r="Y601" i="1"/>
  <c r="F928" i="2" l="1"/>
  <c r="F884" i="2"/>
  <c r="W882" i="2"/>
  <c r="X882" i="2" s="1"/>
  <c r="Y882" i="2" s="1"/>
  <c r="F243" i="2"/>
  <c r="T508" i="1"/>
  <c r="AK506" i="1"/>
  <c r="AL506" i="1" s="1"/>
  <c r="F636" i="2"/>
  <c r="F516" i="2"/>
  <c r="T333" i="1"/>
  <c r="AK331" i="1"/>
  <c r="AL331" i="1" s="1"/>
  <c r="F186" i="2"/>
  <c r="F117" i="2"/>
  <c r="H601" i="1"/>
  <c r="F459" i="2"/>
  <c r="F676" i="2" s="1"/>
  <c r="F732" i="2" s="1"/>
  <c r="F885" i="2" l="1"/>
  <c r="F733" i="2"/>
  <c r="F677" i="2"/>
  <c r="F766" i="2"/>
  <c r="F707" i="2"/>
  <c r="T547" i="1"/>
  <c r="AK547" i="1" s="1"/>
  <c r="AL547" i="1" s="1"/>
  <c r="T335" i="1"/>
  <c r="F198" i="2"/>
  <c r="AK333" i="1"/>
  <c r="AL333" i="1" s="1"/>
  <c r="T123" i="1"/>
  <c r="AK123" i="1" s="1"/>
  <c r="AL123" i="1" s="1"/>
  <c r="T510" i="1"/>
  <c r="AK510" i="1" s="1"/>
  <c r="AL510" i="1" s="1"/>
  <c r="F255" i="2"/>
  <c r="T603" i="1"/>
  <c r="AK603" i="1" s="1"/>
  <c r="AL603" i="1" s="1"/>
  <c r="AK508" i="1"/>
  <c r="AL508" i="1" s="1"/>
  <c r="F231" i="2" l="1"/>
  <c r="F729" i="2" s="1"/>
  <c r="F288" i="2"/>
  <c r="T601" i="1"/>
  <c r="AK601" i="1" s="1"/>
  <c r="AL601" i="1" s="1"/>
  <c r="AK335" i="1"/>
  <c r="AL335" i="1" s="1"/>
  <c r="F673" i="2" l="1"/>
  <c r="F705" i="2" s="1"/>
  <c r="F709" i="2" s="1"/>
  <c r="F958" i="2"/>
  <c r="W903" i="2"/>
  <c r="X903" i="2" s="1"/>
  <c r="Y903" i="2" s="1"/>
  <c r="F764" i="2"/>
  <c r="F770" i="2" s="1"/>
  <c r="F747" i="2"/>
  <c r="F749" i="2" s="1"/>
  <c r="F683" i="2" l="1"/>
  <c r="F685" i="2" s="1"/>
  <c r="F793" i="2" l="1"/>
  <c r="F801" i="2" s="1"/>
  <c r="F803" i="2" s="1"/>
  <c r="X653" i="2" l="1"/>
  <c r="Y653" i="2" s="1"/>
  <c r="F934" i="2" l="1"/>
  <c r="W932" i="2"/>
  <c r="X932" i="2" s="1"/>
  <c r="Y932" i="2" s="1"/>
  <c r="F935" i="2" l="1"/>
  <c r="W895" i="2"/>
  <c r="X895" i="2" s="1"/>
  <c r="Y895" i="2" s="1"/>
  <c r="W948" i="2" l="1"/>
  <c r="X948" i="2" s="1"/>
  <c r="Y948" i="2" s="1"/>
  <c r="F114" i="1" l="1"/>
  <c r="F118" i="1" s="1"/>
  <c r="F146" i="1" s="1"/>
  <c r="K114" i="1" l="1"/>
  <c r="K118" i="1" s="1"/>
  <c r="K146" i="1" s="1"/>
  <c r="F126" i="2" s="1"/>
  <c r="AA114" i="1"/>
  <c r="AA118" i="1" s="1"/>
  <c r="AA146" i="1" s="1"/>
  <c r="F153" i="2" s="1"/>
  <c r="O114" i="1"/>
  <c r="O118" i="1" s="1"/>
  <c r="O146" i="1" s="1"/>
  <c r="F132" i="2" s="1"/>
  <c r="X114" i="1"/>
  <c r="X118" i="1" s="1"/>
  <c r="X146" i="1" s="1"/>
  <c r="F147" i="2" s="1"/>
  <c r="AH114" i="1"/>
  <c r="AH118" i="1" s="1"/>
  <c r="AH146" i="1" s="1"/>
  <c r="F169" i="2" s="1"/>
  <c r="AB114" i="1"/>
  <c r="AB118" i="1" s="1"/>
  <c r="AB146" i="1" s="1"/>
  <c r="F157" i="2" s="1"/>
  <c r="V114" i="1"/>
  <c r="V118" i="1" s="1"/>
  <c r="V146" i="1" s="1"/>
  <c r="F145" i="2" s="1"/>
  <c r="H114" i="1"/>
  <c r="AF114" i="1"/>
  <c r="AF118" i="1" s="1"/>
  <c r="AF146" i="1" s="1"/>
  <c r="F166" i="2" s="1"/>
  <c r="Y114" i="1"/>
  <c r="Y118" i="1" s="1"/>
  <c r="Y146" i="1" s="1"/>
  <c r="F148" i="2" s="1"/>
  <c r="Z114" i="1"/>
  <c r="Z118" i="1" s="1"/>
  <c r="Z146" i="1" s="1"/>
  <c r="F152" i="2" s="1"/>
  <c r="T114" i="1"/>
  <c r="T118" i="1" s="1"/>
  <c r="T146" i="1" s="1"/>
  <c r="F141" i="2" s="1"/>
  <c r="AD114" i="1"/>
  <c r="AD118" i="1" s="1"/>
  <c r="AD146" i="1" s="1"/>
  <c r="F163" i="2" s="1"/>
  <c r="W114" i="1"/>
  <c r="W118" i="1" s="1"/>
  <c r="W146" i="1" s="1"/>
  <c r="F146" i="2" s="1"/>
  <c r="AC114" i="1"/>
  <c r="AC118" i="1" s="1"/>
  <c r="AC146" i="1" s="1"/>
  <c r="F160" i="2" s="1"/>
  <c r="F918" i="2" s="1"/>
  <c r="F920" i="2" l="1"/>
  <c r="W918" i="2"/>
  <c r="X918" i="2" s="1"/>
  <c r="Y918" i="2" s="1"/>
  <c r="F154" i="2"/>
  <c r="F149" i="2"/>
  <c r="F135" i="2"/>
  <c r="AK114" i="1"/>
  <c r="H118" i="1"/>
  <c r="AK118" i="1" l="1"/>
  <c r="H146" i="1"/>
  <c r="AL114" i="1"/>
  <c r="AM114" i="1"/>
  <c r="F921" i="2"/>
  <c r="AK146" i="1" l="1"/>
  <c r="F123" i="2"/>
  <c r="AM118" i="1"/>
  <c r="AL118" i="1"/>
  <c r="AM146" i="1" l="1"/>
  <c r="AL146" i="1"/>
  <c r="F875" i="2"/>
  <c r="F129" i="2"/>
  <c r="F174" i="2" s="1"/>
  <c r="F687" i="2" s="1"/>
  <c r="F751" i="2" s="1"/>
  <c r="F755" i="2" s="1"/>
  <c r="F805" i="2" l="1"/>
  <c r="F807" i="2" s="1"/>
  <c r="F757" i="2"/>
  <c r="F877" i="2"/>
  <c r="W875" i="2"/>
  <c r="X875" i="2" s="1"/>
  <c r="Y875" i="2" s="1"/>
  <c r="F878" i="2" l="1"/>
  <c r="N202" i="2" l="1"/>
  <c r="Q26" i="2"/>
  <c r="T141" i="2"/>
  <c r="H148" i="2"/>
  <c r="O204" i="2"/>
  <c r="P163" i="2"/>
  <c r="O147" i="2"/>
  <c r="I205" i="2"/>
  <c r="N488" i="2"/>
  <c r="R489" i="2"/>
  <c r="R48" i="2"/>
  <c r="Q603" i="2"/>
  <c r="O210" i="2"/>
  <c r="S166" i="2"/>
  <c r="T483" i="2"/>
  <c r="J205" i="2"/>
  <c r="H483" i="2"/>
  <c r="H153" i="2"/>
  <c r="J169" i="2"/>
  <c r="S198" i="2"/>
  <c r="L489" i="2"/>
  <c r="Q432" i="2"/>
  <c r="M271" i="2"/>
  <c r="R84" i="2"/>
  <c r="V438" i="2"/>
  <c r="S88" i="2"/>
  <c r="V141" i="2"/>
  <c r="V169" i="2"/>
  <c r="R608" i="2"/>
  <c r="O259" i="2"/>
  <c r="V431" i="2"/>
  <c r="U267" i="2"/>
  <c r="P607" i="2"/>
  <c r="Q271" i="2"/>
  <c r="P169" i="2"/>
  <c r="S32" i="2"/>
  <c r="U274" i="2"/>
  <c r="T442" i="2"/>
  <c r="Q255" i="2"/>
  <c r="S157" i="2"/>
  <c r="H163" i="2"/>
  <c r="J262" i="2"/>
  <c r="P495" i="2"/>
  <c r="T202" i="2"/>
  <c r="M147" i="2"/>
  <c r="O260" i="2"/>
  <c r="R147" i="2"/>
  <c r="K169" i="2"/>
  <c r="L157" i="2"/>
  <c r="J89" i="2"/>
  <c r="Q622" i="2"/>
  <c r="N214" i="2"/>
  <c r="R262" i="2"/>
  <c r="U259" i="2"/>
  <c r="U203" i="2"/>
  <c r="U657" i="2"/>
  <c r="S260" i="2"/>
  <c r="Q261" i="2"/>
  <c r="U106" i="2"/>
  <c r="L204" i="2"/>
  <c r="K261" i="2"/>
  <c r="T681" i="2"/>
  <c r="R166" i="2"/>
  <c r="T84" i="2"/>
  <c r="V260" i="2"/>
  <c r="K141" i="2"/>
  <c r="H432" i="2"/>
  <c r="L84" i="2"/>
  <c r="R430" i="2"/>
  <c r="R145" i="2"/>
  <c r="K157" i="2"/>
  <c r="V255" i="2"/>
  <c r="J271" i="2"/>
  <c r="M260" i="2"/>
  <c r="R220" i="2"/>
  <c r="P96" i="2"/>
  <c r="L271" i="2"/>
  <c r="L141" i="2"/>
  <c r="I84" i="2"/>
  <c r="U430" i="2"/>
  <c r="V267" i="2"/>
  <c r="H603" i="2"/>
  <c r="P502" i="2"/>
  <c r="K376" i="2"/>
  <c r="R153" i="2"/>
  <c r="J147" i="2"/>
  <c r="S148" i="2"/>
  <c r="L274" i="2"/>
  <c r="P148" i="2"/>
  <c r="V157" i="2"/>
  <c r="U260" i="2"/>
  <c r="H433" i="2"/>
  <c r="Q502" i="2"/>
  <c r="P274" i="2"/>
  <c r="M432" i="2"/>
  <c r="U148" i="2"/>
  <c r="Q220" i="2"/>
  <c r="N141" i="2"/>
  <c r="M262" i="2"/>
  <c r="T262" i="2"/>
  <c r="T147" i="2"/>
  <c r="V615" i="2"/>
  <c r="T255" i="2"/>
  <c r="H267" i="2"/>
  <c r="V754" i="2"/>
  <c r="K153" i="2"/>
  <c r="L89" i="2"/>
  <c r="U204" i="2"/>
  <c r="R203" i="2"/>
  <c r="K214" i="2"/>
  <c r="J261" i="2"/>
  <c r="S169" i="2"/>
  <c r="J153" i="2"/>
  <c r="H438" i="2"/>
  <c r="U205" i="2"/>
  <c r="Q157" i="2"/>
  <c r="S204" i="2"/>
  <c r="P214" i="2"/>
  <c r="I262" i="2"/>
  <c r="V430" i="2"/>
  <c r="P438" i="2"/>
  <c r="P374" i="2"/>
  <c r="Q625" i="2"/>
  <c r="H205" i="2"/>
  <c r="I202" i="2"/>
  <c r="V432" i="2"/>
  <c r="R141" i="2"/>
  <c r="S274" i="2"/>
  <c r="I210" i="2"/>
  <c r="O255" i="2"/>
  <c r="P147" i="2"/>
  <c r="R33" i="2"/>
  <c r="N619" i="2"/>
  <c r="K442" i="2"/>
  <c r="P38" i="2"/>
  <c r="L26" i="2"/>
  <c r="R261" i="2"/>
  <c r="R202" i="2"/>
  <c r="J30" i="2"/>
  <c r="S146" i="2"/>
  <c r="U433" i="2"/>
  <c r="J163" i="2"/>
  <c r="U146" i="2"/>
  <c r="K603" i="2"/>
  <c r="U610" i="2"/>
  <c r="N271" i="2"/>
  <c r="V100" i="2"/>
  <c r="K432" i="2"/>
  <c r="R89" i="2"/>
  <c r="I609" i="2"/>
  <c r="T495" i="2"/>
  <c r="N388" i="2"/>
  <c r="U255" i="2"/>
  <c r="V166" i="2"/>
  <c r="K609" i="2"/>
  <c r="M267" i="2"/>
  <c r="Q374" i="2"/>
  <c r="N262" i="2"/>
  <c r="U31" i="2"/>
  <c r="R488" i="2"/>
  <c r="V318" i="2"/>
  <c r="N147" i="2"/>
  <c r="T432" i="2"/>
  <c r="M489" i="2"/>
  <c r="S38" i="2"/>
  <c r="U91" i="2"/>
  <c r="S312" i="2"/>
  <c r="Q100" i="2"/>
  <c r="V410" i="2"/>
  <c r="J488" i="2"/>
  <c r="R274" i="2"/>
  <c r="L267" i="2"/>
  <c r="R375" i="2"/>
  <c r="H100" i="2"/>
  <c r="U26" i="2"/>
  <c r="K88" i="2"/>
  <c r="J430" i="2"/>
  <c r="P610" i="2"/>
  <c r="M148" i="2"/>
  <c r="I483" i="2"/>
  <c r="J260" i="2"/>
  <c r="U169" i="2"/>
  <c r="K205" i="2"/>
  <c r="K147" i="2"/>
  <c r="Q214" i="2"/>
  <c r="H271" i="2"/>
  <c r="P603" i="2"/>
  <c r="O148" i="2"/>
  <c r="N204" i="2"/>
  <c r="K319" i="2"/>
  <c r="N148" i="2"/>
  <c r="I91" i="2"/>
  <c r="T169" i="2"/>
  <c r="S430" i="2"/>
  <c r="N163" i="2"/>
  <c r="P490" i="2"/>
  <c r="K622" i="2"/>
  <c r="S145" i="2"/>
  <c r="U487" i="2"/>
  <c r="V204" i="2"/>
  <c r="R426" i="2"/>
  <c r="H147" i="2"/>
  <c r="M205" i="2"/>
  <c r="H619" i="2"/>
  <c r="I499" i="2"/>
  <c r="U615" i="2"/>
  <c r="P48" i="2"/>
  <c r="S499" i="2"/>
  <c r="K32" i="2"/>
  <c r="N489" i="2"/>
  <c r="M261" i="2"/>
  <c r="H495" i="2"/>
  <c r="J352" i="2"/>
  <c r="P261" i="2"/>
  <c r="U262" i="2"/>
  <c r="Q91" i="2"/>
  <c r="Q362" i="2"/>
  <c r="U38" i="2"/>
  <c r="P259" i="2"/>
  <c r="S438" i="2"/>
  <c r="S42" i="2"/>
  <c r="R198" i="2"/>
  <c r="Q277" i="2"/>
  <c r="P91" i="2"/>
  <c r="I96" i="2"/>
  <c r="S141" i="2"/>
  <c r="I410" i="2"/>
  <c r="Q89" i="2"/>
  <c r="T261" i="2"/>
  <c r="H214" i="2"/>
  <c r="R490" i="2"/>
  <c r="H328" i="2"/>
  <c r="P488" i="2"/>
  <c r="Q259" i="2"/>
  <c r="L202" i="2"/>
  <c r="P483" i="2"/>
  <c r="O157" i="2"/>
  <c r="K438" i="2"/>
  <c r="R373" i="2"/>
  <c r="V210" i="2"/>
  <c r="H157" i="2"/>
  <c r="O433" i="2"/>
  <c r="M204" i="2"/>
  <c r="N267" i="2"/>
  <c r="N153" i="2"/>
  <c r="U202" i="2"/>
  <c r="R267" i="2"/>
  <c r="P141" i="2"/>
  <c r="U84" i="2"/>
  <c r="U48" i="2"/>
  <c r="O603" i="2"/>
  <c r="U88" i="2"/>
  <c r="R495" i="2"/>
  <c r="J615" i="2"/>
  <c r="R483" i="2"/>
  <c r="O438" i="2"/>
  <c r="Q318" i="2"/>
  <c r="K615" i="2"/>
  <c r="P90" i="2"/>
  <c r="H88" i="2"/>
  <c r="V198" i="2"/>
  <c r="V205" i="2"/>
  <c r="H38" i="2"/>
  <c r="I271" i="2"/>
  <c r="Q483" i="2"/>
  <c r="T657" i="2"/>
  <c r="I430" i="2"/>
  <c r="L615" i="2"/>
  <c r="Q438" i="2"/>
  <c r="K487" i="2"/>
  <c r="O141" i="2"/>
  <c r="S31" i="2"/>
  <c r="N210" i="2"/>
  <c r="R431" i="2"/>
  <c r="L147" i="2"/>
  <c r="J489" i="2"/>
  <c r="O483" i="2"/>
  <c r="S202" i="2"/>
  <c r="U261" i="2"/>
  <c r="L373" i="2"/>
  <c r="L499" i="2"/>
  <c r="J499" i="2"/>
  <c r="R334" i="2"/>
  <c r="J622" i="2"/>
  <c r="N525" i="2"/>
  <c r="O430" i="2"/>
  <c r="J157" i="2"/>
  <c r="I442" i="2"/>
  <c r="J214" i="2"/>
  <c r="P106" i="2"/>
  <c r="O432" i="2"/>
  <c r="I607" i="2"/>
  <c r="V362" i="2"/>
  <c r="V489" i="2"/>
  <c r="K259" i="2"/>
  <c r="N32" i="2"/>
  <c r="H261" i="2"/>
  <c r="Q388" i="2"/>
  <c r="R381" i="2"/>
  <c r="R26" i="2"/>
  <c r="O418" i="2"/>
  <c r="J608" i="2"/>
  <c r="J26" i="2"/>
  <c r="O106" i="2"/>
  <c r="O84" i="2"/>
  <c r="T260" i="2"/>
  <c r="O100" i="2"/>
  <c r="O319" i="2"/>
  <c r="M141" i="2"/>
  <c r="M26" i="2"/>
  <c r="V495" i="2"/>
  <c r="H622" i="2"/>
  <c r="S319" i="2"/>
  <c r="Q448" i="2"/>
  <c r="R324" i="2"/>
  <c r="U141" i="2"/>
  <c r="T607" i="2"/>
  <c r="N26" i="2"/>
  <c r="L490" i="2"/>
  <c r="I38" i="2"/>
  <c r="H410" i="2"/>
  <c r="P622" i="2"/>
  <c r="I375" i="2"/>
  <c r="I100" i="2"/>
  <c r="J76" i="2"/>
  <c r="N316" i="2"/>
  <c r="M366" i="2"/>
  <c r="T319" i="2"/>
  <c r="L433" i="2"/>
  <c r="H90" i="2"/>
  <c r="U374" i="2"/>
  <c r="S622" i="2"/>
  <c r="I33" i="2"/>
  <c r="U145" i="2"/>
  <c r="N467" i="2"/>
  <c r="I586" i="2"/>
  <c r="U488" i="2"/>
  <c r="R205" i="2"/>
  <c r="S352" i="2"/>
  <c r="P375" i="2"/>
  <c r="M202" i="2"/>
  <c r="M259" i="2"/>
  <c r="M328" i="2"/>
  <c r="P42" i="2"/>
  <c r="S316" i="2"/>
  <c r="V433" i="2"/>
  <c r="S432" i="2"/>
  <c r="I255" i="2"/>
  <c r="L205" i="2"/>
  <c r="V163" i="2"/>
  <c r="V426" i="2"/>
  <c r="J490" i="2"/>
  <c r="J259" i="2"/>
  <c r="M210" i="2"/>
  <c r="O205" i="2"/>
  <c r="K163" i="2"/>
  <c r="H255" i="2"/>
  <c r="I615" i="2"/>
  <c r="V657" i="2"/>
  <c r="I204" i="2"/>
  <c r="P255" i="2"/>
  <c r="L31" i="2"/>
  <c r="Q106" i="2"/>
  <c r="Q607" i="2"/>
  <c r="L260" i="2"/>
  <c r="V203" i="2"/>
  <c r="K483" i="2"/>
  <c r="T88" i="2"/>
  <c r="Q30" i="2"/>
  <c r="V316" i="2"/>
  <c r="P296" i="2"/>
  <c r="M31" i="2"/>
  <c r="I432" i="2"/>
  <c r="N42" i="2"/>
  <c r="T369" i="2"/>
  <c r="K619" i="2"/>
  <c r="H502" i="2"/>
  <c r="R312" i="2"/>
  <c r="V418" i="2"/>
  <c r="N369" i="2"/>
  <c r="N352" i="2"/>
  <c r="M410" i="2"/>
  <c r="I353" i="2"/>
  <c r="U147" i="2"/>
  <c r="I90" i="2"/>
  <c r="L96" i="2"/>
  <c r="J84" i="2"/>
  <c r="R622" i="2"/>
  <c r="U182" i="2"/>
  <c r="H33" i="2"/>
  <c r="S96" i="2"/>
  <c r="I502" i="2"/>
  <c r="K369" i="2"/>
  <c r="S361" i="2"/>
  <c r="O467" i="2"/>
  <c r="R376" i="2"/>
  <c r="K33" i="2"/>
  <c r="N124" i="2"/>
  <c r="R96" i="2"/>
  <c r="K373" i="2"/>
  <c r="N483" i="2"/>
  <c r="R505" i="2"/>
  <c r="L610" i="2"/>
  <c r="P305" i="2"/>
  <c r="M607" i="2"/>
  <c r="U316" i="2"/>
  <c r="K48" i="2"/>
  <c r="P316" i="2"/>
  <c r="Q153" i="2"/>
  <c r="S163" i="2"/>
  <c r="V106" i="2"/>
  <c r="M38" i="2"/>
  <c r="U431" i="2"/>
  <c r="L432" i="2"/>
  <c r="T30" i="2"/>
  <c r="O91" i="2"/>
  <c r="T210" i="2"/>
  <c r="K610" i="2"/>
  <c r="R157" i="2"/>
  <c r="U369" i="2"/>
  <c r="Q42" i="2"/>
  <c r="K148" i="2"/>
  <c r="U153" i="2"/>
  <c r="T157" i="2"/>
  <c r="S483" i="2"/>
  <c r="V202" i="2"/>
  <c r="Q38" i="2"/>
  <c r="Q33" i="2"/>
  <c r="V42" i="2"/>
  <c r="P202" i="2"/>
  <c r="S433" i="2"/>
  <c r="I30" i="2"/>
  <c r="N596" i="2"/>
  <c r="K51" i="2"/>
  <c r="R277" i="2"/>
  <c r="R204" i="2"/>
  <c r="Q442" i="2"/>
  <c r="J252" i="2"/>
  <c r="I476" i="2"/>
  <c r="N33" i="2"/>
  <c r="I89" i="2"/>
  <c r="T48" i="2"/>
  <c r="J369" i="2"/>
  <c r="I32" i="2"/>
  <c r="P388" i="2"/>
  <c r="T610" i="2"/>
  <c r="L369" i="2"/>
  <c r="R304" i="2"/>
  <c r="M495" i="2"/>
  <c r="O31" i="2"/>
  <c r="V30" i="2"/>
  <c r="J610" i="2"/>
  <c r="O316" i="2"/>
  <c r="U67" i="2"/>
  <c r="T134" i="2"/>
  <c r="Q664" i="2"/>
  <c r="R91" i="2"/>
  <c r="J255" i="2"/>
  <c r="U198" i="2"/>
  <c r="I274" i="2"/>
  <c r="H353" i="2"/>
  <c r="L324" i="2"/>
  <c r="O373" i="2"/>
  <c r="M32" i="2"/>
  <c r="N499" i="2"/>
  <c r="L608" i="2"/>
  <c r="K204" i="2"/>
  <c r="O33" i="2"/>
  <c r="S381" i="2"/>
  <c r="M30" i="2"/>
  <c r="O30" i="2"/>
  <c r="R255" i="2"/>
  <c r="O202" i="2"/>
  <c r="M373" i="2"/>
  <c r="M534" i="2"/>
  <c r="R88" i="2"/>
  <c r="U157" i="2"/>
  <c r="R124" i="2"/>
  <c r="P525" i="2"/>
  <c r="S48" i="2"/>
  <c r="J603" i="2"/>
  <c r="P157" i="2"/>
  <c r="K260" i="2"/>
  <c r="Q316" i="2"/>
  <c r="H319" i="2"/>
  <c r="T475" i="2"/>
  <c r="J619" i="2"/>
  <c r="J90" i="2"/>
  <c r="S467" i="2"/>
  <c r="Q376" i="2"/>
  <c r="T410" i="2"/>
  <c r="L495" i="2"/>
  <c r="M96" i="2"/>
  <c r="Q391" i="2"/>
  <c r="P661" i="2"/>
  <c r="M502" i="2"/>
  <c r="P586" i="2"/>
  <c r="L595" i="2"/>
  <c r="P210" i="2"/>
  <c r="N247" i="2"/>
  <c r="M76" i="2"/>
  <c r="L18" i="2"/>
  <c r="M587" i="2"/>
  <c r="I57" i="2"/>
  <c r="V259" i="2"/>
  <c r="S610" i="2"/>
  <c r="N31" i="2"/>
  <c r="P534" i="2"/>
  <c r="J419" i="2"/>
  <c r="O596" i="2"/>
  <c r="H489" i="2"/>
  <c r="S419" i="2"/>
  <c r="I362" i="2"/>
  <c r="U295" i="2"/>
  <c r="M10" i="2"/>
  <c r="I560" i="2"/>
  <c r="K490" i="2"/>
  <c r="I619" i="2"/>
  <c r="H662" i="2"/>
  <c r="V91" i="2"/>
  <c r="O115" i="2"/>
  <c r="I587" i="2"/>
  <c r="M433" i="2"/>
  <c r="N48" i="2"/>
  <c r="K419" i="2"/>
  <c r="M595" i="2"/>
  <c r="H316" i="2"/>
  <c r="P304" i="2"/>
  <c r="O595" i="2"/>
  <c r="Q586" i="2"/>
  <c r="V304" i="2"/>
  <c r="T182" i="2"/>
  <c r="Q541" i="2"/>
  <c r="Q488" i="2"/>
  <c r="L148" i="2"/>
  <c r="S295" i="2"/>
  <c r="K106" i="2"/>
  <c r="U664" i="2"/>
  <c r="O785" i="2"/>
  <c r="K67" i="2"/>
  <c r="J475" i="2"/>
  <c r="H376" i="2"/>
  <c r="T352" i="2"/>
  <c r="Q68" i="2"/>
  <c r="L381" i="2"/>
  <c r="O818" i="2"/>
  <c r="M90" i="2"/>
  <c r="I361" i="2"/>
  <c r="J534" i="2"/>
  <c r="U312" i="2"/>
  <c r="M596" i="2"/>
  <c r="I495" i="2"/>
  <c r="P88" i="2"/>
  <c r="T38" i="2"/>
  <c r="V18" i="2"/>
  <c r="Q124" i="2"/>
  <c r="M376" i="2"/>
  <c r="H369" i="2"/>
  <c r="P409" i="2"/>
  <c r="V181" i="2"/>
  <c r="J133" i="2"/>
  <c r="Q319" i="2"/>
  <c r="Q548" i="2"/>
  <c r="Q418" i="2"/>
  <c r="H557" i="2"/>
  <c r="K90" i="2"/>
  <c r="T91" i="2"/>
  <c r="K488" i="2"/>
  <c r="P476" i="2"/>
  <c r="H785" i="2"/>
  <c r="T19" i="2"/>
  <c r="K181" i="2"/>
  <c r="L596" i="2"/>
  <c r="H115" i="2"/>
  <c r="N115" i="2"/>
  <c r="O134" i="2"/>
  <c r="L261" i="2"/>
  <c r="R163" i="2"/>
  <c r="M124" i="2"/>
  <c r="H84" i="2"/>
  <c r="O77" i="2"/>
  <c r="T619" i="2"/>
  <c r="P442" i="2"/>
  <c r="N476" i="2"/>
  <c r="R448" i="2"/>
  <c r="Q660" i="2"/>
  <c r="M115" i="2"/>
  <c r="R607" i="2"/>
  <c r="M88" i="2"/>
  <c r="V737" i="2"/>
  <c r="Q96" i="2"/>
  <c r="S553" i="2"/>
  <c r="Q328" i="2"/>
  <c r="U214" i="2"/>
  <c r="O48" i="2"/>
  <c r="O385" i="2"/>
  <c r="L259" i="2"/>
  <c r="R374" i="2"/>
  <c r="L51" i="2"/>
  <c r="O374" i="2"/>
  <c r="M480" i="2"/>
  <c r="T106" i="2"/>
  <c r="K608" i="2"/>
  <c r="V84" i="2"/>
  <c r="M324" i="2"/>
  <c r="P124" i="2"/>
  <c r="H487" i="2"/>
  <c r="K324" i="2"/>
  <c r="U489" i="2"/>
  <c r="I42" i="2"/>
  <c r="U376" i="2"/>
  <c r="M615" i="2"/>
  <c r="J210" i="2"/>
  <c r="S607" i="2"/>
  <c r="N410" i="2"/>
  <c r="U475" i="2"/>
  <c r="R476" i="2"/>
  <c r="M388" i="2"/>
  <c r="R210" i="2"/>
  <c r="I433" i="2"/>
  <c r="K361" i="2"/>
  <c r="R32" i="2"/>
  <c r="T388" i="2"/>
  <c r="P324" i="2"/>
  <c r="M603" i="2"/>
  <c r="T90" i="2"/>
  <c r="K42" i="2"/>
  <c r="N319" i="2"/>
  <c r="L442" i="2"/>
  <c r="O381" i="2"/>
  <c r="K89" i="2"/>
  <c r="V238" i="2"/>
  <c r="U238" i="2"/>
  <c r="U410" i="2"/>
  <c r="T115" i="2"/>
  <c r="U534" i="2"/>
  <c r="Q546" i="2"/>
  <c r="R419" i="2"/>
  <c r="I305" i="2"/>
  <c r="P153" i="2"/>
  <c r="Q172" i="2"/>
  <c r="K374" i="2"/>
  <c r="M818" i="2"/>
  <c r="I480" i="2"/>
  <c r="V815" i="2"/>
  <c r="V126" i="2" s="1"/>
  <c r="V153" i="2"/>
  <c r="N823" i="2"/>
  <c r="N572" i="2" s="1"/>
  <c r="M538" i="2"/>
  <c r="K815" i="2"/>
  <c r="K240" i="2" s="1"/>
  <c r="P133" i="2"/>
  <c r="M553" i="2"/>
  <c r="Q32" i="2"/>
  <c r="Q88" i="2"/>
  <c r="U163" i="2"/>
  <c r="M305" i="2"/>
  <c r="T596" i="2"/>
  <c r="I304" i="2"/>
  <c r="U681" i="2"/>
  <c r="T324" i="2"/>
  <c r="J423" i="2"/>
  <c r="R596" i="2"/>
  <c r="Q410" i="2"/>
  <c r="H305" i="2"/>
  <c r="S495" i="2"/>
  <c r="P172" i="2"/>
  <c r="T423" i="2"/>
  <c r="K210" i="2"/>
  <c r="R433" i="2"/>
  <c r="V317" i="2"/>
  <c r="R148" i="2"/>
  <c r="R362" i="2"/>
  <c r="Q138" i="2"/>
  <c r="L109" i="2"/>
  <c r="M353" i="2"/>
  <c r="J353" i="2"/>
  <c r="S255" i="2"/>
  <c r="T381" i="2"/>
  <c r="N89" i="2"/>
  <c r="N609" i="2"/>
  <c r="O181" i="2"/>
  <c r="S442" i="2"/>
  <c r="P608" i="2"/>
  <c r="O615" i="2"/>
  <c r="K195" i="2"/>
  <c r="O214" i="2"/>
  <c r="O587" i="2"/>
  <c r="N96" i="2"/>
  <c r="S409" i="2"/>
  <c r="L466" i="2"/>
  <c r="L375" i="2"/>
  <c r="H595" i="2"/>
  <c r="T96" i="2"/>
  <c r="H442" i="2"/>
  <c r="T305" i="2"/>
  <c r="I68" i="2"/>
  <c r="M545" i="2"/>
  <c r="L822" i="2"/>
  <c r="L226" i="2" s="1"/>
  <c r="Q309" i="2"/>
  <c r="P191" i="2"/>
  <c r="L57" i="2"/>
  <c r="O89" i="2"/>
  <c r="V483" i="2"/>
  <c r="N91" i="2"/>
  <c r="M84" i="2"/>
  <c r="Q334" i="2"/>
  <c r="I267" i="2"/>
  <c r="O586" i="2"/>
  <c r="H385" i="2"/>
  <c r="U30" i="2"/>
  <c r="H608" i="2"/>
  <c r="I595" i="2"/>
  <c r="S147" i="2"/>
  <c r="J388" i="2"/>
  <c r="J88" i="2"/>
  <c r="I163" i="2"/>
  <c r="T385" i="2"/>
  <c r="O252" i="2"/>
  <c r="V375" i="2"/>
  <c r="I603" i="2"/>
  <c r="J487" i="2"/>
  <c r="L525" i="2"/>
  <c r="M385" i="2"/>
  <c r="M442" i="2"/>
  <c r="Q375" i="2"/>
  <c r="L319" i="2"/>
  <c r="N603" i="2"/>
  <c r="T267" i="2"/>
  <c r="M89" i="2"/>
  <c r="L438" i="2"/>
  <c r="O502" i="2"/>
  <c r="S487" i="2"/>
  <c r="H169" i="2"/>
  <c r="U737" i="2"/>
  <c r="R214" i="2"/>
  <c r="S431" i="2"/>
  <c r="N419" i="2"/>
  <c r="V124" i="2"/>
  <c r="O524" i="2"/>
  <c r="S374" i="2"/>
  <c r="P410" i="2"/>
  <c r="T89" i="2"/>
  <c r="U622" i="2"/>
  <c r="U352" i="2"/>
  <c r="U76" i="2"/>
  <c r="S652" i="2"/>
  <c r="M296" i="2"/>
  <c r="S106" i="2"/>
  <c r="P822" i="2"/>
  <c r="P628" i="2" s="1"/>
  <c r="I324" i="2"/>
  <c r="N821" i="2"/>
  <c r="N448" i="2" s="1"/>
  <c r="L785" i="2"/>
  <c r="V608" i="2"/>
  <c r="I48" i="2"/>
  <c r="N533" i="2"/>
  <c r="M169" i="2"/>
  <c r="N438" i="2"/>
  <c r="O328" i="2"/>
  <c r="I475" i="2"/>
  <c r="V195" i="2"/>
  <c r="J467" i="2"/>
  <c r="K430" i="2"/>
  <c r="M418" i="2"/>
  <c r="I373" i="2"/>
  <c r="O664" i="2"/>
  <c r="R625" i="2"/>
  <c r="O822" i="2"/>
  <c r="O283" i="2" s="1"/>
  <c r="Q524" i="2"/>
  <c r="N109" i="2"/>
  <c r="U524" i="2"/>
  <c r="P67" i="2"/>
  <c r="O388" i="2"/>
  <c r="V33" i="2"/>
  <c r="J586" i="2"/>
  <c r="P467" i="2"/>
  <c r="P328" i="2"/>
  <c r="I489" i="2"/>
  <c r="Q560" i="2"/>
  <c r="J9" i="2"/>
  <c r="O600" i="2"/>
  <c r="J112" i="2"/>
  <c r="K57" i="2"/>
  <c r="K202" i="2"/>
  <c r="M319" i="2"/>
  <c r="S203" i="2"/>
  <c r="M608" i="2"/>
  <c r="J495" i="2"/>
  <c r="U388" i="2"/>
  <c r="I148" i="2"/>
  <c r="R553" i="2"/>
  <c r="R191" i="2"/>
  <c r="P138" i="2"/>
  <c r="R19" i="2"/>
  <c r="R547" i="2"/>
  <c r="J10" i="2"/>
  <c r="J823" i="2"/>
  <c r="J457" i="2" s="1"/>
  <c r="T608" i="2"/>
  <c r="O26" i="2"/>
  <c r="H533" i="2"/>
  <c r="M375" i="2"/>
  <c r="Q169" i="2"/>
  <c r="N502" i="2"/>
  <c r="Q31" i="2"/>
  <c r="I157" i="2"/>
  <c r="U68" i="2"/>
  <c r="T603" i="2"/>
  <c r="N305" i="2"/>
  <c r="T42" i="2"/>
  <c r="M239" i="2"/>
  <c r="V10" i="2"/>
  <c r="T818" i="2"/>
  <c r="J191" i="2"/>
  <c r="S91" i="2"/>
  <c r="J433" i="2"/>
  <c r="J410" i="2"/>
  <c r="J238" i="2"/>
  <c r="V538" i="2"/>
  <c r="I352" i="2"/>
  <c r="L483" i="2"/>
  <c r="T586" i="2"/>
  <c r="Q204" i="2"/>
  <c r="H204" i="2"/>
  <c r="S100" i="2"/>
  <c r="T375" i="2"/>
  <c r="O96" i="2"/>
  <c r="V296" i="2"/>
  <c r="R656" i="2"/>
  <c r="U495" i="2"/>
  <c r="U381" i="2"/>
  <c r="H609" i="2"/>
  <c r="Q587" i="2"/>
  <c r="S305" i="2"/>
  <c r="L124" i="2"/>
  <c r="N296" i="2"/>
  <c r="K84" i="2"/>
  <c r="T238" i="2"/>
  <c r="N23" i="2"/>
  <c r="J54" i="2"/>
  <c r="I259" i="2"/>
  <c r="K534" i="2"/>
  <c r="L418" i="2"/>
  <c r="J316" i="2"/>
  <c r="U608" i="2"/>
  <c r="O42" i="2"/>
  <c r="J546" i="2"/>
  <c r="N30" i="2"/>
  <c r="V261" i="2"/>
  <c r="T533" i="2"/>
  <c r="Q252" i="2"/>
  <c r="I260" i="2"/>
  <c r="T785" i="2"/>
  <c r="N138" i="2"/>
  <c r="J655" i="2"/>
  <c r="H818" i="2"/>
  <c r="K385" i="2"/>
  <c r="V663" i="2"/>
  <c r="M247" i="2"/>
  <c r="L534" i="2"/>
  <c r="J318" i="2"/>
  <c r="M619" i="2"/>
  <c r="R366" i="2"/>
  <c r="T9" i="2"/>
  <c r="M662" i="2"/>
  <c r="M610" i="2"/>
  <c r="P376" i="2"/>
  <c r="T23" i="2"/>
  <c r="P366" i="2"/>
  <c r="V81" i="2"/>
  <c r="T172" i="2"/>
  <c r="O362" i="2"/>
  <c r="V622" i="2"/>
  <c r="P499" i="2"/>
  <c r="R385" i="2"/>
  <c r="N557" i="2"/>
  <c r="L112" i="2"/>
  <c r="R259" i="2"/>
  <c r="P466" i="2"/>
  <c r="L304" i="2"/>
  <c r="P109" i="2"/>
  <c r="H138" i="2"/>
  <c r="I525" i="2"/>
  <c r="J38" i="2"/>
  <c r="V67" i="2"/>
  <c r="T538" i="2"/>
  <c r="U600" i="2"/>
  <c r="N76" i="2"/>
  <c r="U191" i="2"/>
  <c r="Q205" i="2"/>
  <c r="T163" i="2"/>
  <c r="H524" i="2"/>
  <c r="U823" i="2"/>
  <c r="U400" i="2" s="1"/>
  <c r="O18" i="2"/>
  <c r="V32" i="2"/>
  <c r="M499" i="2"/>
  <c r="R499" i="2"/>
  <c r="K318" i="2"/>
  <c r="K388" i="2"/>
  <c r="J409" i="2"/>
  <c r="J57" i="2"/>
  <c r="H274" i="2"/>
  <c r="H822" i="2"/>
  <c r="H280" i="2" s="1"/>
  <c r="L388" i="2"/>
  <c r="S210" i="2"/>
  <c r="L366" i="2"/>
  <c r="T525" i="2"/>
  <c r="R309" i="2"/>
  <c r="Q600" i="2"/>
  <c r="H124" i="2"/>
  <c r="H607" i="2"/>
  <c r="V89" i="2"/>
  <c r="J324" i="2"/>
  <c r="T374" i="2"/>
  <c r="O304" i="2"/>
  <c r="K785" i="2"/>
  <c r="Q433" i="2"/>
  <c r="K587" i="2"/>
  <c r="R662" i="2"/>
  <c r="V822" i="2"/>
  <c r="V223" i="2" s="1"/>
  <c r="J609" i="2"/>
  <c r="M318" i="2"/>
  <c r="S247" i="2"/>
  <c r="T655" i="2"/>
  <c r="R81" i="2"/>
  <c r="O538" i="2"/>
  <c r="J274" i="2"/>
  <c r="Q48" i="2"/>
  <c r="U353" i="2"/>
  <c r="N373" i="2"/>
  <c r="T191" i="2"/>
  <c r="V271" i="2"/>
  <c r="U607" i="2"/>
  <c r="S205" i="2"/>
  <c r="M153" i="2"/>
  <c r="U317" i="2"/>
  <c r="M476" i="2"/>
  <c r="L214" i="2"/>
  <c r="L309" i="2"/>
  <c r="H587" i="2"/>
  <c r="K133" i="2"/>
  <c r="P664" i="2"/>
  <c r="L33" i="2"/>
  <c r="K489" i="2"/>
  <c r="M487" i="2"/>
  <c r="S19" i="2"/>
  <c r="N57" i="2"/>
  <c r="V125" i="2"/>
  <c r="L662" i="2"/>
  <c r="Q274" i="2"/>
  <c r="S466" i="2"/>
  <c r="S267" i="2"/>
  <c r="U319" i="2"/>
  <c r="V534" i="2"/>
  <c r="S560" i="2"/>
  <c r="N259" i="2"/>
  <c r="P195" i="2"/>
  <c r="Q84" i="2"/>
  <c r="R42" i="2"/>
  <c r="H361" i="2"/>
  <c r="U821" i="2"/>
  <c r="U505" i="2" s="1"/>
  <c r="L32" i="2"/>
  <c r="V115" i="2"/>
  <c r="R595" i="2"/>
  <c r="K138" i="2"/>
  <c r="Q115" i="2"/>
  <c r="L247" i="2"/>
  <c r="U9" i="2"/>
  <c r="K134" i="2"/>
  <c r="O19" i="2"/>
  <c r="M274" i="2"/>
  <c r="L19" i="2"/>
  <c r="I316" i="2"/>
  <c r="V619" i="2"/>
  <c r="N495" i="2"/>
  <c r="T153" i="2"/>
  <c r="V610" i="2"/>
  <c r="P30" i="2"/>
  <c r="V148" i="2"/>
  <c r="M409" i="2"/>
  <c r="P51" i="2"/>
  <c r="Q163" i="2"/>
  <c r="V274" i="2"/>
  <c r="L475" i="2"/>
  <c r="R296" i="2"/>
  <c r="J148" i="2"/>
  <c r="L88" i="2"/>
  <c r="Q202" i="2"/>
  <c r="N615" i="2"/>
  <c r="T489" i="2"/>
  <c r="M609" i="2"/>
  <c r="I295" i="2"/>
  <c r="N475" i="2"/>
  <c r="N607" i="2"/>
  <c r="R603" i="2"/>
  <c r="L38" i="2"/>
  <c r="V247" i="2"/>
  <c r="V133" i="2"/>
  <c r="V309" i="2"/>
  <c r="O190" i="2"/>
  <c r="K316" i="2"/>
  <c r="P595" i="2"/>
  <c r="V603" i="2"/>
  <c r="P553" i="2"/>
  <c r="T271" i="2"/>
  <c r="H57" i="2"/>
  <c r="P247" i="2"/>
  <c r="U483" i="2"/>
  <c r="N18" i="2"/>
  <c r="H430" i="2"/>
  <c r="R545" i="2"/>
  <c r="V373" i="2"/>
  <c r="V214" i="2"/>
  <c r="V476" i="2"/>
  <c r="Q90" i="2"/>
  <c r="S328" i="2"/>
  <c r="P68" i="2"/>
  <c r="O248" i="2"/>
  <c r="H247" i="2"/>
  <c r="J23" i="2"/>
  <c r="V239" i="2"/>
  <c r="V388" i="2"/>
  <c r="S664" i="2"/>
  <c r="H181" i="2"/>
  <c r="P125" i="2"/>
  <c r="Q619" i="2"/>
  <c r="T560" i="2"/>
  <c r="U586" i="2"/>
  <c r="U90" i="2"/>
  <c r="Q267" i="2"/>
  <c r="U19" i="2"/>
  <c r="O815" i="2"/>
  <c r="O240" i="2" s="1"/>
  <c r="P267" i="2"/>
  <c r="K19" i="2"/>
  <c r="H202" i="2"/>
  <c r="I76" i="2"/>
  <c r="H54" i="2"/>
  <c r="J502" i="2"/>
  <c r="V487" i="2"/>
  <c r="N169" i="2"/>
  <c r="U603" i="2"/>
  <c r="J376" i="2"/>
  <c r="J91" i="2"/>
  <c r="J42" i="2"/>
  <c r="L362" i="2"/>
  <c r="V319" i="2"/>
  <c r="R467" i="2"/>
  <c r="U480" i="2"/>
  <c r="I376" i="2"/>
  <c r="N261" i="2"/>
  <c r="S10" i="2"/>
  <c r="Q77" i="2"/>
  <c r="N68" i="2"/>
  <c r="K262" i="2"/>
  <c r="S259" i="2"/>
  <c r="Q381" i="2"/>
  <c r="T659" i="2"/>
  <c r="R487" i="2"/>
  <c r="L153" i="2"/>
  <c r="L316" i="2"/>
  <c r="S369" i="2"/>
  <c r="O324" i="2"/>
  <c r="M133" i="2"/>
  <c r="S362" i="2"/>
  <c r="I418" i="2"/>
  <c r="L533" i="2"/>
  <c r="H362" i="2"/>
  <c r="P381" i="2"/>
  <c r="L560" i="2"/>
  <c r="P609" i="2"/>
  <c r="M547" i="2"/>
  <c r="M490" i="2"/>
  <c r="Q609" i="2"/>
  <c r="I261" i="2"/>
  <c r="J305" i="2"/>
  <c r="P353" i="2"/>
  <c r="Q260" i="2"/>
  <c r="P262" i="2"/>
  <c r="M77" i="2"/>
  <c r="P32" i="2"/>
  <c r="H125" i="2"/>
  <c r="M488" i="2"/>
  <c r="U587" i="2"/>
  <c r="N822" i="2"/>
  <c r="N280" i="2" s="1"/>
  <c r="P84" i="2"/>
  <c r="L586" i="2"/>
  <c r="S662" i="2"/>
  <c r="K607" i="2"/>
  <c r="K664" i="2"/>
  <c r="S317" i="2"/>
  <c r="H409" i="2"/>
  <c r="P309" i="2"/>
  <c r="N815" i="2"/>
  <c r="N590" i="2" s="1"/>
  <c r="K818" i="2"/>
  <c r="K548" i="2"/>
  <c r="Q262" i="2"/>
  <c r="I296" i="2"/>
  <c r="R391" i="2"/>
  <c r="J385" i="2"/>
  <c r="Q366" i="2"/>
  <c r="J661" i="2"/>
  <c r="J480" i="2"/>
  <c r="U432" i="2"/>
  <c r="R38" i="2"/>
  <c r="K362" i="2"/>
  <c r="R533" i="2"/>
  <c r="P419" i="2"/>
  <c r="T316" i="2"/>
  <c r="K100" i="2"/>
  <c r="V381" i="2"/>
  <c r="L423" i="2"/>
  <c r="K255" i="2"/>
  <c r="Q385" i="2"/>
  <c r="V305" i="2"/>
  <c r="T32" i="2"/>
  <c r="U652" i="2"/>
  <c r="S656" i="2"/>
  <c r="U660" i="2"/>
  <c r="M525" i="2"/>
  <c r="U659" i="2"/>
  <c r="K600" i="2"/>
  <c r="U553" i="2"/>
  <c r="U296" i="2"/>
  <c r="P76" i="2"/>
  <c r="I248" i="2"/>
  <c r="O153" i="2"/>
  <c r="P487" i="2"/>
  <c r="T214" i="2"/>
  <c r="L91" i="2"/>
  <c r="K295" i="2"/>
  <c r="V312" i="2"/>
  <c r="K10" i="2"/>
  <c r="O138" i="2"/>
  <c r="J483" i="2"/>
  <c r="S133" i="2"/>
  <c r="R54" i="2"/>
  <c r="M661" i="2"/>
  <c r="J533" i="2"/>
  <c r="R423" i="2"/>
  <c r="N661" i="2"/>
  <c r="P548" i="2"/>
  <c r="J141" i="2"/>
  <c r="O488" i="2"/>
  <c r="H375" i="2"/>
  <c r="Q352" i="2"/>
  <c r="J442" i="2"/>
  <c r="O369" i="2"/>
  <c r="U138" i="2"/>
  <c r="O475" i="2"/>
  <c r="S600" i="2"/>
  <c r="L125" i="2"/>
  <c r="R352" i="2"/>
  <c r="R51" i="2"/>
  <c r="S502" i="2"/>
  <c r="Q563" i="2"/>
  <c r="I374" i="2"/>
  <c r="U609" i="2"/>
  <c r="I147" i="2"/>
  <c r="H546" i="2"/>
  <c r="N490" i="2"/>
  <c r="O125" i="2"/>
  <c r="N328" i="2"/>
  <c r="O271" i="2"/>
  <c r="K267" i="2"/>
  <c r="J31" i="2"/>
  <c r="H490" i="2"/>
  <c r="U658" i="2"/>
  <c r="T76" i="2"/>
  <c r="H48" i="2"/>
  <c r="O419" i="2"/>
  <c r="U362" i="2"/>
  <c r="H76" i="2"/>
  <c r="S410" i="2"/>
  <c r="R525" i="2"/>
  <c r="I141" i="2"/>
  <c r="N157" i="2"/>
  <c r="N248" i="2"/>
  <c r="U190" i="2"/>
  <c r="S376" i="2"/>
  <c r="O238" i="2"/>
  <c r="H538" i="2"/>
  <c r="V38" i="2"/>
  <c r="T304" i="2"/>
  <c r="M67" i="2"/>
  <c r="H112" i="2"/>
  <c r="R409" i="2"/>
  <c r="L318" i="2"/>
  <c r="Q495" i="2"/>
  <c r="P181" i="2"/>
  <c r="L607" i="2"/>
  <c r="I247" i="2"/>
  <c r="V467" i="2"/>
  <c r="M664" i="2"/>
  <c r="H259" i="2"/>
  <c r="O487" i="2"/>
  <c r="Q480" i="2"/>
  <c r="U17" i="2"/>
  <c r="K328" i="2"/>
  <c r="M374" i="2"/>
  <c r="Q608" i="2"/>
  <c r="O262" i="2"/>
  <c r="I181" i="2"/>
  <c r="R480" i="2"/>
  <c r="P600" i="2"/>
  <c r="I596" i="2"/>
  <c r="H373" i="2"/>
  <c r="N487" i="2"/>
  <c r="S239" i="2"/>
  <c r="S586" i="2"/>
  <c r="U375" i="2"/>
  <c r="K557" i="2"/>
  <c r="V96" i="2"/>
  <c r="P26" i="2"/>
  <c r="V658" i="2"/>
  <c r="V586" i="2"/>
  <c r="V385" i="2"/>
  <c r="N587" i="2"/>
  <c r="R305" i="2"/>
  <c r="H324" i="2"/>
  <c r="U655" i="2"/>
  <c r="S57" i="2"/>
  <c r="U546" i="2"/>
  <c r="H381" i="2"/>
  <c r="U51" i="2"/>
  <c r="R661" i="2"/>
  <c r="N19" i="2"/>
  <c r="Q489" i="2"/>
  <c r="M533" i="2"/>
  <c r="Q125" i="2"/>
  <c r="H466" i="2"/>
  <c r="Q525" i="2"/>
  <c r="I239" i="2"/>
  <c r="Q615" i="2"/>
  <c r="Q324" i="2"/>
  <c r="T666" i="2"/>
  <c r="P9" i="2"/>
  <c r="U181" i="2"/>
  <c r="J374" i="2"/>
  <c r="I319" i="2"/>
  <c r="V600" i="2"/>
  <c r="T664" i="2"/>
  <c r="U499" i="2"/>
  <c r="U533" i="2"/>
  <c r="J418" i="2"/>
  <c r="L557" i="2"/>
  <c r="N191" i="2"/>
  <c r="T587" i="2"/>
  <c r="R655" i="2"/>
  <c r="P18" i="2"/>
  <c r="R818" i="2"/>
  <c r="N295" i="2"/>
  <c r="S84" i="2"/>
  <c r="K271" i="2"/>
  <c r="O163" i="2"/>
  <c r="L255" i="2"/>
  <c r="U656" i="2"/>
  <c r="V262" i="2"/>
  <c r="O821" i="2"/>
  <c r="O277" i="2" s="1"/>
  <c r="I815" i="2"/>
  <c r="I185" i="2" s="1"/>
  <c r="N190" i="2"/>
  <c r="V609" i="2"/>
  <c r="M524" i="2"/>
  <c r="Q148" i="2"/>
  <c r="M42" i="2"/>
  <c r="V502" i="2"/>
  <c r="N430" i="2"/>
  <c r="U560" i="2"/>
  <c r="V596" i="2"/>
  <c r="S587" i="2"/>
  <c r="V353" i="2"/>
  <c r="I182" i="2"/>
  <c r="S81" i="2"/>
  <c r="S525" i="2"/>
  <c r="K68" i="2"/>
  <c r="S76" i="2"/>
  <c r="K239" i="2"/>
  <c r="N595" i="2"/>
  <c r="Q499" i="2"/>
  <c r="I252" i="2"/>
  <c r="N466" i="2"/>
  <c r="S124" i="2"/>
  <c r="V546" i="2"/>
  <c r="P205" i="2"/>
  <c r="O51" i="2"/>
  <c r="Q373" i="2"/>
  <c r="P239" i="2"/>
  <c r="J309" i="2"/>
  <c r="R369" i="2"/>
  <c r="O38" i="2"/>
  <c r="L385" i="2"/>
  <c r="L262" i="2"/>
  <c r="I622" i="2"/>
  <c r="H610" i="2"/>
  <c r="N361" i="2"/>
  <c r="S296" i="2"/>
  <c r="V252" i="2"/>
  <c r="V295" i="2"/>
  <c r="V607" i="2"/>
  <c r="P100" i="2"/>
  <c r="H141" i="2"/>
  <c r="R659" i="2"/>
  <c r="M316" i="2"/>
  <c r="K553" i="2"/>
  <c r="S261" i="2"/>
  <c r="J596" i="2"/>
  <c r="K495" i="2"/>
  <c r="J821" i="2"/>
  <c r="J448" i="2" s="1"/>
  <c r="U490" i="2"/>
  <c r="L305" i="2"/>
  <c r="O409" i="2"/>
  <c r="I467" i="2"/>
  <c r="J607" i="2"/>
  <c r="J438" i="2"/>
  <c r="S375" i="2"/>
  <c r="O489" i="2"/>
  <c r="T541" i="2"/>
  <c r="H476" i="2"/>
  <c r="V190" i="2"/>
  <c r="N362" i="2"/>
  <c r="M309" i="2"/>
  <c r="I125" i="2"/>
  <c r="N182" i="2"/>
  <c r="S115" i="2"/>
  <c r="V664" i="2"/>
  <c r="L295" i="2"/>
  <c r="O660" i="2"/>
  <c r="J18" i="2"/>
  <c r="L10" i="2"/>
  <c r="L68" i="2"/>
  <c r="U541" i="2"/>
  <c r="T662" i="2"/>
  <c r="Q23" i="2"/>
  <c r="K247" i="2"/>
  <c r="O295" i="2"/>
  <c r="N586" i="2"/>
  <c r="O560" i="2"/>
  <c r="R466" i="2"/>
  <c r="K381" i="2"/>
  <c r="H374" i="2"/>
  <c r="O666" i="2"/>
  <c r="S659" i="2"/>
  <c r="U134" i="2"/>
  <c r="S388" i="2"/>
  <c r="M467" i="2"/>
  <c r="K96" i="2"/>
  <c r="I419" i="2"/>
  <c r="T615" i="2"/>
  <c r="H660" i="2"/>
  <c r="N664" i="2"/>
  <c r="P204" i="2"/>
  <c r="U785" i="2"/>
  <c r="O545" i="2"/>
  <c r="U654" i="2"/>
  <c r="L169" i="2"/>
  <c r="O375" i="2"/>
  <c r="P318" i="2"/>
  <c r="H295" i="2"/>
  <c r="R560" i="2"/>
  <c r="M214" i="2"/>
  <c r="U547" i="2"/>
  <c r="R586" i="2"/>
  <c r="S426" i="2"/>
  <c r="Q815" i="2"/>
  <c r="Q588" i="2" s="1"/>
  <c r="S385" i="2"/>
  <c r="V31" i="2"/>
  <c r="K433" i="2"/>
  <c r="J328" i="2"/>
  <c r="U545" i="2"/>
  <c r="P352" i="2"/>
  <c r="T490" i="2"/>
  <c r="O609" i="2"/>
  <c r="N608" i="2"/>
  <c r="L48" i="2"/>
  <c r="L666" i="2"/>
  <c r="U304" i="2"/>
  <c r="Q610" i="2"/>
  <c r="J476" i="2"/>
  <c r="R247" i="2"/>
  <c r="S353" i="2"/>
  <c r="T499" i="2"/>
  <c r="I821" i="2"/>
  <c r="I505" i="2" s="1"/>
  <c r="J204" i="2"/>
  <c r="Q51" i="2"/>
  <c r="T430" i="2"/>
  <c r="I381" i="2"/>
  <c r="O305" i="2"/>
  <c r="S534" i="2"/>
  <c r="J553" i="2"/>
  <c r="T476" i="2"/>
  <c r="K666" i="2"/>
  <c r="K410" i="2"/>
  <c r="U33" i="2"/>
  <c r="P541" i="2"/>
  <c r="P489" i="2"/>
  <c r="N84" i="2"/>
  <c r="V48" i="2"/>
  <c r="L553" i="2"/>
  <c r="P369" i="2"/>
  <c r="V553" i="2"/>
  <c r="N660" i="2"/>
  <c r="L100" i="2"/>
  <c r="R600" i="2"/>
  <c r="V68" i="2"/>
  <c r="M51" i="2"/>
  <c r="T822" i="2"/>
  <c r="T511" i="2" s="1"/>
  <c r="U318" i="2"/>
  <c r="R541" i="2"/>
  <c r="H67" i="2"/>
  <c r="S182" i="2"/>
  <c r="V134" i="2"/>
  <c r="R410" i="2"/>
  <c r="L42" i="2"/>
  <c r="I106" i="2"/>
  <c r="N195" i="2"/>
  <c r="O239" i="2"/>
  <c r="V785" i="2"/>
  <c r="H239" i="2"/>
  <c r="U423" i="2"/>
  <c r="Q662" i="2"/>
  <c r="H252" i="2"/>
  <c r="Q76" i="2"/>
  <c r="L195" i="2"/>
  <c r="S252" i="2"/>
  <c r="K172" i="2"/>
  <c r="J785" i="2"/>
  <c r="O81" i="2"/>
  <c r="R295" i="2"/>
  <c r="S109" i="2"/>
  <c r="K409" i="2"/>
  <c r="Q547" i="2"/>
  <c r="R442" i="2"/>
  <c r="U166" i="2"/>
  <c r="T376" i="2"/>
  <c r="M656" i="2"/>
  <c r="S373" i="2"/>
  <c r="I608" i="2"/>
  <c r="N125" i="2"/>
  <c r="P560" i="2"/>
  <c r="S77" i="2"/>
  <c r="O361" i="2"/>
  <c r="O32" i="2"/>
  <c r="O495" i="2"/>
  <c r="T409" i="2"/>
  <c r="N274" i="2"/>
  <c r="V146" i="2"/>
  <c r="K476" i="2"/>
  <c r="N375" i="2"/>
  <c r="J295" i="2"/>
  <c r="O490" i="2"/>
  <c r="H388" i="2"/>
  <c r="R9" i="2"/>
  <c r="L600" i="2"/>
  <c r="U125" i="2"/>
  <c r="U247" i="2"/>
  <c r="S112" i="2"/>
  <c r="T661" i="2"/>
  <c r="U172" i="2"/>
  <c r="M381" i="2"/>
  <c r="J319" i="2"/>
  <c r="H366" i="2"/>
  <c r="V109" i="2"/>
  <c r="T68" i="2"/>
  <c r="S238" i="2"/>
  <c r="Q467" i="2"/>
  <c r="Q239" i="2"/>
  <c r="Q247" i="2"/>
  <c r="V823" i="2"/>
  <c r="V286" i="2" s="1"/>
  <c r="H96" i="2"/>
  <c r="N88" i="2"/>
  <c r="U548" i="2"/>
  <c r="M586" i="2"/>
  <c r="K185" i="2"/>
  <c r="Q487" i="2"/>
  <c r="L81" i="2"/>
  <c r="R68" i="2"/>
  <c r="N366" i="2"/>
  <c r="R619" i="2"/>
  <c r="H304" i="2"/>
  <c r="Q147" i="2"/>
  <c r="N304" i="2"/>
  <c r="R31" i="2"/>
  <c r="P10" i="2"/>
  <c r="P361" i="2"/>
  <c r="S666" i="2"/>
  <c r="M815" i="2"/>
  <c r="M354" i="2" s="1"/>
  <c r="R609" i="2"/>
  <c r="I466" i="2"/>
  <c r="R90" i="2"/>
  <c r="T205" i="2"/>
  <c r="J125" i="2"/>
  <c r="L328" i="2"/>
  <c r="N67" i="2"/>
  <c r="J373" i="2"/>
  <c r="U324" i="2"/>
  <c r="U426" i="2"/>
  <c r="H77" i="2"/>
  <c r="I109" i="2"/>
  <c r="S545" i="2"/>
  <c r="I153" i="2"/>
  <c r="Q238" i="2"/>
  <c r="M295" i="2"/>
  <c r="U619" i="2"/>
  <c r="L603" i="2"/>
  <c r="M9" i="2"/>
  <c r="H133" i="2"/>
  <c r="I124" i="2"/>
  <c r="T81" i="2"/>
  <c r="V652" i="2"/>
  <c r="O655" i="2"/>
  <c r="R169" i="2"/>
  <c r="K480" i="2"/>
  <c r="M191" i="2"/>
  <c r="H586" i="2"/>
  <c r="O23" i="2"/>
  <c r="U502" i="2"/>
  <c r="L480" i="2"/>
  <c r="P547" i="2"/>
  <c r="K23" i="2"/>
  <c r="J138" i="2"/>
  <c r="T31" i="2"/>
  <c r="N818" i="2"/>
  <c r="H191" i="2"/>
  <c r="R438" i="2"/>
  <c r="P57" i="2"/>
  <c r="J190" i="2"/>
  <c r="T57" i="2"/>
  <c r="V548" i="2"/>
  <c r="K662" i="2"/>
  <c r="O172" i="2"/>
  <c r="Q134" i="2"/>
  <c r="V662" i="2"/>
  <c r="K38" i="2"/>
  <c r="P77" i="2"/>
  <c r="R112" i="2"/>
  <c r="R190" i="2"/>
  <c r="H615" i="2"/>
  <c r="V818" i="2"/>
  <c r="I487" i="2"/>
  <c r="N10" i="2"/>
  <c r="R610" i="2"/>
  <c r="N524" i="2"/>
  <c r="M304" i="2"/>
  <c r="S785" i="2"/>
  <c r="L191" i="2"/>
  <c r="O169" i="2"/>
  <c r="L815" i="2"/>
  <c r="L299" i="2" s="1"/>
  <c r="J96" i="2"/>
  <c r="T488" i="2"/>
  <c r="S195" i="2"/>
  <c r="S663" i="2"/>
  <c r="S660" i="2"/>
  <c r="I51" i="2"/>
  <c r="O88" i="2"/>
  <c r="O533" i="2"/>
  <c r="K375" i="2"/>
  <c r="K191" i="2"/>
  <c r="I26" i="2"/>
  <c r="S54" i="2"/>
  <c r="K353" i="2"/>
  <c r="N418" i="2"/>
  <c r="S248" i="2"/>
  <c r="T547" i="2"/>
  <c r="S609" i="2"/>
  <c r="U239" i="2"/>
  <c r="L548" i="2"/>
  <c r="M423" i="2"/>
  <c r="R652" i="2"/>
  <c r="R319" i="2"/>
  <c r="M560" i="2"/>
  <c r="P423" i="2"/>
  <c r="S418" i="2"/>
  <c r="L655" i="2"/>
  <c r="O195" i="2"/>
  <c r="M23" i="2"/>
  <c r="O423" i="2"/>
  <c r="L182" i="2"/>
  <c r="Q190" i="2"/>
  <c r="T821" i="2"/>
  <c r="T563" i="2" s="1"/>
  <c r="P89" i="2"/>
  <c r="T77" i="2"/>
  <c r="O442" i="2"/>
  <c r="M157" i="2"/>
  <c r="U112" i="2"/>
  <c r="T419" i="2"/>
  <c r="I423" i="2"/>
  <c r="O656" i="2"/>
  <c r="N553" i="2"/>
  <c r="R502" i="2"/>
  <c r="R146" i="2"/>
  <c r="K821" i="2"/>
  <c r="K505" i="2" s="1"/>
  <c r="M546" i="2"/>
  <c r="U10" i="2"/>
  <c r="U525" i="2"/>
  <c r="K524" i="2"/>
  <c r="K366" i="2"/>
  <c r="T109" i="2"/>
  <c r="M54" i="2"/>
  <c r="V654" i="2"/>
  <c r="P815" i="2"/>
  <c r="P298" i="2" s="1"/>
  <c r="T10" i="2"/>
  <c r="U195" i="2"/>
  <c r="V77" i="2"/>
  <c r="O608" i="2"/>
  <c r="V355" i="2"/>
  <c r="Q785" i="2"/>
  <c r="T124" i="2"/>
  <c r="M195" i="2"/>
  <c r="V54" i="2"/>
  <c r="Q112" i="2"/>
  <c r="Q595" i="2"/>
  <c r="K190" i="2"/>
  <c r="S68" i="2"/>
  <c r="Q505" i="2"/>
  <c r="P19" i="2"/>
  <c r="L430" i="2"/>
  <c r="M655" i="2"/>
  <c r="I488" i="2"/>
  <c r="V70" i="2"/>
  <c r="J343" i="2"/>
  <c r="P545" i="2"/>
  <c r="P112" i="2"/>
  <c r="V90" i="2"/>
  <c r="L541" i="2"/>
  <c r="S476" i="2"/>
  <c r="K655" i="2"/>
  <c r="S822" i="2"/>
  <c r="S283" i="2" s="1"/>
  <c r="J432" i="2"/>
  <c r="S9" i="2"/>
  <c r="V76" i="2"/>
  <c r="P656" i="2"/>
  <c r="K182" i="2"/>
  <c r="P615" i="2"/>
  <c r="V182" i="2"/>
  <c r="K252" i="2"/>
  <c r="T296" i="2"/>
  <c r="J81" i="2"/>
  <c r="L23" i="2"/>
  <c r="S661" i="2"/>
  <c r="V480" i="2"/>
  <c r="U252" i="2"/>
  <c r="M57" i="2"/>
  <c r="S33" i="2"/>
  <c r="K545" i="2"/>
  <c r="Q195" i="2"/>
  <c r="L502" i="2"/>
  <c r="P319" i="2"/>
  <c r="U442" i="2"/>
  <c r="I534" i="2"/>
  <c r="N260" i="2"/>
  <c r="L661" i="2"/>
  <c r="U271" i="2"/>
  <c r="I115" i="2"/>
  <c r="M112" i="2"/>
  <c r="R172" i="2"/>
  <c r="J304" i="2"/>
  <c r="H821" i="2"/>
  <c r="H499" i="2"/>
  <c r="N71" i="2"/>
  <c r="N610" i="2"/>
  <c r="P190" i="2"/>
  <c r="K352" i="2"/>
  <c r="U248" i="2"/>
  <c r="O112" i="2"/>
  <c r="U366" i="2"/>
  <c r="K54" i="2"/>
  <c r="R785" i="2"/>
  <c r="L609" i="2"/>
  <c r="V545" i="2"/>
  <c r="J267" i="2"/>
  <c r="R546" i="2"/>
  <c r="I666" i="2"/>
  <c r="S818" i="2"/>
  <c r="T138" i="2"/>
  <c r="J663" i="2"/>
  <c r="O9" i="2"/>
  <c r="I547" i="2"/>
  <c r="H661" i="2"/>
  <c r="R23" i="2"/>
  <c r="T248" i="2"/>
  <c r="U467" i="2"/>
  <c r="T259" i="2"/>
  <c r="O376" i="2"/>
  <c r="Q181" i="2"/>
  <c r="J68" i="2"/>
  <c r="T823" i="2"/>
  <c r="T572" i="2" s="1"/>
  <c r="N81" i="2"/>
  <c r="M600" i="2"/>
  <c r="I660" i="2"/>
  <c r="T433" i="2"/>
  <c r="P430" i="2"/>
  <c r="V525" i="2"/>
  <c r="O274" i="2"/>
  <c r="J538" i="2"/>
  <c r="M163" i="2"/>
  <c r="M48" i="2"/>
  <c r="H91" i="2"/>
  <c r="S596" i="2"/>
  <c r="N133" i="2"/>
  <c r="R388" i="2"/>
  <c r="P115" i="2"/>
  <c r="P362" i="2"/>
  <c r="N663" i="2"/>
  <c r="U662" i="2"/>
  <c r="P475" i="2"/>
  <c r="M91" i="2"/>
  <c r="S30" i="2"/>
  <c r="I328" i="2"/>
  <c r="V527" i="2"/>
  <c r="J229" i="2"/>
  <c r="Q133" i="2"/>
  <c r="O499" i="2"/>
  <c r="H534" i="2"/>
  <c r="J525" i="2"/>
  <c r="J524" i="2"/>
  <c r="N381" i="2"/>
  <c r="U305" i="2"/>
  <c r="J557" i="2"/>
  <c r="H480" i="2"/>
  <c r="O557" i="2"/>
  <c r="M33" i="2"/>
  <c r="I31" i="2"/>
  <c r="O76" i="2"/>
  <c r="L660" i="2"/>
  <c r="H418" i="2"/>
  <c r="K296" i="2"/>
  <c r="J48" i="2"/>
  <c r="L619" i="2"/>
  <c r="H182" i="2"/>
  <c r="U661" i="2"/>
  <c r="O90" i="2"/>
  <c r="T660" i="2"/>
  <c r="T148" i="2"/>
  <c r="L90" i="2"/>
  <c r="T502" i="2"/>
  <c r="I10" i="2"/>
  <c r="Q353" i="2"/>
  <c r="V23" i="2"/>
  <c r="O480" i="2"/>
  <c r="H296" i="2"/>
  <c r="U438" i="2"/>
  <c r="V469" i="2"/>
  <c r="M548" i="2"/>
  <c r="S823" i="2"/>
  <c r="S457" i="2" s="1"/>
  <c r="H172" i="2"/>
  <c r="P385" i="2"/>
  <c r="J100" i="2"/>
  <c r="O546" i="2"/>
  <c r="H195" i="2"/>
  <c r="T553" i="2"/>
  <c r="N90" i="2"/>
  <c r="T100" i="2"/>
  <c r="K468" i="2"/>
  <c r="I67" i="2"/>
  <c r="H238" i="2"/>
  <c r="K822" i="2"/>
  <c r="K394" i="2" s="1"/>
  <c r="N560" i="2"/>
  <c r="T548" i="2"/>
  <c r="S153" i="2"/>
  <c r="H545" i="2"/>
  <c r="T181" i="2"/>
  <c r="T656" i="2"/>
  <c r="R524" i="2"/>
  <c r="R260" i="2"/>
  <c r="N324" i="2"/>
  <c r="V419" i="2"/>
  <c r="Q182" i="2"/>
  <c r="T353" i="2"/>
  <c r="V138" i="2"/>
  <c r="O366" i="2"/>
  <c r="J134" i="2"/>
  <c r="J109" i="2"/>
  <c r="J366" i="2"/>
  <c r="S304" i="2"/>
  <c r="S595" i="2"/>
  <c r="H309" i="2"/>
  <c r="N547" i="2"/>
  <c r="K546" i="2"/>
  <c r="O247" i="2"/>
  <c r="N376" i="2"/>
  <c r="N423" i="2"/>
  <c r="V488" i="2"/>
  <c r="R248" i="2"/>
  <c r="S125" i="2"/>
  <c r="H18" i="2"/>
  <c r="P373" i="2"/>
  <c r="O67" i="2"/>
  <c r="J660" i="2"/>
  <c r="Q663" i="2"/>
  <c r="M785" i="2"/>
  <c r="V147" i="2"/>
  <c r="V442" i="2"/>
  <c r="R30" i="2"/>
  <c r="M466" i="2"/>
  <c r="L538" i="2"/>
  <c r="V821" i="2"/>
  <c r="V505" i="2" s="1"/>
  <c r="V499" i="2"/>
  <c r="H318" i="2"/>
  <c r="O553" i="2"/>
  <c r="U77" i="2"/>
  <c r="P248" i="2"/>
  <c r="V57" i="2"/>
  <c r="T373" i="2"/>
  <c r="I191" i="2"/>
  <c r="M19" i="2"/>
  <c r="P182" i="2"/>
  <c r="O661" i="2"/>
  <c r="R615" i="2"/>
  <c r="K70" i="2"/>
  <c r="V656" i="2"/>
  <c r="N51" i="2"/>
  <c r="U115" i="2"/>
  <c r="H81" i="2"/>
  <c r="P619" i="2"/>
  <c r="M541" i="2"/>
  <c r="H31" i="2"/>
  <c r="U100" i="2"/>
  <c r="H656" i="2"/>
  <c r="P596" i="2"/>
  <c r="Q19" i="2"/>
  <c r="I548" i="2"/>
  <c r="T622" i="2"/>
  <c r="O525" i="2"/>
  <c r="K124" i="2"/>
  <c r="K248" i="2"/>
  <c r="V328" i="2"/>
  <c r="N662" i="2"/>
  <c r="V660" i="2"/>
  <c r="Q818" i="2"/>
  <c r="S309" i="2"/>
  <c r="K423" i="2"/>
  <c r="J202" i="2"/>
  <c r="J595" i="2"/>
  <c r="I655" i="2"/>
  <c r="J541" i="2"/>
  <c r="H666" i="2"/>
  <c r="N77" i="2"/>
  <c r="S538" i="2"/>
  <c r="I190" i="2"/>
  <c r="I553" i="2"/>
  <c r="U133" i="2"/>
  <c r="O619" i="2"/>
  <c r="S134" i="2"/>
  <c r="V112" i="2"/>
  <c r="S619" i="2"/>
  <c r="P31" i="2"/>
  <c r="H248" i="2"/>
  <c r="M361" i="2"/>
  <c r="I656" i="2"/>
  <c r="I610" i="2"/>
  <c r="I18" i="2"/>
  <c r="M352" i="2"/>
  <c r="O622" i="2"/>
  <c r="L394" i="2"/>
  <c r="T480" i="2"/>
  <c r="L76" i="2"/>
  <c r="M134" i="2"/>
  <c r="R353" i="2"/>
  <c r="O261" i="2"/>
  <c r="T487" i="2"/>
  <c r="P432" i="2"/>
  <c r="M660" i="2"/>
  <c r="S821" i="2"/>
  <c r="S625" i="2" s="1"/>
  <c r="U818" i="2"/>
  <c r="J239" i="2"/>
  <c r="O470" i="2"/>
  <c r="V361" i="2"/>
  <c r="M248" i="2"/>
  <c r="U361" i="2"/>
  <c r="P663" i="2"/>
  <c r="Q304" i="2"/>
  <c r="R181" i="2"/>
  <c r="M100" i="2"/>
  <c r="I369" i="2"/>
  <c r="L409" i="2"/>
  <c r="K547" i="2"/>
  <c r="J33" i="2"/>
  <c r="Q423" i="2"/>
  <c r="I133" i="2"/>
  <c r="J181" i="2"/>
  <c r="Q545" i="2"/>
  <c r="R125" i="2"/>
  <c r="K660" i="2"/>
  <c r="O54" i="2"/>
  <c r="I664" i="2"/>
  <c r="I557" i="2"/>
  <c r="K538" i="2"/>
  <c r="R182" i="2"/>
  <c r="K661" i="2"/>
  <c r="K76" i="2"/>
  <c r="P81" i="2"/>
  <c r="V374" i="2"/>
  <c r="V19" i="2"/>
  <c r="L67" i="2"/>
  <c r="S191" i="2"/>
  <c r="Q430" i="2"/>
  <c r="S318" i="2"/>
  <c r="Q596" i="2"/>
  <c r="I366" i="2"/>
  <c r="O476" i="2"/>
  <c r="Q81" i="2"/>
  <c r="S271" i="2"/>
  <c r="N655" i="2"/>
  <c r="I195" i="2"/>
  <c r="U663" i="2"/>
  <c r="N112" i="2"/>
  <c r="L172" i="2"/>
  <c r="R660" i="2"/>
  <c r="S548" i="2"/>
  <c r="N356" i="2"/>
  <c r="H23" i="2"/>
  <c r="M369" i="2"/>
  <c r="S90" i="2"/>
  <c r="T295" i="2"/>
  <c r="I661" i="2"/>
  <c r="J361" i="2"/>
  <c r="N181" i="2"/>
  <c r="T366" i="2"/>
  <c r="L376" i="2"/>
  <c r="H600" i="2"/>
  <c r="M823" i="2"/>
  <c r="M457" i="2" s="1"/>
  <c r="V655" i="2"/>
  <c r="K91" i="2"/>
  <c r="Q295" i="2"/>
  <c r="Q67" i="2"/>
  <c r="S324" i="2"/>
  <c r="R815" i="2"/>
  <c r="R71" i="2" s="1"/>
  <c r="P433" i="2"/>
  <c r="Q490" i="2"/>
  <c r="Q210" i="2"/>
  <c r="H42" i="2"/>
  <c r="K823" i="2"/>
  <c r="K229" i="2" s="1"/>
  <c r="U419" i="2"/>
  <c r="R109" i="2"/>
  <c r="O109" i="2"/>
  <c r="K467" i="2"/>
  <c r="Q655" i="2"/>
  <c r="P785" i="2"/>
  <c r="N541" i="2"/>
  <c r="J548" i="2"/>
  <c r="N432" i="2"/>
  <c r="L524" i="2"/>
  <c r="O133" i="2"/>
  <c r="O10" i="2"/>
  <c r="R822" i="2"/>
  <c r="R631" i="2" s="1"/>
  <c r="K418" i="2"/>
  <c r="O541" i="2"/>
  <c r="M68" i="2"/>
  <c r="N354" i="2"/>
  <c r="N9" i="2"/>
  <c r="K596" i="2"/>
  <c r="Q109" i="2"/>
  <c r="O534" i="2"/>
  <c r="U418" i="2"/>
  <c r="U210" i="2"/>
  <c r="R195" i="2"/>
  <c r="L397" i="2"/>
  <c r="I388" i="2"/>
  <c r="V547" i="2"/>
  <c r="R106" i="2"/>
  <c r="L210" i="2"/>
  <c r="V466" i="2"/>
  <c r="P295" i="2"/>
  <c r="V533" i="2"/>
  <c r="T252" i="2"/>
  <c r="M125" i="2"/>
  <c r="H663" i="2"/>
  <c r="M663" i="2"/>
  <c r="N656" i="2"/>
  <c r="L663" i="2"/>
  <c r="P451" i="2"/>
  <c r="U309" i="2"/>
  <c r="U815" i="2"/>
  <c r="U69" i="2" s="1"/>
  <c r="V423" i="2"/>
  <c r="T133" i="2"/>
  <c r="J545" i="2"/>
  <c r="V413" i="2"/>
  <c r="N255" i="2"/>
  <c r="H655" i="2"/>
  <c r="O466" i="2"/>
  <c r="V88" i="2"/>
  <c r="L115" i="2"/>
  <c r="K502" i="2"/>
  <c r="M430" i="2"/>
  <c r="Q475" i="2"/>
  <c r="J822" i="2"/>
  <c r="J451" i="2" s="1"/>
  <c r="V9" i="2"/>
  <c r="H89" i="2"/>
  <c r="V26" i="2"/>
  <c r="U595" i="2"/>
  <c r="I533" i="2"/>
  <c r="M109" i="2"/>
  <c r="T815" i="2"/>
  <c r="T413" i="2" s="1"/>
  <c r="P823" i="2"/>
  <c r="P400" i="2" s="1"/>
  <c r="J560" i="2"/>
  <c r="T524" i="2"/>
  <c r="R134" i="2"/>
  <c r="O662" i="2"/>
  <c r="T309" i="2"/>
  <c r="I23" i="2"/>
  <c r="R76" i="2"/>
  <c r="K309" i="2"/>
  <c r="S615" i="2"/>
  <c r="L361" i="2"/>
  <c r="L138" i="2"/>
  <c r="R654" i="2"/>
  <c r="I134" i="2"/>
  <c r="H262" i="2"/>
  <c r="V587" i="2"/>
  <c r="V191" i="2"/>
  <c r="J172" i="2"/>
  <c r="P418" i="2"/>
  <c r="K411" i="2"/>
  <c r="K109" i="2"/>
  <c r="H467" i="2"/>
  <c r="N299" i="2"/>
  <c r="V145" i="2"/>
  <c r="T557" i="2"/>
  <c r="L134" i="2"/>
  <c r="Q141" i="2"/>
  <c r="N527" i="2"/>
  <c r="M190" i="2"/>
  <c r="V248" i="2"/>
  <c r="Q419" i="2"/>
  <c r="H423" i="2"/>
  <c r="K526" i="2"/>
  <c r="K663" i="2"/>
  <c r="P238" i="2"/>
  <c r="R432" i="2"/>
  <c r="R77" i="2"/>
  <c r="L190" i="2"/>
  <c r="T195" i="2"/>
  <c r="L77" i="2"/>
  <c r="I172" i="2"/>
  <c r="K586" i="2"/>
  <c r="L587" i="2"/>
  <c r="J572" i="2"/>
  <c r="I238" i="2"/>
  <c r="U822" i="2"/>
  <c r="U226" i="2" s="1"/>
  <c r="M182" i="2"/>
  <c r="I81" i="2"/>
  <c r="Q553" i="2"/>
  <c r="O182" i="2"/>
  <c r="L248" i="2"/>
  <c r="S557" i="2"/>
  <c r="T125" i="2"/>
  <c r="M181" i="2"/>
  <c r="T467" i="2"/>
  <c r="N409" i="2"/>
  <c r="S214" i="2"/>
  <c r="O607" i="2"/>
  <c r="Q822" i="2"/>
  <c r="Q394" i="2" s="1"/>
  <c r="M483" i="2"/>
  <c r="M475" i="2"/>
  <c r="U23" i="2"/>
  <c r="N205" i="2"/>
  <c r="P23" i="2"/>
  <c r="L374" i="2"/>
  <c r="S366" i="2"/>
  <c r="U54" i="2"/>
  <c r="N343" i="2"/>
  <c r="T600" i="2"/>
  <c r="M238" i="2"/>
  <c r="M18" i="2"/>
  <c r="I528" i="2"/>
  <c r="S533" i="2"/>
  <c r="S262" i="2"/>
  <c r="V631" i="2"/>
  <c r="P546" i="2"/>
  <c r="N588" i="2"/>
  <c r="O191" i="2"/>
  <c r="R418" i="2"/>
  <c r="V324" i="2"/>
  <c r="L163" i="2"/>
  <c r="H32" i="2"/>
  <c r="S67" i="2"/>
  <c r="H352" i="2"/>
  <c r="P662" i="2"/>
  <c r="Q538" i="2"/>
  <c r="U538" i="2"/>
  <c r="N622" i="2"/>
  <c r="K238" i="2"/>
  <c r="P538" i="2"/>
  <c r="Q661" i="2"/>
  <c r="T328" i="2"/>
  <c r="Q533" i="2"/>
  <c r="O454" i="2"/>
  <c r="O298" i="2"/>
  <c r="V376" i="2"/>
  <c r="V409" i="2"/>
  <c r="R10" i="2"/>
  <c r="N374" i="2"/>
  <c r="N468" i="2"/>
  <c r="K304" i="2"/>
  <c r="L569" i="2"/>
  <c r="T362" i="2"/>
  <c r="K31" i="2"/>
  <c r="L545" i="2"/>
  <c r="H9" i="2"/>
  <c r="V560" i="2"/>
  <c r="S51" i="2"/>
  <c r="H419" i="2"/>
  <c r="L133" i="2"/>
  <c r="J106" i="2"/>
  <c r="N634" i="2"/>
  <c r="T418" i="2"/>
  <c r="P821" i="2"/>
  <c r="P563" i="2" s="1"/>
  <c r="N229" i="2"/>
  <c r="I546" i="2"/>
  <c r="Q9" i="2"/>
  <c r="Q426" i="2"/>
  <c r="L419" i="2"/>
  <c r="T204" i="2"/>
  <c r="P280" i="2"/>
  <c r="K30" i="2"/>
  <c r="K26" i="2"/>
  <c r="L353" i="2"/>
  <c r="N172" i="2"/>
  <c r="U385" i="2"/>
  <c r="O68" i="2"/>
  <c r="J656" i="2"/>
  <c r="K77" i="2"/>
  <c r="R252" i="2"/>
  <c r="V184" i="2"/>
  <c r="S489" i="2"/>
  <c r="K9" i="2"/>
  <c r="N353" i="2"/>
  <c r="N128" i="2"/>
  <c r="P566" i="2"/>
  <c r="N785" i="2"/>
  <c r="J362" i="2"/>
  <c r="U57" i="2"/>
  <c r="S608" i="2"/>
  <c r="U572" i="2"/>
  <c r="K115" i="2"/>
  <c r="H596" i="2"/>
  <c r="I538" i="2"/>
  <c r="R475" i="2"/>
  <c r="I662" i="2"/>
  <c r="N546" i="2"/>
  <c r="L476" i="2"/>
  <c r="O352" i="2"/>
  <c r="T595" i="2"/>
  <c r="M622" i="2"/>
  <c r="V17" i="2"/>
  <c r="I19" i="2"/>
  <c r="U466" i="2"/>
  <c r="J124" i="2"/>
  <c r="T274" i="2"/>
  <c r="R538" i="2"/>
  <c r="M821" i="2"/>
  <c r="R115" i="2"/>
  <c r="K305" i="2"/>
  <c r="S480" i="2"/>
  <c r="P340" i="2"/>
  <c r="T18" i="2"/>
  <c r="J818" i="2"/>
  <c r="H109" i="2"/>
  <c r="P33" i="2"/>
  <c r="K125" i="2"/>
  <c r="I524" i="2"/>
  <c r="S547" i="2"/>
  <c r="V589" i="2"/>
  <c r="U96" i="2"/>
  <c r="S654" i="2"/>
  <c r="L296" i="2"/>
  <c r="L547" i="2"/>
  <c r="J400" i="2"/>
  <c r="K541" i="2"/>
  <c r="N391" i="2"/>
  <c r="H525" i="2"/>
  <c r="Q656" i="2"/>
  <c r="S546" i="2"/>
  <c r="S423" i="2"/>
  <c r="J662" i="2"/>
  <c r="V661" i="2"/>
  <c r="J666" i="2"/>
  <c r="T737" i="2"/>
  <c r="R57" i="2"/>
  <c r="R328" i="2"/>
  <c r="T318" i="2"/>
  <c r="U18" i="2"/>
  <c r="V595" i="2"/>
  <c r="L410" i="2"/>
  <c r="N340" i="2"/>
  <c r="L487" i="2"/>
  <c r="O589" i="2"/>
  <c r="T438" i="2"/>
  <c r="P54" i="2"/>
  <c r="H548" i="2"/>
  <c r="R534" i="2"/>
  <c r="I112" i="2"/>
  <c r="R664" i="2"/>
  <c r="N239" i="2"/>
  <c r="H26" i="2"/>
  <c r="H190" i="2"/>
  <c r="I785" i="2"/>
  <c r="R238" i="2"/>
  <c r="H664" i="2"/>
  <c r="L664" i="2"/>
  <c r="R587" i="2"/>
  <c r="K525" i="2"/>
  <c r="M172" i="2"/>
  <c r="J600" i="2"/>
  <c r="K81" i="2"/>
  <c r="R361" i="2"/>
  <c r="Q317" i="2"/>
  <c r="N318" i="2"/>
  <c r="K18" i="2"/>
  <c r="T609" i="2"/>
  <c r="S488" i="2"/>
  <c r="L239" i="2"/>
  <c r="J247" i="2"/>
  <c r="O548" i="2"/>
  <c r="V366" i="2"/>
  <c r="I214" i="2"/>
  <c r="T546" i="2"/>
  <c r="V394" i="2"/>
  <c r="M255" i="2"/>
  <c r="L352" i="2"/>
  <c r="T361" i="2"/>
  <c r="I545" i="2"/>
  <c r="T112" i="2"/>
  <c r="O823" i="2"/>
  <c r="O514" i="2" s="1"/>
  <c r="R67" i="2"/>
  <c r="Q312" i="2"/>
  <c r="Q166" i="2"/>
  <c r="Q652" i="2"/>
  <c r="Q198" i="2"/>
  <c r="S172" i="2"/>
  <c r="J182" i="2"/>
  <c r="I318" i="2"/>
  <c r="M362" i="2"/>
  <c r="H134" i="2"/>
  <c r="J547" i="2"/>
  <c r="M438" i="2"/>
  <c r="K274" i="2"/>
  <c r="R557" i="2"/>
  <c r="V172" i="2"/>
  <c r="I600" i="2"/>
  <c r="P524" i="2"/>
  <c r="V475" i="2"/>
  <c r="Q409" i="2"/>
  <c r="V352" i="2"/>
  <c r="O547" i="2"/>
  <c r="N600" i="2"/>
  <c r="H210" i="2"/>
  <c r="K588" i="2"/>
  <c r="T466" i="2"/>
  <c r="L252" i="2"/>
  <c r="U557" i="2"/>
  <c r="P134" i="2"/>
  <c r="J67" i="2"/>
  <c r="M252" i="2"/>
  <c r="Q54" i="2"/>
  <c r="I438" i="2"/>
  <c r="R18" i="2"/>
  <c r="I88" i="2"/>
  <c r="U596" i="2"/>
  <c r="L818" i="2"/>
  <c r="T247" i="2"/>
  <c r="Q191" i="2"/>
  <c r="I409" i="2"/>
  <c r="T33" i="2"/>
  <c r="H823" i="2"/>
  <c r="H634" i="2" s="1"/>
  <c r="H475" i="2"/>
  <c r="I490" i="2"/>
  <c r="K112" i="2"/>
  <c r="P631" i="2"/>
  <c r="K656" i="2"/>
  <c r="L451" i="2"/>
  <c r="R563" i="2"/>
  <c r="T67" i="2"/>
  <c r="Q305" i="2"/>
  <c r="T51" i="2"/>
  <c r="P260" i="2"/>
  <c r="K560" i="2"/>
  <c r="N106" i="2"/>
  <c r="M419" i="2"/>
  <c r="I822" i="2"/>
  <c r="I511" i="2" s="1"/>
  <c r="V659" i="2"/>
  <c r="S26" i="2"/>
  <c r="N309" i="2"/>
  <c r="P480" i="2"/>
  <c r="Q466" i="2"/>
  <c r="O337" i="2"/>
  <c r="L821" i="2"/>
  <c r="L563" i="2" s="1"/>
  <c r="I309" i="2"/>
  <c r="H560" i="2"/>
  <c r="I663" i="2"/>
  <c r="L54" i="2"/>
  <c r="L546" i="2"/>
  <c r="H51" i="2"/>
  <c r="M666" i="2"/>
  <c r="V51" i="2"/>
  <c r="S490" i="2"/>
  <c r="S89" i="2"/>
  <c r="O296" i="2"/>
  <c r="R823" i="2"/>
  <c r="R572" i="2" s="1"/>
  <c r="H68" i="2"/>
  <c r="K589" i="2"/>
  <c r="H815" i="2"/>
  <c r="H590" i="2" s="1"/>
  <c r="T663" i="2"/>
  <c r="N538" i="2"/>
  <c r="Q654" i="2"/>
  <c r="Q146" i="2"/>
  <c r="S815" i="2"/>
  <c r="S12" i="2" s="1"/>
  <c r="T534" i="2"/>
  <c r="L454" i="2"/>
  <c r="V524" i="2"/>
  <c r="N400" i="2"/>
  <c r="V185" i="2"/>
  <c r="K466" i="2"/>
  <c r="N238" i="2"/>
  <c r="J248" i="2"/>
  <c r="J381" i="2"/>
  <c r="V541" i="2"/>
  <c r="N505" i="2"/>
  <c r="Q823" i="2"/>
  <c r="N480" i="2"/>
  <c r="T340" i="2"/>
  <c r="S23" i="2"/>
  <c r="V528" i="2"/>
  <c r="P655" i="2"/>
  <c r="U124" i="2"/>
  <c r="Q369" i="2"/>
  <c r="N545" i="2"/>
  <c r="K499" i="2"/>
  <c r="N433" i="2"/>
  <c r="N185" i="2"/>
  <c r="N589" i="2"/>
  <c r="O309" i="2"/>
  <c r="U373" i="2"/>
  <c r="I9" i="2"/>
  <c r="N548" i="2"/>
  <c r="R100" i="2"/>
  <c r="H260" i="2"/>
  <c r="Q557" i="2"/>
  <c r="P533" i="2"/>
  <c r="I138" i="2"/>
  <c r="P666" i="2"/>
  <c r="Q57" i="2"/>
  <c r="N508" i="2"/>
  <c r="U328" i="2"/>
  <c r="K13" i="2"/>
  <c r="H553" i="2"/>
  <c r="R239" i="2"/>
  <c r="V337" i="2"/>
  <c r="S524" i="2"/>
  <c r="L106" i="2"/>
  <c r="P660" i="2"/>
  <c r="N100" i="2"/>
  <c r="S603" i="2"/>
  <c r="N355" i="2"/>
  <c r="Q534" i="2"/>
  <c r="L181" i="2"/>
  <c r="R316" i="2"/>
  <c r="J375" i="2"/>
  <c r="Q296" i="2"/>
  <c r="P397" i="2"/>
  <c r="J77" i="2"/>
  <c r="I818" i="2"/>
  <c r="J195" i="2"/>
  <c r="U42" i="2"/>
  <c r="S18" i="2"/>
  <c r="J19" i="2"/>
  <c r="J286" i="2"/>
  <c r="N134" i="2"/>
  <c r="I411" i="2"/>
  <c r="Q361" i="2"/>
  <c r="I54" i="2"/>
  <c r="U409" i="2"/>
  <c r="R133" i="2"/>
  <c r="N38" i="2"/>
  <c r="H547" i="2"/>
  <c r="L656" i="2"/>
  <c r="M138" i="2"/>
  <c r="H511" i="2"/>
  <c r="S138" i="2"/>
  <c r="R138" i="2"/>
  <c r="H10" i="2"/>
  <c r="L488" i="2"/>
  <c r="O353" i="2"/>
  <c r="H106" i="2"/>
  <c r="V566" i="2"/>
  <c r="N298" i="2"/>
  <c r="O610" i="2"/>
  <c r="O410" i="2"/>
  <c r="M81" i="2"/>
  <c r="Q126" i="2"/>
  <c r="Q203" i="2"/>
  <c r="L823" i="2"/>
  <c r="L634" i="2" s="1"/>
  <c r="U89" i="2"/>
  <c r="K298" i="2"/>
  <c r="U109" i="2"/>
  <c r="M106" i="2"/>
  <c r="J115" i="2"/>
  <c r="I77" i="2"/>
  <c r="N442" i="2"/>
  <c r="V356" i="2"/>
  <c r="J815" i="2"/>
  <c r="J13" i="2" s="1"/>
  <c r="O57" i="2"/>
  <c r="L238" i="2"/>
  <c r="V490" i="2"/>
  <c r="Q666" i="2"/>
  <c r="U81" i="2"/>
  <c r="K533" i="2"/>
  <c r="I385" i="2"/>
  <c r="I541" i="2"/>
  <c r="Q145" i="2"/>
  <c r="O318" i="2"/>
  <c r="S541" i="2"/>
  <c r="T26" i="2"/>
  <c r="S475" i="2"/>
  <c r="P271" i="2"/>
  <c r="L30" i="2"/>
  <c r="H30" i="2"/>
  <c r="T190" i="2"/>
  <c r="P587" i="2"/>
  <c r="J466" i="2"/>
  <c r="L9" i="2"/>
  <c r="J51" i="2"/>
  <c r="R317" i="2"/>
  <c r="Q431" i="2"/>
  <c r="R548" i="2"/>
  <c r="S190" i="2"/>
  <c r="P557" i="2"/>
  <c r="M822" i="2"/>
  <c r="Q659" i="2"/>
  <c r="N534" i="2"/>
  <c r="Q476" i="2"/>
  <c r="R318" i="2"/>
  <c r="K475" i="2"/>
  <c r="U32" i="2"/>
  <c r="L622" i="2"/>
  <c r="I823" i="2"/>
  <c r="I400" i="2" s="1"/>
  <c r="N54" i="2"/>
  <c r="J32" i="2"/>
  <c r="V369" i="2"/>
  <c r="H488" i="2"/>
  <c r="U476" i="2"/>
  <c r="Q10" i="2"/>
  <c r="T239" i="2"/>
  <c r="I169" i="2"/>
  <c r="N385" i="2"/>
  <c r="H541" i="2"/>
  <c r="J664" i="2"/>
  <c r="K595" i="2"/>
  <c r="L467" i="2"/>
  <c r="N252" i="2"/>
  <c r="S655" i="2"/>
  <c r="T54" i="2"/>
  <c r="J587" i="2"/>
  <c r="O267" i="2"/>
  <c r="N666" i="2"/>
  <c r="S181" i="2"/>
  <c r="J514" i="2"/>
  <c r="O508" i="2"/>
  <c r="N11" i="2"/>
  <c r="P252" i="2"/>
  <c r="Q248" i="2"/>
  <c r="R666" i="2"/>
  <c r="O663" i="2"/>
  <c r="V557" i="2"/>
  <c r="T545" i="2"/>
  <c r="K12" i="2"/>
  <c r="Q18" i="2"/>
  <c r="H19" i="2"/>
  <c r="O124" i="2"/>
  <c r="M557" i="2"/>
  <c r="J296" i="2"/>
  <c r="P818" i="2"/>
  <c r="R271" i="2"/>
  <c r="R663" i="2"/>
  <c r="P317" i="2"/>
  <c r="P312" i="2"/>
  <c r="P426" i="2"/>
  <c r="P654" i="2"/>
  <c r="P431" i="2"/>
  <c r="K486" i="2"/>
  <c r="K491" i="2" s="1"/>
  <c r="N152" i="2"/>
  <c r="N154" i="2" s="1"/>
  <c r="O606" i="2"/>
  <c r="O201" i="2"/>
  <c r="H486" i="2"/>
  <c r="M934" i="2"/>
  <c r="M935" i="2" s="1"/>
  <c r="M936" i="2" s="1"/>
  <c r="M331" i="2" s="1"/>
  <c r="R494" i="2"/>
  <c r="R496" i="2" s="1"/>
  <c r="O258" i="2"/>
  <c r="N437" i="2"/>
  <c r="N439" i="2" s="1"/>
  <c r="U372" i="2"/>
  <c r="M258" i="2"/>
  <c r="M263" i="2" s="1"/>
  <c r="M594" i="2"/>
  <c r="M597" i="2" s="1"/>
  <c r="I594" i="2"/>
  <c r="I597" i="2" s="1"/>
  <c r="P144" i="2"/>
  <c r="H312" i="2"/>
  <c r="T934" i="2"/>
  <c r="T935" i="2" s="1"/>
  <c r="T936" i="2" s="1"/>
  <c r="T331" i="2" s="1"/>
  <c r="U144" i="2"/>
  <c r="U149" i="2" s="1"/>
  <c r="P258" i="2"/>
  <c r="U315" i="2"/>
  <c r="U320" i="2" s="1"/>
  <c r="U201" i="2"/>
  <c r="U206" i="2" s="1"/>
  <c r="M606" i="2"/>
  <c r="M611" i="2" s="1"/>
  <c r="M494" i="2"/>
  <c r="M496" i="2" s="1"/>
  <c r="R920" i="2"/>
  <c r="R921" i="2" s="1"/>
  <c r="R922" i="2" s="1"/>
  <c r="R160" i="2" s="1"/>
  <c r="O884" i="2"/>
  <c r="O885" i="2" s="1"/>
  <c r="O886" i="2" s="1"/>
  <c r="O180" i="2" s="1"/>
  <c r="O614" i="2"/>
  <c r="O616" i="2" s="1"/>
  <c r="U429" i="2"/>
  <c r="U434" i="2" s="1"/>
  <c r="N606" i="2"/>
  <c r="R486" i="2"/>
  <c r="R491" i="2" s="1"/>
  <c r="I465" i="2"/>
  <c r="P913" i="2"/>
  <c r="P914" i="2" s="1"/>
  <c r="P915" i="2" s="1"/>
  <c r="P103" i="2" s="1"/>
  <c r="K532" i="2"/>
  <c r="M870" i="2"/>
  <c r="M871" i="2" s="1"/>
  <c r="M872" i="2" s="1"/>
  <c r="M66" i="2" s="1"/>
  <c r="Q437" i="2"/>
  <c r="Q439" i="2" s="1"/>
  <c r="R95" i="2"/>
  <c r="R97" i="2" s="1"/>
  <c r="N209" i="2"/>
  <c r="N211" i="2" s="1"/>
  <c r="H315" i="2"/>
  <c r="J372" i="2"/>
  <c r="M906" i="2"/>
  <c r="M907" i="2" s="1"/>
  <c r="M908" i="2" s="1"/>
  <c r="M45" i="2" s="1"/>
  <c r="N429" i="2"/>
  <c r="O898" i="2"/>
  <c r="O899" i="2" s="1"/>
  <c r="O900" i="2" s="1"/>
  <c r="N29" i="2"/>
  <c r="N34" i="2" s="1"/>
  <c r="I29" i="2"/>
  <c r="H152" i="2"/>
  <c r="H154" i="2" s="1"/>
  <c r="K380" i="2"/>
  <c r="J494" i="2"/>
  <c r="J496" i="2" s="1"/>
  <c r="L544" i="2"/>
  <c r="L920" i="2"/>
  <c r="L921" i="2" s="1"/>
  <c r="L922" i="2" s="1"/>
  <c r="L160" i="2" s="1"/>
  <c r="P884" i="2"/>
  <c r="P885" i="2" s="1"/>
  <c r="P886" i="2" s="1"/>
  <c r="P180" i="2" s="1"/>
  <c r="J29" i="2"/>
  <c r="J360" i="2"/>
  <c r="U266" i="2"/>
  <c r="U268" i="2" s="1"/>
  <c r="Q201" i="2"/>
  <c r="L532" i="2"/>
  <c r="L535" i="2" s="1"/>
  <c r="M246" i="2"/>
  <c r="M237" i="2"/>
  <c r="P532" i="2"/>
  <c r="J380" i="2"/>
  <c r="P494" i="2"/>
  <c r="P496" i="2" s="1"/>
  <c r="S494" i="2"/>
  <c r="S496" i="2" s="1"/>
  <c r="S209" i="2"/>
  <c r="S211" i="2" s="1"/>
  <c r="N144" i="2"/>
  <c r="O266" i="2"/>
  <c r="S544" i="2"/>
  <c r="H144" i="2"/>
  <c r="S152" i="2"/>
  <c r="O37" i="2"/>
  <c r="O39" i="2" s="1"/>
  <c r="L594" i="2"/>
  <c r="L597" i="2" s="1"/>
  <c r="U87" i="2"/>
  <c r="U877" i="2"/>
  <c r="U878" i="2" s="1"/>
  <c r="U879" i="2" s="1"/>
  <c r="U123" i="2" s="1"/>
  <c r="I614" i="2"/>
  <c r="I616" i="2" s="1"/>
  <c r="T37" i="2"/>
  <c r="T39" i="2" s="1"/>
  <c r="K913" i="2"/>
  <c r="K914" i="2" s="1"/>
  <c r="K915" i="2" s="1"/>
  <c r="K103" i="2" s="1"/>
  <c r="M941" i="2"/>
  <c r="M942" i="2" s="1"/>
  <c r="M943" i="2" s="1"/>
  <c r="M445" i="2" s="1"/>
  <c r="P266" i="2"/>
  <c r="P268" i="2" s="1"/>
  <c r="Q417" i="2"/>
  <c r="V144" i="2"/>
  <c r="J152" i="2"/>
  <c r="J154" i="2" s="1"/>
  <c r="T437" i="2"/>
  <c r="K29" i="2"/>
  <c r="P372" i="2"/>
  <c r="L614" i="2"/>
  <c r="L616" i="2" s="1"/>
  <c r="S144" i="2"/>
  <c r="S149" i="2" s="1"/>
  <c r="J863" i="2"/>
  <c r="J864" i="2" s="1"/>
  <c r="J865" i="2" s="1"/>
  <c r="J8" i="2" s="1"/>
  <c r="N913" i="2"/>
  <c r="N914" i="2" s="1"/>
  <c r="N915" i="2" s="1"/>
  <c r="N103" i="2" s="1"/>
  <c r="H474" i="2"/>
  <c r="M372" i="2"/>
  <c r="T544" i="2"/>
  <c r="V152" i="2"/>
  <c r="V154" i="2" s="1"/>
  <c r="U417" i="2"/>
  <c r="P29" i="2"/>
  <c r="U95" i="2"/>
  <c r="H429" i="2"/>
  <c r="P898" i="2"/>
  <c r="P899" i="2" s="1"/>
  <c r="P900" i="2" s="1"/>
  <c r="T209" i="2"/>
  <c r="T211" i="2" s="1"/>
  <c r="O144" i="2"/>
  <c r="N863" i="2"/>
  <c r="N864" i="2" s="1"/>
  <c r="N865" i="2" s="1"/>
  <c r="N8" i="2" s="1"/>
  <c r="R906" i="2"/>
  <c r="R907" i="2" s="1"/>
  <c r="R908" i="2" s="1"/>
  <c r="R45" i="2" s="1"/>
  <c r="J870" i="2"/>
  <c r="J871" i="2" s="1"/>
  <c r="J872" i="2" s="1"/>
  <c r="J66" i="2" s="1"/>
  <c r="V532" i="2"/>
  <c r="P429" i="2"/>
  <c r="H906" i="2"/>
  <c r="H907" i="2" s="1"/>
  <c r="H908" i="2" s="1"/>
  <c r="H45" i="2" s="1"/>
  <c r="P95" i="2"/>
  <c r="P97" i="2" s="1"/>
  <c r="P75" i="2"/>
  <c r="P78" i="2" s="1"/>
  <c r="V606" i="2"/>
  <c r="V611" i="2" s="1"/>
  <c r="S87" i="2"/>
  <c r="Q884" i="2"/>
  <c r="Q885" i="2" s="1"/>
  <c r="Q886" i="2" s="1"/>
  <c r="Q180" i="2" s="1"/>
  <c r="K594" i="2"/>
  <c r="L315" i="2"/>
  <c r="M532" i="2"/>
  <c r="M535" i="2" s="1"/>
  <c r="U323" i="2"/>
  <c r="K941" i="2"/>
  <c r="K942" i="2" s="1"/>
  <c r="K943" i="2" s="1"/>
  <c r="K445" i="2" s="1"/>
  <c r="L927" i="2"/>
  <c r="L928" i="2" s="1"/>
  <c r="L929" i="2" s="1"/>
  <c r="L217" i="2" s="1"/>
  <c r="S863" i="2"/>
  <c r="S864" i="2" s="1"/>
  <c r="S865" i="2" s="1"/>
  <c r="S8" i="2" s="1"/>
  <c r="L360" i="2"/>
  <c r="S372" i="2"/>
  <c r="S377" i="2" s="1"/>
  <c r="I95" i="2"/>
  <c r="I97" i="2" s="1"/>
  <c r="T315" i="2"/>
  <c r="K934" i="2"/>
  <c r="K935" i="2" s="1"/>
  <c r="K936" i="2" s="1"/>
  <c r="K331" i="2" s="1"/>
  <c r="T474" i="2"/>
  <c r="T477" i="2" s="1"/>
  <c r="S29" i="2"/>
  <c r="V544" i="2"/>
  <c r="J486" i="2"/>
  <c r="J491" i="2" s="1"/>
  <c r="N898" i="2"/>
  <c r="N899" i="2" s="1"/>
  <c r="N900" i="2" s="1"/>
  <c r="N408" i="2" s="1"/>
  <c r="R863" i="2"/>
  <c r="R864" i="2" s="1"/>
  <c r="R865" i="2" s="1"/>
  <c r="R8" i="2" s="1"/>
  <c r="O372" i="2"/>
  <c r="H201" i="2"/>
  <c r="N474" i="2"/>
  <c r="N477" i="2" s="1"/>
  <c r="O474" i="2"/>
  <c r="L95" i="2"/>
  <c r="L97" i="2" s="1"/>
  <c r="I654" i="2"/>
  <c r="N920" i="2"/>
  <c r="N921" i="2" s="1"/>
  <c r="N922" i="2" s="1"/>
  <c r="N160" i="2" s="1"/>
  <c r="L351" i="2"/>
  <c r="N75" i="2"/>
  <c r="L258" i="2"/>
  <c r="N266" i="2"/>
  <c r="N268" i="2" s="1"/>
  <c r="S927" i="2"/>
  <c r="S928" i="2" s="1"/>
  <c r="S929" i="2" s="1"/>
  <c r="S217" i="2" s="1"/>
  <c r="O552" i="2"/>
  <c r="Q486" i="2"/>
  <c r="S360" i="2"/>
  <c r="S363" i="2" s="1"/>
  <c r="H266" i="2"/>
  <c r="H268" i="2" s="1"/>
  <c r="O870" i="2"/>
  <c r="O871" i="2" s="1"/>
  <c r="O872" i="2" s="1"/>
  <c r="O66" i="2" s="1"/>
  <c r="K614" i="2"/>
  <c r="K616" i="2" s="1"/>
  <c r="K426" i="2"/>
  <c r="M201" i="2"/>
  <c r="N877" i="2"/>
  <c r="N878" i="2" s="1"/>
  <c r="N879" i="2" s="1"/>
  <c r="N123" i="2" s="1"/>
  <c r="R360" i="2"/>
  <c r="R898" i="2"/>
  <c r="R899" i="2" s="1"/>
  <c r="R900" i="2" s="1"/>
  <c r="R408" i="2" s="1"/>
  <c r="T799" i="2"/>
  <c r="K877" i="2"/>
  <c r="K878" i="2" s="1"/>
  <c r="K879" i="2" s="1"/>
  <c r="K123" i="2" s="1"/>
  <c r="L494" i="2"/>
  <c r="L496" i="2" s="1"/>
  <c r="J75" i="2"/>
  <c r="V29" i="2"/>
  <c r="V34" i="2" s="1"/>
  <c r="J927" i="2"/>
  <c r="J928" i="2" s="1"/>
  <c r="J929" i="2" s="1"/>
  <c r="J217" i="2" s="1"/>
  <c r="Q927" i="2"/>
  <c r="Q928" i="2" s="1"/>
  <c r="Q929" i="2" s="1"/>
  <c r="Q217" i="2" s="1"/>
  <c r="T323" i="2"/>
  <c r="T325" i="2" s="1"/>
  <c r="H552" i="2"/>
  <c r="S898" i="2"/>
  <c r="S899" i="2" s="1"/>
  <c r="S900" i="2" s="1"/>
  <c r="S408" i="2" s="1"/>
  <c r="U486" i="2"/>
  <c r="V594" i="2"/>
  <c r="I209" i="2"/>
  <c r="I211" i="2" s="1"/>
  <c r="T17" i="2"/>
  <c r="N315" i="2"/>
  <c r="J594" i="2"/>
  <c r="M884" i="2"/>
  <c r="M885" i="2" s="1"/>
  <c r="M886" i="2" s="1"/>
  <c r="M180" i="2" s="1"/>
  <c r="Q494" i="2"/>
  <c r="Q496" i="2" s="1"/>
  <c r="H870" i="2"/>
  <c r="H871" i="2" s="1"/>
  <c r="H872" i="2" s="1"/>
  <c r="H66" i="2" s="1"/>
  <c r="O941" i="2"/>
  <c r="O942" i="2" s="1"/>
  <c r="O943" i="2" s="1"/>
  <c r="O445" i="2" s="1"/>
  <c r="Q209" i="2"/>
  <c r="T891" i="2"/>
  <c r="T892" i="2" s="1"/>
  <c r="T893" i="2" s="1"/>
  <c r="T294" i="2" s="1"/>
  <c r="M891" i="2"/>
  <c r="M892" i="2" s="1"/>
  <c r="M893" i="2" s="1"/>
  <c r="M294" i="2" s="1"/>
  <c r="U258" i="2"/>
  <c r="U263" i="2" s="1"/>
  <c r="M429" i="2"/>
  <c r="H323" i="2"/>
  <c r="H325" i="2" s="1"/>
  <c r="L317" i="2"/>
  <c r="N544" i="2"/>
  <c r="K906" i="2"/>
  <c r="K907" i="2" s="1"/>
  <c r="K908" i="2" s="1"/>
  <c r="K45" i="2" s="1"/>
  <c r="K246" i="2"/>
  <c r="O323" i="2"/>
  <c r="O325" i="2" s="1"/>
  <c r="V37" i="2"/>
  <c r="V39" i="2" s="1"/>
  <c r="N532" i="2"/>
  <c r="H941" i="2"/>
  <c r="H942" i="2" s="1"/>
  <c r="H943" i="2" s="1"/>
  <c r="H445" i="2" s="1"/>
  <c r="T654" i="2"/>
  <c r="R201" i="2"/>
  <c r="R206" i="2" s="1"/>
  <c r="R941" i="2"/>
  <c r="R942" i="2" s="1"/>
  <c r="R943" i="2" s="1"/>
  <c r="R445" i="2" s="1"/>
  <c r="S532" i="2"/>
  <c r="P606" i="2"/>
  <c r="P611" i="2" s="1"/>
  <c r="T941" i="2"/>
  <c r="T942" i="2" s="1"/>
  <c r="T943" i="2" s="1"/>
  <c r="T445" i="2" s="1"/>
  <c r="U941" i="2"/>
  <c r="U942" i="2" s="1"/>
  <c r="U943" i="2" s="1"/>
  <c r="U445" i="2" s="1"/>
  <c r="H494" i="2"/>
  <c r="H496" i="2" s="1"/>
  <c r="R380" i="2"/>
  <c r="R382" i="2" s="1"/>
  <c r="T614" i="2"/>
  <c r="T616" i="2" s="1"/>
  <c r="K437" i="2"/>
  <c r="K439" i="2" s="1"/>
  <c r="J144" i="2"/>
  <c r="K884" i="2"/>
  <c r="K885" i="2" s="1"/>
  <c r="K886" i="2" s="1"/>
  <c r="K180" i="2" s="1"/>
  <c r="J934" i="2"/>
  <c r="J935" i="2" s="1"/>
  <c r="J936" i="2" s="1"/>
  <c r="J331" i="2" s="1"/>
  <c r="Q323" i="2"/>
  <c r="Q325" i="2" s="1"/>
  <c r="T201" i="2"/>
  <c r="K209" i="2"/>
  <c r="K211" i="2" s="1"/>
  <c r="H258" i="2"/>
  <c r="J941" i="2"/>
  <c r="J942" i="2" s="1"/>
  <c r="J943" i="2" s="1"/>
  <c r="J445" i="2" s="1"/>
  <c r="S941" i="2"/>
  <c r="S942" i="2" s="1"/>
  <c r="S943" i="2" s="1"/>
  <c r="S445" i="2" s="1"/>
  <c r="L552" i="2"/>
  <c r="L554" i="2" s="1"/>
  <c r="O891" i="2"/>
  <c r="O892" i="2" s="1"/>
  <c r="O893" i="2" s="1"/>
  <c r="O294" i="2" s="1"/>
  <c r="I906" i="2"/>
  <c r="I907" i="2" s="1"/>
  <c r="I908" i="2" s="1"/>
  <c r="I45" i="2" s="1"/>
  <c r="O87" i="2"/>
  <c r="O92" i="2" s="1"/>
  <c r="P323" i="2"/>
  <c r="P325" i="2" s="1"/>
  <c r="I494" i="2"/>
  <c r="I496" i="2" s="1"/>
  <c r="R429" i="2"/>
  <c r="J429" i="2"/>
  <c r="Q941" i="2"/>
  <c r="Q942" i="2" s="1"/>
  <c r="Q943" i="2" s="1"/>
  <c r="Q445" i="2" s="1"/>
  <c r="Q920" i="2"/>
  <c r="Q921" i="2" s="1"/>
  <c r="Q922" i="2" s="1"/>
  <c r="Q160" i="2" s="1"/>
  <c r="Q934" i="2"/>
  <c r="Q935" i="2" s="1"/>
  <c r="Q936" i="2" s="1"/>
  <c r="Q331" i="2" s="1"/>
  <c r="T913" i="2"/>
  <c r="T914" i="2" s="1"/>
  <c r="T915" i="2" s="1"/>
  <c r="T103" i="2" s="1"/>
  <c r="L209" i="2"/>
  <c r="V246" i="2"/>
  <c r="I898" i="2"/>
  <c r="I899" i="2" s="1"/>
  <c r="I900" i="2" s="1"/>
  <c r="I408" i="2" s="1"/>
  <c r="T312" i="2"/>
  <c r="O920" i="2"/>
  <c r="O921" i="2" s="1"/>
  <c r="O922" i="2" s="1"/>
  <c r="O160" i="2" s="1"/>
  <c r="M465" i="2"/>
  <c r="M87" i="2"/>
  <c r="M92" i="2" s="1"/>
  <c r="Q877" i="2"/>
  <c r="Q878" i="2" s="1"/>
  <c r="Q879" i="2" s="1"/>
  <c r="Q123" i="2" s="1"/>
  <c r="M317" i="2"/>
  <c r="K258" i="2"/>
  <c r="K263" i="2" s="1"/>
  <c r="U606" i="2"/>
  <c r="U611" i="2" s="1"/>
  <c r="H146" i="2"/>
  <c r="R877" i="2"/>
  <c r="R878" i="2" s="1"/>
  <c r="R879" i="2" s="1"/>
  <c r="R123" i="2" s="1"/>
  <c r="P906" i="2"/>
  <c r="P907" i="2" s="1"/>
  <c r="P908" i="2" s="1"/>
  <c r="P45" i="2" s="1"/>
  <c r="R144" i="2"/>
  <c r="R149" i="2" s="1"/>
  <c r="T906" i="2"/>
  <c r="T907" i="2" s="1"/>
  <c r="T908" i="2" s="1"/>
  <c r="T45" i="2" s="1"/>
  <c r="H606" i="2"/>
  <c r="H611" i="2" s="1"/>
  <c r="L144" i="2"/>
  <c r="K17" i="2"/>
  <c r="R189" i="2"/>
  <c r="O237" i="2"/>
  <c r="T431" i="2"/>
  <c r="R37" i="2"/>
  <c r="R39" i="2" s="1"/>
  <c r="U303" i="2"/>
  <c r="S323" i="2"/>
  <c r="H927" i="2"/>
  <c r="H928" i="2" s="1"/>
  <c r="H929" i="2" s="1"/>
  <c r="H217" i="2" s="1"/>
  <c r="I144" i="2"/>
  <c r="Q237" i="2"/>
  <c r="G90" i="2"/>
  <c r="O152" i="2"/>
  <c r="O154" i="2" s="1"/>
  <c r="O863" i="2"/>
  <c r="O864" i="2" s="1"/>
  <c r="O865" i="2" s="1"/>
  <c r="O8" i="2" s="1"/>
  <c r="U29" i="2"/>
  <c r="N494" i="2"/>
  <c r="N496" i="2" s="1"/>
  <c r="U920" i="2"/>
  <c r="U921" i="2" s="1"/>
  <c r="U922" i="2" s="1"/>
  <c r="U160" i="2" s="1"/>
  <c r="P891" i="2"/>
  <c r="P892" i="2" s="1"/>
  <c r="P893" i="2" s="1"/>
  <c r="P294" i="2" s="1"/>
  <c r="S465" i="2"/>
  <c r="U863" i="2"/>
  <c r="U864" i="2" s="1"/>
  <c r="U865" i="2" s="1"/>
  <c r="U8" i="2" s="1"/>
  <c r="L29" i="2"/>
  <c r="J920" i="2"/>
  <c r="J921" i="2" s="1"/>
  <c r="J922" i="2" s="1"/>
  <c r="J160" i="2" s="1"/>
  <c r="I941" i="2"/>
  <c r="I942" i="2" s="1"/>
  <c r="I943" i="2" s="1"/>
  <c r="I445" i="2" s="1"/>
  <c r="K201" i="2"/>
  <c r="L486" i="2"/>
  <c r="J312" i="2"/>
  <c r="L913" i="2"/>
  <c r="L914" i="2" s="1"/>
  <c r="L915" i="2" s="1"/>
  <c r="L103" i="2" s="1"/>
  <c r="R323" i="2"/>
  <c r="R325" i="2" s="1"/>
  <c r="V209" i="2"/>
  <c r="V211" i="2" s="1"/>
  <c r="R913" i="2"/>
  <c r="R914" i="2" s="1"/>
  <c r="R915" i="2" s="1"/>
  <c r="R103" i="2" s="1"/>
  <c r="R258" i="2"/>
  <c r="M95" i="2"/>
  <c r="M97" i="2" s="1"/>
  <c r="H317" i="2"/>
  <c r="R303" i="2"/>
  <c r="R306" i="2" s="1"/>
  <c r="I884" i="2"/>
  <c r="I885" i="2" s="1"/>
  <c r="I886" i="2" s="1"/>
  <c r="I180" i="2" s="1"/>
  <c r="O246" i="2"/>
  <c r="O437" i="2"/>
  <c r="O439" i="2" s="1"/>
  <c r="O494" i="2"/>
  <c r="O496" i="2" s="1"/>
  <c r="J315" i="2"/>
  <c r="I532" i="2"/>
  <c r="V189" i="2"/>
  <c r="V486" i="2"/>
  <c r="G586" i="2"/>
  <c r="P941" i="2"/>
  <c r="P942" i="2" s="1"/>
  <c r="P943" i="2" s="1"/>
  <c r="P445" i="2" s="1"/>
  <c r="N654" i="2"/>
  <c r="L126" i="2"/>
  <c r="S913" i="2"/>
  <c r="S914" i="2" s="1"/>
  <c r="S915" i="2" s="1"/>
  <c r="S103" i="2" s="1"/>
  <c r="N941" i="2"/>
  <c r="N942" i="2" s="1"/>
  <c r="N943" i="2" s="1"/>
  <c r="N445" i="2" s="1"/>
  <c r="I934" i="2"/>
  <c r="I935" i="2" s="1"/>
  <c r="I936" i="2" s="1"/>
  <c r="I331" i="2" s="1"/>
  <c r="O913" i="2"/>
  <c r="O914" i="2" s="1"/>
  <c r="O915" i="2" s="1"/>
  <c r="O103" i="2" s="1"/>
  <c r="T927" i="2"/>
  <c r="T928" i="2" s="1"/>
  <c r="T929" i="2" s="1"/>
  <c r="T217" i="2" s="1"/>
  <c r="T75" i="2"/>
  <c r="T78" i="2" s="1"/>
  <c r="V870" i="2"/>
  <c r="V871" i="2" s="1"/>
  <c r="V872" i="2" s="1"/>
  <c r="S315" i="2"/>
  <c r="Q594" i="2"/>
  <c r="Q597" i="2" s="1"/>
  <c r="Q372" i="2"/>
  <c r="Q377" i="2" s="1"/>
  <c r="Q95" i="2"/>
  <c r="Q97" i="2" s="1"/>
  <c r="K927" i="2"/>
  <c r="K928" i="2" s="1"/>
  <c r="K929" i="2" s="1"/>
  <c r="K217" i="2" s="1"/>
  <c r="S95" i="2"/>
  <c r="S97" i="2" s="1"/>
  <c r="U380" i="2"/>
  <c r="U382" i="2" s="1"/>
  <c r="I544" i="2"/>
  <c r="V585" i="2"/>
  <c r="O75" i="2"/>
  <c r="O78" i="2" s="1"/>
  <c r="G499" i="2"/>
  <c r="M486" i="2"/>
  <c r="M491" i="2" s="1"/>
  <c r="H29" i="2"/>
  <c r="I913" i="2"/>
  <c r="I914" i="2" s="1"/>
  <c r="I915" i="2" s="1"/>
  <c r="I103" i="2" s="1"/>
  <c r="K126" i="2"/>
  <c r="I17" i="2"/>
  <c r="H431" i="2"/>
  <c r="J898" i="2"/>
  <c r="J899" i="2" s="1"/>
  <c r="J900" i="2" s="1"/>
  <c r="J408" i="2" s="1"/>
  <c r="K152" i="2"/>
  <c r="K154" i="2" s="1"/>
  <c r="K87" i="2"/>
  <c r="K372" i="2"/>
  <c r="T360" i="2"/>
  <c r="K606" i="2"/>
  <c r="K611" i="2" s="1"/>
  <c r="R17" i="2"/>
  <c r="P246" i="2"/>
  <c r="R75" i="2"/>
  <c r="V437" i="2"/>
  <c r="V439" i="2" s="1"/>
  <c r="K303" i="2"/>
  <c r="R152" i="2"/>
  <c r="R154" i="2" s="1"/>
  <c r="S585" i="2"/>
  <c r="L380" i="2"/>
  <c r="L382" i="2" s="1"/>
  <c r="K144" i="2"/>
  <c r="K898" i="2"/>
  <c r="K899" i="2" s="1"/>
  <c r="K900" i="2" s="1"/>
  <c r="K408" i="2" s="1"/>
  <c r="J614" i="2"/>
  <c r="J616" i="2" s="1"/>
  <c r="H37" i="2"/>
  <c r="H39" i="2" s="1"/>
  <c r="R585" i="2"/>
  <c r="G429" i="2"/>
  <c r="O417" i="2"/>
  <c r="O420" i="2" s="1"/>
  <c r="I201" i="2"/>
  <c r="K37" i="2"/>
  <c r="K39" i="2" s="1"/>
  <c r="K351" i="2"/>
  <c r="R614" i="2"/>
  <c r="G419" i="2"/>
  <c r="S474" i="2"/>
  <c r="N372" i="2"/>
  <c r="L372" i="2"/>
  <c r="O380" i="2"/>
  <c r="O382" i="2" s="1"/>
  <c r="I246" i="2"/>
  <c r="I249" i="2" s="1"/>
  <c r="Q258" i="2"/>
  <c r="Q263" i="2" s="1"/>
  <c r="K360" i="2"/>
  <c r="K363" i="2" s="1"/>
  <c r="M266" i="2"/>
  <c r="M268" i="2" s="1"/>
  <c r="N884" i="2"/>
  <c r="N885" i="2" s="1"/>
  <c r="N886" i="2" s="1"/>
  <c r="N180" i="2" s="1"/>
  <c r="T863" i="2"/>
  <c r="T864" i="2" s="1"/>
  <c r="T865" i="2" s="1"/>
  <c r="T8" i="2" s="1"/>
  <c r="P927" i="2"/>
  <c r="P928" i="2" s="1"/>
  <c r="P929" i="2" s="1"/>
  <c r="P217" i="2" s="1"/>
  <c r="I891" i="2"/>
  <c r="I892" i="2" s="1"/>
  <c r="I893" i="2" s="1"/>
  <c r="I294" i="2" s="1"/>
  <c r="V429" i="2"/>
  <c r="V434" i="2" s="1"/>
  <c r="I87" i="2"/>
  <c r="U552" i="2"/>
  <c r="U554" i="2" s="1"/>
  <c r="G369" i="2"/>
  <c r="H303" i="2"/>
  <c r="H306" i="2" s="1"/>
  <c r="U898" i="2"/>
  <c r="U899" i="2" s="1"/>
  <c r="U900" i="2" s="1"/>
  <c r="U408" i="2" s="1"/>
  <c r="O29" i="2"/>
  <c r="O34" i="2" s="1"/>
  <c r="O95" i="2"/>
  <c r="O97" i="2" s="1"/>
  <c r="S437" i="2"/>
  <c r="S439" i="2" s="1"/>
  <c r="V920" i="2"/>
  <c r="V921" i="2" s="1"/>
  <c r="R266" i="2"/>
  <c r="R268" i="2" s="1"/>
  <c r="L237" i="2"/>
  <c r="T144" i="2"/>
  <c r="J906" i="2"/>
  <c r="J907" i="2" s="1"/>
  <c r="J908" i="2" s="1"/>
  <c r="J45" i="2" s="1"/>
  <c r="T246" i="2"/>
  <c r="T303" i="2"/>
  <c r="T306" i="2" s="1"/>
  <c r="O532" i="2"/>
  <c r="N465" i="2"/>
  <c r="H246" i="2"/>
  <c r="R891" i="2"/>
  <c r="R892" i="2" s="1"/>
  <c r="R893" i="2" s="1"/>
  <c r="R294" i="2" s="1"/>
  <c r="I152" i="2"/>
  <c r="I154" i="2" s="1"/>
  <c r="S552" i="2"/>
  <c r="S554" i="2" s="1"/>
  <c r="U544" i="2"/>
  <c r="U549" i="2" s="1"/>
  <c r="O594" i="2"/>
  <c r="O597" i="2" s="1"/>
  <c r="I146" i="2"/>
  <c r="U594" i="2"/>
  <c r="U189" i="2"/>
  <c r="U192" i="2" s="1"/>
  <c r="H920" i="2"/>
  <c r="H921" i="2" s="1"/>
  <c r="H922" i="2" s="1"/>
  <c r="H160" i="2" s="1"/>
  <c r="V494" i="2"/>
  <c r="V496" i="2" s="1"/>
  <c r="G259" i="2"/>
  <c r="W259" i="2" s="1"/>
  <c r="X259" i="2" s="1"/>
  <c r="Y259" i="2" s="1"/>
  <c r="N594" i="2"/>
  <c r="N597" i="2" s="1"/>
  <c r="G318" i="2"/>
  <c r="I360" i="2"/>
  <c r="I363" i="2" s="1"/>
  <c r="G385" i="2"/>
  <c r="S906" i="2"/>
  <c r="S907" i="2" s="1"/>
  <c r="S908" i="2" s="1"/>
  <c r="S45" i="2" s="1"/>
  <c r="M863" i="2"/>
  <c r="M864" i="2" s="1"/>
  <c r="M865" i="2" s="1"/>
  <c r="M8" i="2" s="1"/>
  <c r="G248" i="2"/>
  <c r="T380" i="2"/>
  <c r="T382" i="2" s="1"/>
  <c r="V87" i="2"/>
  <c r="V92" i="2" s="1"/>
  <c r="K654" i="2"/>
  <c r="U474" i="2"/>
  <c r="R465" i="2"/>
  <c r="S920" i="2"/>
  <c r="S921" i="2" s="1"/>
  <c r="S922" i="2" s="1"/>
  <c r="S160" i="2" s="1"/>
  <c r="M380" i="2"/>
  <c r="M382" i="2" s="1"/>
  <c r="O934" i="2"/>
  <c r="O935" i="2" s="1"/>
  <c r="O936" i="2" s="1"/>
  <c r="O331" i="2" s="1"/>
  <c r="M877" i="2"/>
  <c r="M878" i="2" s="1"/>
  <c r="M879" i="2" s="1"/>
  <c r="M123" i="2" s="1"/>
  <c r="K552" i="2"/>
  <c r="K554" i="2" s="1"/>
  <c r="P417" i="2"/>
  <c r="T532" i="2"/>
  <c r="U934" i="2"/>
  <c r="U935" i="2" s="1"/>
  <c r="U936" i="2" s="1"/>
  <c r="U331" i="2" s="1"/>
  <c r="J474" i="2"/>
  <c r="J477" i="2" s="1"/>
  <c r="J37" i="2"/>
  <c r="J39" i="2" s="1"/>
  <c r="S891" i="2"/>
  <c r="S892" i="2" s="1"/>
  <c r="S893" i="2" s="1"/>
  <c r="S294" i="2" s="1"/>
  <c r="L17" i="2"/>
  <c r="L20" i="2" s="1"/>
  <c r="L658" i="2" s="1"/>
  <c r="Q17" i="2"/>
  <c r="I877" i="2"/>
  <c r="I878" i="2" s="1"/>
  <c r="I879" i="2" s="1"/>
  <c r="I123" i="2" s="1"/>
  <c r="K494" i="2"/>
  <c r="K496" i="2" s="1"/>
  <c r="U351" i="2"/>
  <c r="V417" i="2"/>
  <c r="V420" i="2" s="1"/>
  <c r="M152" i="2"/>
  <c r="M154" i="2" s="1"/>
  <c r="T870" i="2"/>
  <c r="T871" i="2" s="1"/>
  <c r="T872" i="2" s="1"/>
  <c r="T66" i="2" s="1"/>
  <c r="I429" i="2"/>
  <c r="G426" i="2"/>
  <c r="P474" i="2"/>
  <c r="P477" i="2" s="1"/>
  <c r="R246" i="2"/>
  <c r="R249" i="2" s="1"/>
  <c r="V651" i="2"/>
  <c r="Q898" i="2"/>
  <c r="Q899" i="2" s="1"/>
  <c r="Q900" i="2" s="1"/>
  <c r="Q408" i="2" s="1"/>
  <c r="G487" i="2"/>
  <c r="V552" i="2"/>
  <c r="V554" i="2" s="1"/>
  <c r="H380" i="2"/>
  <c r="H382" i="2" s="1"/>
  <c r="S75" i="2"/>
  <c r="S78" i="2" s="1"/>
  <c r="I474" i="2"/>
  <c r="I477" i="2" s="1"/>
  <c r="Q891" i="2"/>
  <c r="Q892" i="2" s="1"/>
  <c r="Q893" i="2" s="1"/>
  <c r="Q294" i="2" s="1"/>
  <c r="V258" i="2"/>
  <c r="V263" i="2" s="1"/>
  <c r="G476" i="2"/>
  <c r="S258" i="2"/>
  <c r="S201" i="2"/>
  <c r="S206" i="2" s="1"/>
  <c r="T486" i="2"/>
  <c r="G303" i="2"/>
  <c r="O360" i="2"/>
  <c r="O363" i="2" s="1"/>
  <c r="R552" i="2"/>
  <c r="R554" i="2" s="1"/>
  <c r="H87" i="2"/>
  <c r="G324" i="2"/>
  <c r="G48" i="2"/>
  <c r="N380" i="2"/>
  <c r="N382" i="2" s="1"/>
  <c r="Q380" i="2"/>
  <c r="Q382" i="2" s="1"/>
  <c r="K544" i="2"/>
  <c r="Q152" i="2"/>
  <c r="Q154" i="2" s="1"/>
  <c r="J532" i="2"/>
  <c r="J535" i="2" s="1"/>
  <c r="S17" i="2"/>
  <c r="R870" i="2"/>
  <c r="R871" i="2" s="1"/>
  <c r="R872" i="2" s="1"/>
  <c r="R66" i="2" s="1"/>
  <c r="H877" i="2"/>
  <c r="H878" i="2" s="1"/>
  <c r="H879" i="2" s="1"/>
  <c r="H123" i="2" s="1"/>
  <c r="T884" i="2"/>
  <c r="T885" i="2" s="1"/>
  <c r="T886" i="2" s="1"/>
  <c r="T180" i="2" s="1"/>
  <c r="P552" i="2"/>
  <c r="P554" i="2" s="1"/>
  <c r="S417" i="2"/>
  <c r="S420" i="2" s="1"/>
  <c r="I920" i="2"/>
  <c r="I921" i="2" s="1"/>
  <c r="I922" i="2" s="1"/>
  <c r="I160" i="2" s="1"/>
  <c r="U360" i="2"/>
  <c r="U363" i="2" s="1"/>
  <c r="G148" i="2"/>
  <c r="W148" i="2" s="1"/>
  <c r="X148" i="2" s="1"/>
  <c r="Y148" i="2" s="1"/>
  <c r="M29" i="2"/>
  <c r="M34" i="2" s="1"/>
  <c r="V132" i="2"/>
  <c r="V135" i="2" s="1"/>
  <c r="P380" i="2"/>
  <c r="P382" i="2" s="1"/>
  <c r="L431" i="2"/>
  <c r="Q315" i="2"/>
  <c r="L152" i="2"/>
  <c r="L154" i="2" s="1"/>
  <c r="Q144" i="2"/>
  <c r="R29" i="2"/>
  <c r="R34" i="2" s="1"/>
  <c r="O315" i="2"/>
  <c r="G260" i="2"/>
  <c r="K95" i="2"/>
  <c r="K97" i="2" s="1"/>
  <c r="P17" i="2"/>
  <c r="P20" i="2" s="1"/>
  <c r="P658" i="2" s="1"/>
  <c r="P877" i="2"/>
  <c r="P878" i="2" s="1"/>
  <c r="P879" i="2" s="1"/>
  <c r="P123" i="2" s="1"/>
  <c r="N360" i="2"/>
  <c r="N363" i="2" s="1"/>
  <c r="S486" i="2"/>
  <c r="M927" i="2"/>
  <c r="M928" i="2" s="1"/>
  <c r="M929" i="2" s="1"/>
  <c r="M217" i="2" s="1"/>
  <c r="H652" i="2"/>
  <c r="M898" i="2"/>
  <c r="M899" i="2" s="1"/>
  <c r="M900" i="2" s="1"/>
  <c r="M408" i="2" s="1"/>
  <c r="T429" i="2"/>
  <c r="L87" i="2"/>
  <c r="L92" i="2" s="1"/>
  <c r="V877" i="2"/>
  <c r="V878" i="2" s="1"/>
  <c r="V879" i="2" s="1"/>
  <c r="V882" i="2" s="1"/>
  <c r="N426" i="2"/>
  <c r="H166" i="2"/>
  <c r="P920" i="2"/>
  <c r="P921" i="2" s="1"/>
  <c r="P922" i="2" s="1"/>
  <c r="P160" i="2" s="1"/>
  <c r="S594" i="2"/>
  <c r="S597" i="2" s="1"/>
  <c r="J544" i="2"/>
  <c r="G502" i="2"/>
  <c r="Q429" i="2"/>
  <c r="R606" i="2"/>
  <c r="R611" i="2" s="1"/>
  <c r="V237" i="2"/>
  <c r="R209" i="2"/>
  <c r="R211" i="2" s="1"/>
  <c r="M920" i="2"/>
  <c r="M921" i="2" s="1"/>
  <c r="M922" i="2" s="1"/>
  <c r="M160" i="2" s="1"/>
  <c r="J606" i="2"/>
  <c r="J611" i="2" s="1"/>
  <c r="O877" i="2"/>
  <c r="O878" i="2" s="1"/>
  <c r="O879" i="2" s="1"/>
  <c r="O123" i="2" s="1"/>
  <c r="L877" i="2"/>
  <c r="L878" i="2" s="1"/>
  <c r="L879" i="2" s="1"/>
  <c r="L123" i="2" s="1"/>
  <c r="U799" i="2"/>
  <c r="K317" i="2"/>
  <c r="L75" i="2"/>
  <c r="N246" i="2"/>
  <c r="N249" i="2" s="1"/>
  <c r="J246" i="2"/>
  <c r="N317" i="2"/>
  <c r="T266" i="2"/>
  <c r="T268" i="2" s="1"/>
  <c r="G547" i="2"/>
  <c r="P87" i="2"/>
  <c r="R594" i="2"/>
  <c r="R597" i="2" s="1"/>
  <c r="K266" i="2"/>
  <c r="K268" i="2" s="1"/>
  <c r="U891" i="2"/>
  <c r="U892" i="2" s="1"/>
  <c r="U893" i="2" s="1"/>
  <c r="U294" i="2" s="1"/>
  <c r="V95" i="2"/>
  <c r="V97" i="2" s="1"/>
  <c r="G274" i="2"/>
  <c r="S189" i="2"/>
  <c r="K315" i="2"/>
  <c r="R417" i="2"/>
  <c r="R420" i="2" s="1"/>
  <c r="J877" i="2"/>
  <c r="J878" i="2" s="1"/>
  <c r="J879" i="2" s="1"/>
  <c r="J123" i="2" s="1"/>
  <c r="U75" i="2"/>
  <c r="S37" i="2"/>
  <c r="S39" i="2" s="1"/>
  <c r="H237" i="2"/>
  <c r="Q606" i="2"/>
  <c r="Q611" i="2" s="1"/>
  <c r="L870" i="2"/>
  <c r="L871" i="2" s="1"/>
  <c r="L872" i="2" s="1"/>
  <c r="L66" i="2" s="1"/>
  <c r="H75" i="2"/>
  <c r="H78" i="2" s="1"/>
  <c r="V303" i="2"/>
  <c r="V306" i="2" s="1"/>
  <c r="U906" i="2"/>
  <c r="U907" i="2" s="1"/>
  <c r="U908" i="2" s="1"/>
  <c r="U45" i="2" s="1"/>
  <c r="Q863" i="2"/>
  <c r="Q864" i="2" s="1"/>
  <c r="Q865" i="2" s="1"/>
  <c r="Q8" i="2" s="1"/>
  <c r="Q37" i="2"/>
  <c r="Q39" i="2" s="1"/>
  <c r="P934" i="2"/>
  <c r="P935" i="2" s="1"/>
  <c r="P936" i="2" s="1"/>
  <c r="P331" i="2" s="1"/>
  <c r="O927" i="2"/>
  <c r="O928" i="2" s="1"/>
  <c r="O929" i="2" s="1"/>
  <c r="O217" i="2" s="1"/>
  <c r="H351" i="2"/>
  <c r="T87" i="2"/>
  <c r="T92" i="2" s="1"/>
  <c r="L659" i="2"/>
  <c r="U523" i="2"/>
  <c r="H145" i="2"/>
  <c r="R372" i="2"/>
  <c r="R377" i="2" s="1"/>
  <c r="H594" i="2"/>
  <c r="R474" i="2"/>
  <c r="L884" i="2"/>
  <c r="L885" i="2" s="1"/>
  <c r="L886" i="2" s="1"/>
  <c r="L180" i="2" s="1"/>
  <c r="G533" i="2"/>
  <c r="G606" i="2"/>
  <c r="G353" i="2"/>
  <c r="T372" i="2"/>
  <c r="I258" i="2"/>
  <c r="I263" i="2" s="1"/>
  <c r="Q465" i="2"/>
  <c r="H891" i="2"/>
  <c r="H892" i="2" s="1"/>
  <c r="H893" i="2" s="1"/>
  <c r="H294" i="2" s="1"/>
  <c r="U651" i="2"/>
  <c r="T594" i="2"/>
  <c r="T597" i="2" s="1"/>
  <c r="H532" i="2"/>
  <c r="H535" i="2" s="1"/>
  <c r="P614" i="2"/>
  <c r="P616" i="2" s="1"/>
  <c r="H465" i="2"/>
  <c r="S303" i="2"/>
  <c r="I315" i="2"/>
  <c r="U246" i="2"/>
  <c r="U249" i="2" s="1"/>
  <c r="T523" i="2"/>
  <c r="L941" i="2"/>
  <c r="L942" i="2" s="1"/>
  <c r="L943" i="2" s="1"/>
  <c r="L445" i="2" s="1"/>
  <c r="N659" i="2"/>
  <c r="H426" i="2"/>
  <c r="U927" i="2"/>
  <c r="U928" i="2" s="1"/>
  <c r="U929" i="2" s="1"/>
  <c r="U217" i="2" s="1"/>
  <c r="T223" i="2"/>
  <c r="I606" i="2"/>
  <c r="I611" i="2" s="1"/>
  <c r="S934" i="2"/>
  <c r="S935" i="2" s="1"/>
  <c r="S936" i="2" s="1"/>
  <c r="S331" i="2" s="1"/>
  <c r="R437" i="2"/>
  <c r="R439" i="2" s="1"/>
  <c r="J654" i="2"/>
  <c r="G544" i="2"/>
  <c r="H654" i="2"/>
  <c r="G488" i="2"/>
  <c r="M144" i="2"/>
  <c r="N351" i="2"/>
  <c r="V323" i="2"/>
  <c r="G409" i="2"/>
  <c r="L323" i="2"/>
  <c r="L325" i="2" s="1"/>
  <c r="H17" i="2"/>
  <c r="L417" i="2"/>
  <c r="L420" i="2" s="1"/>
  <c r="K474" i="2"/>
  <c r="G109" i="2"/>
  <c r="J95" i="2"/>
  <c r="J97" i="2" s="1"/>
  <c r="G437" i="2"/>
  <c r="I652" i="2"/>
  <c r="O486" i="2"/>
  <c r="O491" i="2" s="1"/>
  <c r="K312" i="2"/>
  <c r="U437" i="2"/>
  <c r="U439" i="2" s="1"/>
  <c r="Q585" i="2"/>
  <c r="G666" i="2"/>
  <c r="R544" i="2"/>
  <c r="T203" i="2"/>
  <c r="Q246" i="2"/>
  <c r="I426" i="2"/>
  <c r="J237" i="2"/>
  <c r="V465" i="2"/>
  <c r="P209" i="2"/>
  <c r="P211" i="2" s="1"/>
  <c r="J465" i="2"/>
  <c r="Q614" i="2"/>
  <c r="Q616" i="2" s="1"/>
  <c r="N237" i="2"/>
  <c r="L266" i="2"/>
  <c r="L268" i="2" s="1"/>
  <c r="G884" i="2"/>
  <c r="G885" i="2" s="1"/>
  <c r="G886" i="2" s="1"/>
  <c r="G180" i="2" s="1"/>
  <c r="T417" i="2"/>
  <c r="T494" i="2"/>
  <c r="T496" i="2" s="1"/>
  <c r="G545" i="2"/>
  <c r="J437" i="2"/>
  <c r="J439" i="2" s="1"/>
  <c r="G262" i="2"/>
  <c r="W262" i="2" s="1"/>
  <c r="X262" i="2" s="1"/>
  <c r="Y262" i="2" s="1"/>
  <c r="G433" i="2"/>
  <c r="W433" i="2" s="1"/>
  <c r="X433" i="2" s="1"/>
  <c r="Y433" i="2" s="1"/>
  <c r="G376" i="2"/>
  <c r="N201" i="2"/>
  <c r="J317" i="2"/>
  <c r="O906" i="2"/>
  <c r="O907" i="2" s="1"/>
  <c r="O908" i="2" s="1"/>
  <c r="O45" i="2" s="1"/>
  <c r="S884" i="2"/>
  <c r="S885" i="2" s="1"/>
  <c r="S886" i="2" s="1"/>
  <c r="S180" i="2" s="1"/>
  <c r="M426" i="2"/>
  <c r="Q532" i="2"/>
  <c r="L312" i="2"/>
  <c r="I317" i="2"/>
  <c r="G818" i="2"/>
  <c r="J552" i="2"/>
  <c r="J554" i="2" s="1"/>
  <c r="G88" i="2"/>
  <c r="W88" i="2" s="1"/>
  <c r="X88" i="2" s="1"/>
  <c r="Y88" i="2" s="1"/>
  <c r="I37" i="2"/>
  <c r="I39" i="2" s="1"/>
  <c r="N585" i="2"/>
  <c r="G255" i="2"/>
  <c r="Q351" i="2"/>
  <c r="N258" i="2"/>
  <c r="N263" i="2" s="1"/>
  <c r="G153" i="2"/>
  <c r="W153" i="2" s="1"/>
  <c r="X153" i="2" s="1"/>
  <c r="Y153" i="2" s="1"/>
  <c r="I486" i="2"/>
  <c r="T317" i="2"/>
  <c r="I372" i="2"/>
  <c r="I377" i="2" s="1"/>
  <c r="I75" i="2"/>
  <c r="N95" i="2"/>
  <c r="N97" i="2" s="1"/>
  <c r="M552" i="2"/>
  <c r="M554" i="2" s="1"/>
  <c r="R934" i="2"/>
  <c r="R935" i="2" s="1"/>
  <c r="R936" i="2" s="1"/>
  <c r="R331" i="2" s="1"/>
  <c r="G132" i="2"/>
  <c r="K323" i="2"/>
  <c r="T237" i="2"/>
  <c r="T351" i="2"/>
  <c r="L906" i="2"/>
  <c r="L907" i="2" s="1"/>
  <c r="L908" i="2" s="1"/>
  <c r="L45" i="2" s="1"/>
  <c r="U614" i="2"/>
  <c r="U616" i="2" s="1"/>
  <c r="M614" i="2"/>
  <c r="M616" i="2" s="1"/>
  <c r="T920" i="2"/>
  <c r="T921" i="2" s="1"/>
  <c r="T922" i="2" s="1"/>
  <c r="T160" i="2" s="1"/>
  <c r="U494" i="2"/>
  <c r="U496" i="2" s="1"/>
  <c r="O126" i="2"/>
  <c r="H223" i="2"/>
  <c r="V266" i="2"/>
  <c r="V268" i="2" s="1"/>
  <c r="L474" i="2"/>
  <c r="V906" i="2"/>
  <c r="V907" i="2" s="1"/>
  <c r="R315" i="2"/>
  <c r="O317" i="2"/>
  <c r="K659" i="2"/>
  <c r="K75" i="2"/>
  <c r="V913" i="2"/>
  <c r="V914" i="2" s="1"/>
  <c r="U209" i="2"/>
  <c r="G596" i="2"/>
  <c r="L145" i="2"/>
  <c r="N37" i="2"/>
  <c r="N39" i="2" s="1"/>
  <c r="H913" i="2"/>
  <c r="H914" i="2" s="1"/>
  <c r="H915" i="2" s="1"/>
  <c r="H103" i="2" s="1"/>
  <c r="G30" i="2"/>
  <c r="I323" i="2"/>
  <c r="I325" i="2" s="1"/>
  <c r="G660" i="2"/>
  <c r="M209" i="2"/>
  <c r="M211" i="2" s="1"/>
  <c r="G323" i="2"/>
  <c r="G934" i="2"/>
  <c r="G935" i="2" s="1"/>
  <c r="G936" i="2" s="1"/>
  <c r="G331" i="2" s="1"/>
  <c r="Q913" i="2"/>
  <c r="Q914" i="2" s="1"/>
  <c r="Q915" i="2" s="1"/>
  <c r="Q103" i="2" s="1"/>
  <c r="G442" i="2"/>
  <c r="P146" i="2"/>
  <c r="N323" i="2"/>
  <c r="N325" i="2" s="1"/>
  <c r="G210" i="2"/>
  <c r="W210" i="2" s="1"/>
  <c r="X210" i="2" s="1"/>
  <c r="Y210" i="2" s="1"/>
  <c r="T552" i="2"/>
  <c r="T554" i="2" s="1"/>
  <c r="L426" i="2"/>
  <c r="H372" i="2"/>
  <c r="H377" i="2" s="1"/>
  <c r="R884" i="2"/>
  <c r="R885" i="2" s="1"/>
  <c r="R886" i="2" s="1"/>
  <c r="R180" i="2" s="1"/>
  <c r="J146" i="2"/>
  <c r="M474" i="2"/>
  <c r="G87" i="2"/>
  <c r="O585" i="2"/>
  <c r="V372" i="2"/>
  <c r="J201" i="2"/>
  <c r="G373" i="2"/>
  <c r="G191" i="2"/>
  <c r="W191" i="2" s="1"/>
  <c r="X191" i="2" s="1"/>
  <c r="Y191" i="2" s="1"/>
  <c r="H437" i="2"/>
  <c r="H439" i="2" s="1"/>
  <c r="Q266" i="2"/>
  <c r="Q268" i="2" s="1"/>
  <c r="H95" i="2"/>
  <c r="H97" i="2" s="1"/>
  <c r="G362" i="2"/>
  <c r="M544" i="2"/>
  <c r="T189" i="2"/>
  <c r="G486" i="2"/>
  <c r="N431" i="2"/>
  <c r="N303" i="2"/>
  <c r="N306" i="2" s="1"/>
  <c r="I927" i="2"/>
  <c r="I928" i="2" s="1"/>
  <c r="I929" i="2" s="1"/>
  <c r="I217" i="2" s="1"/>
  <c r="O351" i="2"/>
  <c r="J884" i="2"/>
  <c r="J885" i="2" s="1"/>
  <c r="J886" i="2" s="1"/>
  <c r="J180" i="2" s="1"/>
  <c r="K429" i="2"/>
  <c r="Q75" i="2"/>
  <c r="Q78" i="2" s="1"/>
  <c r="G474" i="2"/>
  <c r="G296" i="2"/>
  <c r="G317" i="2"/>
  <c r="S266" i="2"/>
  <c r="S268" i="2" s="1"/>
  <c r="O429" i="2"/>
  <c r="N927" i="2"/>
  <c r="N928" i="2" s="1"/>
  <c r="N929" i="2" s="1"/>
  <c r="N217" i="2" s="1"/>
  <c r="G906" i="2"/>
  <c r="G907" i="2" s="1"/>
  <c r="Q87" i="2"/>
  <c r="Q92" i="2" s="1"/>
  <c r="N523" i="2"/>
  <c r="G870" i="2"/>
  <c r="G871" i="2" s="1"/>
  <c r="G872" i="2" s="1"/>
  <c r="G66" i="2" s="1"/>
  <c r="G316" i="2"/>
  <c r="W316" i="2" s="1"/>
  <c r="X316" i="2" s="1"/>
  <c r="Y316" i="2" s="1"/>
  <c r="G112" i="2"/>
  <c r="S351" i="2"/>
  <c r="S606" i="2"/>
  <c r="S611" i="2" s="1"/>
  <c r="G490" i="2"/>
  <c r="V863" i="2"/>
  <c r="V864" i="2" s="1"/>
  <c r="V865" i="2" s="1"/>
  <c r="V8" i="2" s="1"/>
  <c r="G532" i="2"/>
  <c r="U132" i="2"/>
  <c r="U135" i="2" s="1"/>
  <c r="G877" i="2"/>
  <c r="S429" i="2"/>
  <c r="S434" i="2" s="1"/>
  <c r="K920" i="2"/>
  <c r="K921" i="2" s="1"/>
  <c r="K922" i="2" s="1"/>
  <c r="K160" i="2" s="1"/>
  <c r="L246" i="2"/>
  <c r="L249" i="2" s="1"/>
  <c r="T198" i="2"/>
  <c r="V891" i="2"/>
  <c r="V892" i="2" s="1"/>
  <c r="V893" i="2" s="1"/>
  <c r="P37" i="2"/>
  <c r="P39" i="2" s="1"/>
  <c r="G622" i="2"/>
  <c r="G202" i="2"/>
  <c r="V884" i="2"/>
  <c r="V885" i="2" s="1"/>
  <c r="V886" i="2" s="1"/>
  <c r="G237" i="2"/>
  <c r="P585" i="2"/>
  <c r="V898" i="2"/>
  <c r="V899" i="2" s="1"/>
  <c r="V900" i="2" s="1"/>
  <c r="V904" i="2" s="1"/>
  <c r="J132" i="2"/>
  <c r="J135" i="2" s="1"/>
  <c r="G654" i="2"/>
  <c r="T166" i="2"/>
  <c r="N417" i="2"/>
  <c r="N420" i="2" s="1"/>
  <c r="G663" i="2"/>
  <c r="G17" i="2"/>
  <c r="R87" i="2"/>
  <c r="R92" i="2" s="1"/>
  <c r="V927" i="2"/>
  <c r="V928" i="2" s="1"/>
  <c r="M360" i="2"/>
  <c r="G483" i="2"/>
  <c r="H585" i="2"/>
  <c r="U870" i="2"/>
  <c r="U871" i="2" s="1"/>
  <c r="U872" i="2" s="1"/>
  <c r="U66" i="2" s="1"/>
  <c r="V681" i="2"/>
  <c r="X681" i="2" s="1"/>
  <c r="Y681" i="2" s="1"/>
  <c r="P544" i="2"/>
  <c r="G239" i="2"/>
  <c r="J659" i="2"/>
  <c r="L132" i="2"/>
  <c r="L135" i="2" s="1"/>
  <c r="G546" i="2"/>
  <c r="G381" i="2"/>
  <c r="T465" i="2"/>
  <c r="V474" i="2"/>
  <c r="V614" i="2"/>
  <c r="V616" i="2" s="1"/>
  <c r="P594" i="2"/>
  <c r="P597" i="2" s="1"/>
  <c r="Q906" i="2"/>
  <c r="Q907" i="2" s="1"/>
  <c r="Q908" i="2" s="1"/>
  <c r="Q45" i="2" s="1"/>
  <c r="H203" i="2"/>
  <c r="U884" i="2"/>
  <c r="U885" i="2" s="1"/>
  <c r="U886" i="2" s="1"/>
  <c r="U180" i="2" s="1"/>
  <c r="U532" i="2"/>
  <c r="U535" i="2" s="1"/>
  <c r="K237" i="2"/>
  <c r="G152" i="2"/>
  <c r="N17" i="2"/>
  <c r="N20" i="2" s="1"/>
  <c r="N658" i="2" s="1"/>
  <c r="K465" i="2"/>
  <c r="O465" i="2"/>
  <c r="J87" i="2"/>
  <c r="J92" i="2" s="1"/>
  <c r="I431" i="2"/>
  <c r="H360" i="2"/>
  <c r="H363" i="2" s="1"/>
  <c r="O145" i="2"/>
  <c r="L437" i="2"/>
  <c r="L439" i="2" s="1"/>
  <c r="T145" i="2"/>
  <c r="J913" i="2"/>
  <c r="J914" i="2" s="1"/>
  <c r="J915" i="2" s="1"/>
  <c r="J103" i="2" s="1"/>
  <c r="Q29" i="2"/>
  <c r="Q34" i="2" s="1"/>
  <c r="G37" i="2"/>
  <c r="K585" i="2"/>
  <c r="G614" i="2"/>
  <c r="K863" i="2"/>
  <c r="K864" i="2" s="1"/>
  <c r="K865" i="2" s="1"/>
  <c r="K8" i="2" s="1"/>
  <c r="G38" i="2"/>
  <c r="R523" i="2"/>
  <c r="P315" i="2"/>
  <c r="Q474" i="2"/>
  <c r="Q544" i="2"/>
  <c r="Q549" i="2" s="1"/>
  <c r="M166" i="2"/>
  <c r="P303" i="2"/>
  <c r="P306" i="2" s="1"/>
  <c r="K891" i="2"/>
  <c r="K892" i="2" s="1"/>
  <c r="K893" i="2" s="1"/>
  <c r="K294" i="2" s="1"/>
  <c r="P486" i="2"/>
  <c r="P491" i="2" s="1"/>
  <c r="G295" i="2"/>
  <c r="W295" i="2" s="1"/>
  <c r="X295" i="2" s="1"/>
  <c r="Y295" i="2" s="1"/>
  <c r="G898" i="2"/>
  <c r="O544" i="2"/>
  <c r="J303" i="2"/>
  <c r="N126" i="2"/>
  <c r="O523" i="2"/>
  <c r="G68" i="2"/>
  <c r="T183" i="2"/>
  <c r="P237" i="2"/>
  <c r="G23" i="2"/>
  <c r="W23" i="2" s="1"/>
  <c r="X23" i="2" s="1"/>
  <c r="Y23" i="2" s="1"/>
  <c r="G891" i="2"/>
  <c r="L465" i="2"/>
  <c r="N198" i="2"/>
  <c r="J431" i="2"/>
  <c r="G182" i="2"/>
  <c r="G100" i="2"/>
  <c r="L606" i="2"/>
  <c r="G238" i="2"/>
  <c r="G661" i="2"/>
  <c r="T126" i="2"/>
  <c r="P465" i="2"/>
  <c r="V360" i="2"/>
  <c r="V363" i="2" s="1"/>
  <c r="G204" i="2"/>
  <c r="G115" i="2"/>
  <c r="G145" i="2"/>
  <c r="G144" i="2"/>
  <c r="M659" i="2"/>
  <c r="I351" i="2"/>
  <c r="G541" i="2"/>
  <c r="O146" i="2"/>
  <c r="J258" i="2"/>
  <c r="J263" i="2" s="1"/>
  <c r="V75" i="2"/>
  <c r="V78" i="2" s="1"/>
  <c r="O431" i="2"/>
  <c r="S132" i="2"/>
  <c r="S135" i="2" s="1"/>
  <c r="P201" i="2"/>
  <c r="I303" i="2"/>
  <c r="I306" i="2" s="1"/>
  <c r="P870" i="2"/>
  <c r="P871" i="2" s="1"/>
  <c r="P872" i="2" s="1"/>
  <c r="P66" i="2" s="1"/>
  <c r="J426" i="2"/>
  <c r="G941" i="2"/>
  <c r="G942" i="2" s="1"/>
  <c r="G266" i="2"/>
  <c r="G655" i="2"/>
  <c r="G418" i="2"/>
  <c r="W418" i="2" s="1"/>
  <c r="X418" i="2" s="1"/>
  <c r="Y418" i="2" s="1"/>
  <c r="G659" i="2"/>
  <c r="T258" i="2"/>
  <c r="T263" i="2" s="1"/>
  <c r="G133" i="2"/>
  <c r="G380" i="2"/>
  <c r="O659" i="2"/>
  <c r="O426" i="2"/>
  <c r="S246" i="2"/>
  <c r="S249" i="2" s="1"/>
  <c r="I437" i="2"/>
  <c r="M146" i="2"/>
  <c r="L585" i="2"/>
  <c r="G209" i="2"/>
  <c r="G89" i="2"/>
  <c r="O166" i="2"/>
  <c r="J17" i="2"/>
  <c r="H544" i="2"/>
  <c r="G417" i="2"/>
  <c r="M75" i="2"/>
  <c r="M78" i="2" s="1"/>
  <c r="M17" i="2"/>
  <c r="M20" i="2" s="1"/>
  <c r="M658" i="2" s="1"/>
  <c r="G822" i="2"/>
  <c r="W822" i="2" s="1"/>
  <c r="X822" i="2" s="1"/>
  <c r="Y822" i="2" s="1"/>
  <c r="G494" i="2"/>
  <c r="G106" i="2"/>
  <c r="Q870" i="2"/>
  <c r="Q871" i="2" s="1"/>
  <c r="Q872" i="2" s="1"/>
  <c r="Q66" i="2" s="1"/>
  <c r="M523" i="2"/>
  <c r="J145" i="2"/>
  <c r="P152" i="2"/>
  <c r="P154" i="2" s="1"/>
  <c r="G95" i="2"/>
  <c r="G147" i="2"/>
  <c r="W147" i="2" s="1"/>
  <c r="X147" i="2" s="1"/>
  <c r="Y147" i="2" s="1"/>
  <c r="G662" i="2"/>
  <c r="G315" i="2"/>
  <c r="G42" i="2"/>
  <c r="W42" i="2" s="1"/>
  <c r="X42" i="2" s="1"/>
  <c r="Y42" i="2" s="1"/>
  <c r="P132" i="2"/>
  <c r="P135" i="2" s="1"/>
  <c r="I183" i="2"/>
  <c r="J183" i="2"/>
  <c r="I585" i="2"/>
  <c r="H884" i="2"/>
  <c r="I863" i="2"/>
  <c r="I864" i="2" s="1"/>
  <c r="I865" i="2" s="1"/>
  <c r="I8" i="2" s="1"/>
  <c r="J266" i="2"/>
  <c r="J268" i="2" s="1"/>
  <c r="L523" i="2"/>
  <c r="G557" i="2"/>
  <c r="S870" i="2"/>
  <c r="S871" i="2" s="1"/>
  <c r="S872" i="2" s="1"/>
  <c r="S66" i="2" s="1"/>
  <c r="G432" i="2"/>
  <c r="N652" i="2"/>
  <c r="G553" i="2"/>
  <c r="G615" i="2"/>
  <c r="L223" i="2"/>
  <c r="J585" i="2"/>
  <c r="M37" i="2"/>
  <c r="M39" i="2" s="1"/>
  <c r="G913" i="2"/>
  <c r="G914" i="2" s="1"/>
  <c r="S380" i="2"/>
  <c r="S382" i="2" s="1"/>
  <c r="G664" i="2"/>
  <c r="I312" i="2"/>
  <c r="U913" i="2"/>
  <c r="U914" i="2" s="1"/>
  <c r="U915" i="2" s="1"/>
  <c r="U103" i="2" s="1"/>
  <c r="G495" i="2"/>
  <c r="W495" i="2" s="1"/>
  <c r="X495" i="2" s="1"/>
  <c r="Y495" i="2" s="1"/>
  <c r="M351" i="2"/>
  <c r="G169" i="2"/>
  <c r="W169" i="2" s="1"/>
  <c r="X169" i="2" s="1"/>
  <c r="Y169" i="2" s="1"/>
  <c r="H898" i="2"/>
  <c r="H899" i="2" s="1"/>
  <c r="H900" i="2" s="1"/>
  <c r="H408" i="2" s="1"/>
  <c r="G587" i="2"/>
  <c r="G467" i="2"/>
  <c r="K145" i="2"/>
  <c r="Q523" i="2"/>
  <c r="G388" i="2"/>
  <c r="M126" i="2"/>
  <c r="G319" i="2"/>
  <c r="W319" i="2" s="1"/>
  <c r="X319" i="2" s="1"/>
  <c r="Y319" i="2" s="1"/>
  <c r="K166" i="2"/>
  <c r="O312" i="2"/>
  <c r="Q360" i="2"/>
  <c r="H934" i="2"/>
  <c r="H935" i="2" s="1"/>
  <c r="H936" i="2" s="1"/>
  <c r="H331" i="2" s="1"/>
  <c r="G141" i="2"/>
  <c r="W141" i="2" s="1"/>
  <c r="X141" i="2" s="1"/>
  <c r="Y141" i="2" s="1"/>
  <c r="S877" i="2"/>
  <c r="S878" i="2" s="1"/>
  <c r="S879" i="2" s="1"/>
  <c r="S123" i="2" s="1"/>
  <c r="T426" i="2"/>
  <c r="N312" i="2"/>
  <c r="O132" i="2"/>
  <c r="O135" i="2" s="1"/>
  <c r="G594" i="2"/>
  <c r="G466" i="2"/>
  <c r="H417" i="2"/>
  <c r="H420" i="2" s="1"/>
  <c r="G124" i="2"/>
  <c r="G920" i="2"/>
  <c r="J652" i="2"/>
  <c r="N87" i="2"/>
  <c r="N92" i="2" s="1"/>
  <c r="L37" i="2"/>
  <c r="L39" i="2" s="1"/>
  <c r="K417" i="2"/>
  <c r="N223" i="2"/>
  <c r="G608" i="2"/>
  <c r="G214" i="2"/>
  <c r="P166" i="2"/>
  <c r="G607" i="2"/>
  <c r="W607" i="2" s="1"/>
  <c r="X607" i="2" s="1"/>
  <c r="Y607" i="2" s="1"/>
  <c r="L898" i="2"/>
  <c r="L899" i="2" s="1"/>
  <c r="L900" i="2" s="1"/>
  <c r="L408" i="2" s="1"/>
  <c r="I380" i="2"/>
  <c r="I382" i="2" s="1"/>
  <c r="J323" i="2"/>
  <c r="I417" i="2"/>
  <c r="I420" i="2" s="1"/>
  <c r="M315" i="2"/>
  <c r="U585" i="2"/>
  <c r="O209" i="2"/>
  <c r="O211" i="2" s="1"/>
  <c r="N146" i="2"/>
  <c r="G375" i="2"/>
  <c r="T585" i="2"/>
  <c r="T29" i="2"/>
  <c r="T34" i="2" s="1"/>
  <c r="L654" i="2"/>
  <c r="G166" i="2"/>
  <c r="K870" i="2"/>
  <c r="K871" i="2" s="1"/>
  <c r="K872" i="2" s="1"/>
  <c r="K66" i="2" s="1"/>
  <c r="G57" i="2"/>
  <c r="G205" i="2"/>
  <c r="W205" i="2" s="1"/>
  <c r="X205" i="2" s="1"/>
  <c r="Y205" i="2" s="1"/>
  <c r="M223" i="2"/>
  <c r="G77" i="2"/>
  <c r="L201" i="2"/>
  <c r="I266" i="2"/>
  <c r="I268" i="2" s="1"/>
  <c r="V380" i="2"/>
  <c r="V382" i="2" s="1"/>
  <c r="G374" i="2"/>
  <c r="P189" i="2"/>
  <c r="P192" i="2" s="1"/>
  <c r="O652" i="2"/>
  <c r="M431" i="2"/>
  <c r="M652" i="2"/>
  <c r="M437" i="2"/>
  <c r="G271" i="2"/>
  <c r="G430" i="2"/>
  <c r="T146" i="2"/>
  <c r="G29" i="2"/>
  <c r="G75" i="2"/>
  <c r="G125" i="2"/>
  <c r="P198" i="2"/>
  <c r="P203" i="2"/>
  <c r="G815" i="2"/>
  <c r="G297" i="2" s="1"/>
  <c r="P351" i="2"/>
  <c r="G610" i="2"/>
  <c r="N486" i="2"/>
  <c r="N491" i="2" s="1"/>
  <c r="T606" i="2"/>
  <c r="T611" i="2" s="1"/>
  <c r="U152" i="2"/>
  <c r="U154" i="2" s="1"/>
  <c r="I166" i="2"/>
  <c r="G652" i="2"/>
  <c r="V351" i="2"/>
  <c r="T877" i="2"/>
  <c r="T878" i="2" s="1"/>
  <c r="T879" i="2" s="1"/>
  <c r="T123" i="2" s="1"/>
  <c r="P437" i="2"/>
  <c r="P439" i="2" s="1"/>
  <c r="G361" i="2"/>
  <c r="T95" i="2"/>
  <c r="T97" i="2" s="1"/>
  <c r="Q651" i="2"/>
  <c r="G195" i="2"/>
  <c r="G651" i="2"/>
  <c r="M417" i="2"/>
  <c r="M420" i="2" s="1"/>
  <c r="J166" i="2"/>
  <c r="J351" i="2"/>
  <c r="J198" i="2"/>
  <c r="R532" i="2"/>
  <c r="R535" i="2" s="1"/>
  <c r="K146" i="2"/>
  <c r="L429" i="2"/>
  <c r="G609" i="2"/>
  <c r="H659" i="2"/>
  <c r="G157" i="2"/>
  <c r="W157" i="2" s="1"/>
  <c r="X157" i="2" s="1"/>
  <c r="Y157" i="2" s="1"/>
  <c r="G261" i="2"/>
  <c r="W261" i="2" s="1"/>
  <c r="X261" i="2" s="1"/>
  <c r="Y261" i="2" s="1"/>
  <c r="L189" i="2"/>
  <c r="L192" i="2" s="1"/>
  <c r="M654" i="2"/>
  <c r="R927" i="2"/>
  <c r="R928" i="2" s="1"/>
  <c r="R929" i="2" s="1"/>
  <c r="R217" i="2" s="1"/>
  <c r="N166" i="2"/>
  <c r="H198" i="2"/>
  <c r="G328" i="2"/>
  <c r="S523" i="2"/>
  <c r="G552" i="2"/>
  <c r="L863" i="2"/>
  <c r="L864" i="2" s="1"/>
  <c r="L865" i="2" s="1"/>
  <c r="L8" i="2" s="1"/>
  <c r="I237" i="2"/>
  <c r="G309" i="2"/>
  <c r="G372" i="2"/>
  <c r="P360" i="2"/>
  <c r="P363" i="2" s="1"/>
  <c r="G595" i="2"/>
  <c r="G523" i="2"/>
  <c r="G91" i="2"/>
  <c r="W91" i="2" s="1"/>
  <c r="X91" i="2" s="1"/>
  <c r="Y91" i="2" s="1"/>
  <c r="G304" i="2"/>
  <c r="G26" i="2"/>
  <c r="I870" i="2"/>
  <c r="I871" i="2" s="1"/>
  <c r="I872" i="2" s="1"/>
  <c r="I66" i="2" s="1"/>
  <c r="P145" i="2"/>
  <c r="M303" i="2"/>
  <c r="M306" i="2" s="1"/>
  <c r="G76" i="2"/>
  <c r="W76" i="2" s="1"/>
  <c r="X76" i="2" s="1"/>
  <c r="Y76" i="2" s="1"/>
  <c r="G10" i="2"/>
  <c r="U237" i="2"/>
  <c r="K132" i="2"/>
  <c r="K135" i="2" s="1"/>
  <c r="R132" i="2"/>
  <c r="R135" i="2" s="1"/>
  <c r="L891" i="2"/>
  <c r="L892" i="2" s="1"/>
  <c r="L893" i="2" s="1"/>
  <c r="L294" i="2" s="1"/>
  <c r="G438" i="2"/>
  <c r="J203" i="2"/>
  <c r="V315" i="2"/>
  <c r="V320" i="2" s="1"/>
  <c r="G465" i="2"/>
  <c r="G352" i="2"/>
  <c r="P223" i="2"/>
  <c r="G201" i="2"/>
  <c r="G560" i="2"/>
  <c r="O17" i="2"/>
  <c r="O20" i="2" s="1"/>
  <c r="O658" i="2" s="1"/>
  <c r="H614" i="2"/>
  <c r="H616" i="2" s="1"/>
  <c r="P659" i="2"/>
  <c r="H523" i="2"/>
  <c r="Q303" i="2"/>
  <c r="N891" i="2"/>
  <c r="N892" i="2" s="1"/>
  <c r="N893" i="2" s="1"/>
  <c r="N294" i="2" s="1"/>
  <c r="M312" i="2"/>
  <c r="P523" i="2"/>
  <c r="G19" i="2"/>
  <c r="G146" i="2"/>
  <c r="N870" i="2"/>
  <c r="N871" i="2" s="1"/>
  <c r="N872" i="2" s="1"/>
  <c r="N66" i="2" s="1"/>
  <c r="O654" i="2"/>
  <c r="S614" i="2"/>
  <c r="S616" i="2" s="1"/>
  <c r="M198" i="2"/>
  <c r="V941" i="2"/>
  <c r="T152" i="2"/>
  <c r="T154" i="2" s="1"/>
  <c r="P408" i="2"/>
  <c r="H863" i="2"/>
  <c r="H864" i="2" s="1"/>
  <c r="H865" i="2" s="1"/>
  <c r="H8" i="2" s="1"/>
  <c r="N906" i="2"/>
  <c r="N907" i="2" s="1"/>
  <c r="N908" i="2" s="1"/>
  <c r="N45" i="2" s="1"/>
  <c r="G181" i="2"/>
  <c r="U465" i="2"/>
  <c r="M323" i="2"/>
  <c r="G927" i="2"/>
  <c r="G928" i="2" s="1"/>
  <c r="G929" i="2" s="1"/>
  <c r="V201" i="2"/>
  <c r="V206" i="2" s="1"/>
  <c r="T652" i="2"/>
  <c r="G81" i="2"/>
  <c r="O189" i="2"/>
  <c r="O192" i="2" s="1"/>
  <c r="I203" i="2"/>
  <c r="G312" i="2"/>
  <c r="G198" i="2"/>
  <c r="G67" i="2"/>
  <c r="W67" i="2" s="1"/>
  <c r="X67" i="2" s="1"/>
  <c r="Y67" i="2" s="1"/>
  <c r="I659" i="2"/>
  <c r="G32" i="2"/>
  <c r="N132" i="2"/>
  <c r="N135" i="2" s="1"/>
  <c r="J417" i="2"/>
  <c r="J420" i="2" s="1"/>
  <c r="K431" i="2"/>
  <c r="G360" i="2"/>
  <c r="L198" i="2"/>
  <c r="I523" i="2"/>
  <c r="G33" i="2"/>
  <c r="W33" i="2" s="1"/>
  <c r="X33" i="2" s="1"/>
  <c r="Y33" i="2" s="1"/>
  <c r="K652" i="2"/>
  <c r="I145" i="2"/>
  <c r="N614" i="2"/>
  <c r="N616" i="2" s="1"/>
  <c r="G246" i="2"/>
  <c r="J209" i="2"/>
  <c r="J211" i="2" s="1"/>
  <c r="N552" i="2"/>
  <c r="M585" i="2"/>
  <c r="G863" i="2"/>
  <c r="G864" i="2" s="1"/>
  <c r="I651" i="2"/>
  <c r="G247" i="2"/>
  <c r="W247" i="2" s="1"/>
  <c r="X247" i="2" s="1"/>
  <c r="Y247" i="2" s="1"/>
  <c r="G351" i="2"/>
  <c r="O203" i="2"/>
  <c r="G267" i="2"/>
  <c r="P863" i="2"/>
  <c r="P864" i="2" s="1"/>
  <c r="P865" i="2" s="1"/>
  <c r="P8" i="2" s="1"/>
  <c r="P652" i="2"/>
  <c r="I126" i="2"/>
  <c r="K523" i="2"/>
  <c r="O303" i="2"/>
  <c r="O306" i="2" s="1"/>
  <c r="G524" i="2"/>
  <c r="W524" i="2" s="1"/>
  <c r="X524" i="2" s="1"/>
  <c r="Y524" i="2" s="1"/>
  <c r="G821" i="2"/>
  <c r="G563" i="2" s="1"/>
  <c r="L652" i="2"/>
  <c r="H189" i="2"/>
  <c r="H192" i="2" s="1"/>
  <c r="S651" i="2"/>
  <c r="T898" i="2"/>
  <c r="T899" i="2" s="1"/>
  <c r="T900" i="2" s="1"/>
  <c r="T408" i="2" s="1"/>
  <c r="K183" i="2"/>
  <c r="U37" i="2"/>
  <c r="U39" i="2" s="1"/>
  <c r="H132" i="2"/>
  <c r="G538" i="2"/>
  <c r="O183" i="2"/>
  <c r="L934" i="2"/>
  <c r="L935" i="2" s="1"/>
  <c r="L936" i="2" s="1"/>
  <c r="L331" i="2" s="1"/>
  <c r="Q189" i="2"/>
  <c r="Q192" i="2" s="1"/>
  <c r="G54" i="2"/>
  <c r="G258" i="2"/>
  <c r="Q132" i="2"/>
  <c r="Q135" i="2" s="1"/>
  <c r="I189" i="2"/>
  <c r="I192" i="2" s="1"/>
  <c r="M145" i="2"/>
  <c r="Q552" i="2"/>
  <c r="G9" i="2"/>
  <c r="T651" i="2"/>
  <c r="R237" i="2"/>
  <c r="G305" i="2"/>
  <c r="G203" i="2"/>
  <c r="M132" i="2"/>
  <c r="M135" i="2" s="1"/>
  <c r="N934" i="2"/>
  <c r="N935" i="2" s="1"/>
  <c r="N936" i="2" s="1"/>
  <c r="N331" i="2" s="1"/>
  <c r="G603" i="2"/>
  <c r="W603" i="2" s="1"/>
  <c r="X603" i="2" s="1"/>
  <c r="Y603" i="2" s="1"/>
  <c r="H209" i="2"/>
  <c r="H211" i="2" s="1"/>
  <c r="J891" i="2"/>
  <c r="J892" i="2" s="1"/>
  <c r="J893" i="2" s="1"/>
  <c r="J294" i="2" s="1"/>
  <c r="G656" i="2"/>
  <c r="R651" i="2"/>
  <c r="O223" i="2"/>
  <c r="G84" i="2"/>
  <c r="W84" i="2" s="1"/>
  <c r="X84" i="2" s="1"/>
  <c r="Y84" i="2" s="1"/>
  <c r="N203" i="2"/>
  <c r="G423" i="2"/>
  <c r="G163" i="2"/>
  <c r="L203" i="2"/>
  <c r="M189" i="2"/>
  <c r="M192" i="2" s="1"/>
  <c r="G489" i="2"/>
  <c r="W489" i="2" s="1"/>
  <c r="X489" i="2" s="1"/>
  <c r="Y489" i="2" s="1"/>
  <c r="K651" i="2"/>
  <c r="G31" i="2"/>
  <c r="G548" i="2"/>
  <c r="G410" i="2"/>
  <c r="W410" i="2" s="1"/>
  <c r="X410" i="2" s="1"/>
  <c r="Y410" i="2" s="1"/>
  <c r="I552" i="2"/>
  <c r="G366" i="2"/>
  <c r="W366" i="2" s="1"/>
  <c r="X366" i="2" s="1"/>
  <c r="Y366" i="2" s="1"/>
  <c r="G823" i="2"/>
  <c r="G400" i="2" s="1"/>
  <c r="V934" i="2"/>
  <c r="V935" i="2" s="1"/>
  <c r="N145" i="2"/>
  <c r="H651" i="2"/>
  <c r="G172" i="2"/>
  <c r="L166" i="2"/>
  <c r="P651" i="2"/>
  <c r="S237" i="2"/>
  <c r="J651" i="2"/>
  <c r="K203" i="2"/>
  <c r="L651" i="2"/>
  <c r="T132" i="2"/>
  <c r="T135" i="2" s="1"/>
  <c r="G431" i="2"/>
  <c r="R351" i="2"/>
  <c r="G252" i="2"/>
  <c r="M913" i="2"/>
  <c r="M914" i="2" s="1"/>
  <c r="M915" i="2" s="1"/>
  <c r="M103" i="2" s="1"/>
  <c r="J523" i="2"/>
  <c r="G600" i="2"/>
  <c r="W600" i="2" s="1"/>
  <c r="X600" i="2" s="1"/>
  <c r="Y600" i="2" s="1"/>
  <c r="G585" i="2"/>
  <c r="G534" i="2"/>
  <c r="O408" i="2"/>
  <c r="I132" i="2"/>
  <c r="I135" i="2" s="1"/>
  <c r="G525" i="2"/>
  <c r="M203" i="2"/>
  <c r="G189" i="2"/>
  <c r="L146" i="2"/>
  <c r="M183" i="2"/>
  <c r="G475" i="2"/>
  <c r="G96" i="2"/>
  <c r="W96" i="2" s="1"/>
  <c r="X96" i="2" s="1"/>
  <c r="Y96" i="2" s="1"/>
  <c r="G18" i="2"/>
  <c r="G138" i="2"/>
  <c r="W138" i="2" s="1"/>
  <c r="X138" i="2" s="1"/>
  <c r="Y138" i="2" s="1"/>
  <c r="G134" i="2"/>
  <c r="J223" i="2"/>
  <c r="G619" i="2"/>
  <c r="W619" i="2" s="1"/>
  <c r="X619" i="2" s="1"/>
  <c r="Y619" i="2" s="1"/>
  <c r="L303" i="2"/>
  <c r="L306" i="2" s="1"/>
  <c r="O651" i="2"/>
  <c r="G785" i="2"/>
  <c r="G797" i="2" s="1"/>
  <c r="K189" i="2"/>
  <c r="K192" i="2" s="1"/>
  <c r="V523" i="2"/>
  <c r="K198" i="2"/>
  <c r="N183" i="2"/>
  <c r="G480" i="2"/>
  <c r="W480" i="2" s="1"/>
  <c r="X480" i="2" s="1"/>
  <c r="Y480" i="2" s="1"/>
  <c r="L183" i="2"/>
  <c r="G190" i="2"/>
  <c r="G51" i="2"/>
  <c r="N189" i="2"/>
  <c r="N192" i="2" s="1"/>
  <c r="M651" i="2"/>
  <c r="I198" i="2"/>
  <c r="N651" i="2"/>
  <c r="J189" i="2"/>
  <c r="J192" i="2" s="1"/>
  <c r="O198" i="2"/>
  <c r="T535" i="2" l="1"/>
  <c r="U634" i="2"/>
  <c r="U229" i="2"/>
  <c r="W26" i="2"/>
  <c r="X26" i="2" s="1"/>
  <c r="Y26" i="2" s="1"/>
  <c r="W271" i="2"/>
  <c r="X271" i="2" s="1"/>
  <c r="Y271" i="2" s="1"/>
  <c r="W54" i="2"/>
  <c r="X54" i="2" s="1"/>
  <c r="Y54" i="2" s="1"/>
  <c r="O206" i="2"/>
  <c r="W133" i="2"/>
  <c r="X133" i="2" s="1"/>
  <c r="Y133" i="2" s="1"/>
  <c r="W373" i="2"/>
  <c r="X373" i="2" s="1"/>
  <c r="Y373" i="2" s="1"/>
  <c r="K382" i="2"/>
  <c r="W134" i="2"/>
  <c r="X134" i="2" s="1"/>
  <c r="Y134" i="2" s="1"/>
  <c r="I554" i="2"/>
  <c r="W163" i="2"/>
  <c r="X163" i="2" s="1"/>
  <c r="Y163" i="2" s="1"/>
  <c r="N554" i="2"/>
  <c r="W81" i="2"/>
  <c r="X81" i="2" s="1"/>
  <c r="Y81" i="2" s="1"/>
  <c r="W304" i="2"/>
  <c r="X304" i="2" s="1"/>
  <c r="Y304" i="2" s="1"/>
  <c r="W609" i="2"/>
  <c r="X609" i="2" s="1"/>
  <c r="Y609" i="2" s="1"/>
  <c r="W361" i="2"/>
  <c r="X361" i="2" s="1"/>
  <c r="Y361" i="2" s="1"/>
  <c r="P183" i="2"/>
  <c r="Q363" i="2"/>
  <c r="J20" i="2"/>
  <c r="J658" i="2" s="1"/>
  <c r="L611" i="2"/>
  <c r="U668" i="2"/>
  <c r="U78" i="2"/>
  <c r="W172" i="2"/>
  <c r="X172" i="2" s="1"/>
  <c r="Y172" i="2" s="1"/>
  <c r="W423" i="2"/>
  <c r="X423" i="2" s="1"/>
  <c r="Y423" i="2" s="1"/>
  <c r="Q554" i="2"/>
  <c r="W32" i="2"/>
  <c r="X32" i="2" s="1"/>
  <c r="Y32" i="2" s="1"/>
  <c r="W19" i="2"/>
  <c r="X19" i="2" s="1"/>
  <c r="Y19" i="2" s="1"/>
  <c r="Q306" i="2"/>
  <c r="W195" i="2"/>
  <c r="X195" i="2" s="1"/>
  <c r="Y195" i="2" s="1"/>
  <c r="W374" i="2"/>
  <c r="X374" i="2" s="1"/>
  <c r="Y374" i="2" s="1"/>
  <c r="W214" i="2"/>
  <c r="X214" i="2" s="1"/>
  <c r="Y214" i="2" s="1"/>
  <c r="K420" i="2"/>
  <c r="W388" i="2"/>
  <c r="X388" i="2" s="1"/>
  <c r="Y388" i="2" s="1"/>
  <c r="W106" i="2"/>
  <c r="X106" i="2" s="1"/>
  <c r="Y106" i="2" s="1"/>
  <c r="W115" i="2"/>
  <c r="X115" i="2" s="1"/>
  <c r="Y115" i="2" s="1"/>
  <c r="J306" i="2"/>
  <c r="M363" i="2"/>
  <c r="M477" i="2"/>
  <c r="R616" i="2"/>
  <c r="W525" i="2"/>
  <c r="X525" i="2" s="1"/>
  <c r="Y525" i="2" s="1"/>
  <c r="W548" i="2"/>
  <c r="X548" i="2" s="1"/>
  <c r="Y548" i="2" s="1"/>
  <c r="W656" i="2"/>
  <c r="X656" i="2" s="1"/>
  <c r="Y656" i="2" s="1"/>
  <c r="W538" i="2"/>
  <c r="X538" i="2" s="1"/>
  <c r="Y538" i="2" s="1"/>
  <c r="W10" i="2"/>
  <c r="X10" i="2" s="1"/>
  <c r="Y10" i="2" s="1"/>
  <c r="W125" i="2"/>
  <c r="X125" i="2" s="1"/>
  <c r="Y125" i="2" s="1"/>
  <c r="W430" i="2"/>
  <c r="X430" i="2" s="1"/>
  <c r="Y430" i="2" s="1"/>
  <c r="W375" i="2"/>
  <c r="X375" i="2" s="1"/>
  <c r="Y375" i="2" s="1"/>
  <c r="W615" i="2"/>
  <c r="X615" i="2" s="1"/>
  <c r="Y615" i="2" s="1"/>
  <c r="W89" i="2"/>
  <c r="X89" i="2" s="1"/>
  <c r="Y89" i="2" s="1"/>
  <c r="H126" i="2"/>
  <c r="W202" i="2"/>
  <c r="X202" i="2" s="1"/>
  <c r="Y202" i="2" s="1"/>
  <c r="M549" i="2"/>
  <c r="K223" i="2"/>
  <c r="P126" i="2"/>
  <c r="P92" i="2"/>
  <c r="T491" i="2"/>
  <c r="O377" i="2"/>
  <c r="W655" i="2"/>
  <c r="X655" i="2" s="1"/>
  <c r="Y655" i="2" s="1"/>
  <c r="P549" i="2"/>
  <c r="W483" i="2"/>
  <c r="X483" i="2" s="1"/>
  <c r="Y483" i="2" s="1"/>
  <c r="V325" i="2"/>
  <c r="T377" i="2"/>
  <c r="L78" i="2"/>
  <c r="W48" i="2"/>
  <c r="X48" i="2" s="1"/>
  <c r="Y48" i="2" s="1"/>
  <c r="L263" i="2"/>
  <c r="M377" i="2"/>
  <c r="Q13" i="2"/>
  <c r="Q470" i="2"/>
  <c r="I413" i="2"/>
  <c r="Q12" i="2"/>
  <c r="Q468" i="2"/>
  <c r="S154" i="2"/>
  <c r="I468" i="2"/>
  <c r="Q183" i="2"/>
  <c r="Q411" i="2"/>
  <c r="P226" i="2"/>
  <c r="Q527" i="2"/>
  <c r="Q184" i="2"/>
  <c r="I527" i="2"/>
  <c r="T566" i="2"/>
  <c r="N242" i="2"/>
  <c r="N69" i="2"/>
  <c r="N411" i="2"/>
  <c r="U563" i="2"/>
  <c r="V511" i="2"/>
  <c r="O69" i="2"/>
  <c r="I590" i="2"/>
  <c r="Q299" i="2"/>
  <c r="W38" i="2"/>
  <c r="X38" i="2" s="1"/>
  <c r="Y38" i="2" s="1"/>
  <c r="N357" i="2"/>
  <c r="N566" i="2"/>
  <c r="V508" i="2"/>
  <c r="O71" i="2"/>
  <c r="V241" i="2"/>
  <c r="I11" i="2"/>
  <c r="I69" i="2"/>
  <c r="K277" i="2"/>
  <c r="I241" i="2"/>
  <c r="I223" i="2"/>
  <c r="W267" i="2"/>
  <c r="X267" i="2" s="1"/>
  <c r="Y267" i="2" s="1"/>
  <c r="W352" i="2"/>
  <c r="X352" i="2" s="1"/>
  <c r="Y352" i="2" s="1"/>
  <c r="W610" i="2"/>
  <c r="X610" i="2" s="1"/>
  <c r="Y610" i="2" s="1"/>
  <c r="W77" i="2"/>
  <c r="X77" i="2" s="1"/>
  <c r="Y77" i="2" s="1"/>
  <c r="W432" i="2"/>
  <c r="X432" i="2" s="1"/>
  <c r="Y432" i="2" s="1"/>
  <c r="L477" i="2"/>
  <c r="W353" i="2"/>
  <c r="X353" i="2" s="1"/>
  <c r="Y353" i="2" s="1"/>
  <c r="K549" i="2"/>
  <c r="H249" i="2"/>
  <c r="W560" i="2"/>
  <c r="X560" i="2" s="1"/>
  <c r="Y560" i="2" s="1"/>
  <c r="M320" i="2"/>
  <c r="W608" i="2"/>
  <c r="X608" i="2" s="1"/>
  <c r="Y608" i="2" s="1"/>
  <c r="W204" i="2"/>
  <c r="X204" i="2" s="1"/>
  <c r="Y204" i="2" s="1"/>
  <c r="W661" i="2"/>
  <c r="X661" i="2" s="1"/>
  <c r="Y661" i="2" s="1"/>
  <c r="W182" i="2"/>
  <c r="X182" i="2" s="1"/>
  <c r="Y182" i="2" s="1"/>
  <c r="W68" i="2"/>
  <c r="X68" i="2" s="1"/>
  <c r="Y68" i="2" s="1"/>
  <c r="V377" i="2"/>
  <c r="W442" i="2"/>
  <c r="X442" i="2" s="1"/>
  <c r="Y442" i="2" s="1"/>
  <c r="U211" i="2"/>
  <c r="V192" i="2"/>
  <c r="J634" i="2"/>
  <c r="N457" i="2"/>
  <c r="S34" i="2"/>
  <c r="N286" i="2"/>
  <c r="N514" i="2"/>
  <c r="W100" i="2"/>
  <c r="X100" i="2" s="1"/>
  <c r="Y100" i="2" s="1"/>
  <c r="T192" i="2"/>
  <c r="W255" i="2"/>
  <c r="X255" i="2" s="1"/>
  <c r="Y255" i="2" s="1"/>
  <c r="S263" i="2"/>
  <c r="O249" i="2"/>
  <c r="I34" i="2"/>
  <c r="S514" i="2"/>
  <c r="L590" i="2"/>
  <c r="L411" i="2"/>
  <c r="Q240" i="2"/>
  <c r="P283" i="2"/>
  <c r="K355" i="2"/>
  <c r="N796" i="2"/>
  <c r="N797" i="2"/>
  <c r="M796" i="2"/>
  <c r="M797" i="2"/>
  <c r="S796" i="2"/>
  <c r="S797" i="2"/>
  <c r="V796" i="2"/>
  <c r="V797" i="2"/>
  <c r="R549" i="2"/>
  <c r="Q796" i="2"/>
  <c r="Q797" i="2"/>
  <c r="U796" i="2"/>
  <c r="U797" i="2"/>
  <c r="L796" i="2"/>
  <c r="L797" i="2"/>
  <c r="O796" i="2"/>
  <c r="O797" i="2"/>
  <c r="N591" i="2"/>
  <c r="Q320" i="2"/>
  <c r="W324" i="2"/>
  <c r="X324" i="2" s="1"/>
  <c r="Y324" i="2" s="1"/>
  <c r="T796" i="2"/>
  <c r="T797" i="2"/>
  <c r="H796" i="2"/>
  <c r="H797" i="2"/>
  <c r="W9" i="2"/>
  <c r="X9" i="2" s="1"/>
  <c r="Y9" i="2" s="1"/>
  <c r="W181" i="2"/>
  <c r="X181" i="2" s="1"/>
  <c r="Y181" i="2" s="1"/>
  <c r="W309" i="2"/>
  <c r="X309" i="2" s="1"/>
  <c r="Y309" i="2" s="1"/>
  <c r="V477" i="2"/>
  <c r="W112" i="2"/>
  <c r="X112" i="2" s="1"/>
  <c r="Y112" i="2" s="1"/>
  <c r="W660" i="2"/>
  <c r="X660" i="2" s="1"/>
  <c r="Y660" i="2" s="1"/>
  <c r="H183" i="2"/>
  <c r="W376" i="2"/>
  <c r="X376" i="2" s="1"/>
  <c r="Y376" i="2" s="1"/>
  <c r="H92" i="2"/>
  <c r="K377" i="2"/>
  <c r="V799" i="2"/>
  <c r="S535" i="2"/>
  <c r="K249" i="2"/>
  <c r="N78" i="2"/>
  <c r="I796" i="2"/>
  <c r="I797" i="2"/>
  <c r="P796" i="2"/>
  <c r="P797" i="2"/>
  <c r="R796" i="2"/>
  <c r="R797" i="2"/>
  <c r="J796" i="2"/>
  <c r="J797" i="2"/>
  <c r="K796" i="2"/>
  <c r="K797" i="2"/>
  <c r="W252" i="2"/>
  <c r="X252" i="2" s="1"/>
  <c r="Y252" i="2" s="1"/>
  <c r="W328" i="2"/>
  <c r="X328" i="2" s="1"/>
  <c r="Y328" i="2" s="1"/>
  <c r="W662" i="2"/>
  <c r="X662" i="2" s="1"/>
  <c r="Y662" i="2" s="1"/>
  <c r="O549" i="2"/>
  <c r="Q477" i="2"/>
  <c r="W490" i="2"/>
  <c r="X490" i="2" s="1"/>
  <c r="Y490" i="2" s="1"/>
  <c r="K78" i="2"/>
  <c r="I491" i="2"/>
  <c r="S306" i="2"/>
  <c r="W502" i="2"/>
  <c r="X502" i="2" s="1"/>
  <c r="Y502" i="2" s="1"/>
  <c r="O535" i="2"/>
  <c r="K92" i="2"/>
  <c r="I549" i="2"/>
  <c r="H320" i="2"/>
  <c r="H508" i="2"/>
  <c r="H566" i="2"/>
  <c r="W57" i="2"/>
  <c r="X57" i="2" s="1"/>
  <c r="Y57" i="2" s="1"/>
  <c r="W467" i="2"/>
  <c r="X467" i="2" s="1"/>
  <c r="Y467" i="2" s="1"/>
  <c r="W238" i="2"/>
  <c r="X238" i="2" s="1"/>
  <c r="Y238" i="2" s="1"/>
  <c r="W622" i="2"/>
  <c r="X622" i="2" s="1"/>
  <c r="Y622" i="2" s="1"/>
  <c r="I78" i="2"/>
  <c r="J549" i="2"/>
  <c r="J597" i="2"/>
  <c r="P11" i="2"/>
  <c r="P241" i="2"/>
  <c r="V572" i="2"/>
  <c r="W587" i="2"/>
  <c r="X587" i="2" s="1"/>
  <c r="Y587" i="2" s="1"/>
  <c r="W541" i="2"/>
  <c r="X541" i="2" s="1"/>
  <c r="Y541" i="2" s="1"/>
  <c r="W546" i="2"/>
  <c r="X546" i="2" s="1"/>
  <c r="Y546" i="2" s="1"/>
  <c r="W362" i="2"/>
  <c r="X362" i="2" s="1"/>
  <c r="Y362" i="2" s="1"/>
  <c r="R477" i="2"/>
  <c r="W274" i="2"/>
  <c r="X274" i="2" s="1"/>
  <c r="Y274" i="2" s="1"/>
  <c r="L377" i="2"/>
  <c r="R78" i="2"/>
  <c r="T363" i="2"/>
  <c r="W586" i="2"/>
  <c r="X586" i="2" s="1"/>
  <c r="Y586" i="2" s="1"/>
  <c r="U306" i="2"/>
  <c r="R192" i="2"/>
  <c r="U491" i="2"/>
  <c r="Q491" i="2"/>
  <c r="M249" i="2"/>
  <c r="P13" i="2"/>
  <c r="P590" i="2"/>
  <c r="W785" i="2"/>
  <c r="X785" i="2" s="1"/>
  <c r="Y785" i="2" s="1"/>
  <c r="G796" i="2"/>
  <c r="O263" i="2"/>
  <c r="I206" i="2"/>
  <c r="V666" i="2"/>
  <c r="V668" i="2" s="1"/>
  <c r="V703" i="2" s="1"/>
  <c r="I299" i="2"/>
  <c r="K11" i="2"/>
  <c r="K14" i="2" s="1"/>
  <c r="I412" i="2"/>
  <c r="I414" i="2" s="1"/>
  <c r="V468" i="2"/>
  <c r="K354" i="2"/>
  <c r="V590" i="2"/>
  <c r="K69" i="2"/>
  <c r="K528" i="2"/>
  <c r="I526" i="2"/>
  <c r="K184" i="2"/>
  <c r="K186" i="2" s="1"/>
  <c r="V11" i="2"/>
  <c r="K127" i="2"/>
  <c r="K469" i="2"/>
  <c r="K297" i="2"/>
  <c r="K470" i="2"/>
  <c r="V71" i="2"/>
  <c r="W124" i="2"/>
  <c r="X124" i="2" s="1"/>
  <c r="Y124" i="2" s="1"/>
  <c r="H206" i="2"/>
  <c r="Q249" i="2"/>
  <c r="K477" i="2"/>
  <c r="H597" i="2"/>
  <c r="N377" i="2"/>
  <c r="I470" i="2"/>
  <c r="I13" i="2"/>
  <c r="K590" i="2"/>
  <c r="K128" i="2"/>
  <c r="V470" i="2"/>
  <c r="V526" i="2"/>
  <c r="V529" i="2" s="1"/>
  <c r="V12" i="2"/>
  <c r="K71" i="2"/>
  <c r="K413" i="2"/>
  <c r="L280" i="2"/>
  <c r="V588" i="2"/>
  <c r="L631" i="2"/>
  <c r="K299" i="2"/>
  <c r="S477" i="2"/>
  <c r="K391" i="2"/>
  <c r="I589" i="2"/>
  <c r="V13" i="2"/>
  <c r="P569" i="2"/>
  <c r="P394" i="2"/>
  <c r="W51" i="2"/>
  <c r="X51" i="2" s="1"/>
  <c r="Y51" i="2" s="1"/>
  <c r="M206" i="2"/>
  <c r="W534" i="2"/>
  <c r="X534" i="2" s="1"/>
  <c r="Y534" i="2" s="1"/>
  <c r="W305" i="2"/>
  <c r="X305" i="2" s="1"/>
  <c r="Y305" i="2" s="1"/>
  <c r="W595" i="2"/>
  <c r="X595" i="2" s="1"/>
  <c r="Y595" i="2" s="1"/>
  <c r="W466" i="2"/>
  <c r="X466" i="2" s="1"/>
  <c r="Y466" i="2" s="1"/>
  <c r="W553" i="2"/>
  <c r="X553" i="2" s="1"/>
  <c r="Y553" i="2" s="1"/>
  <c r="W557" i="2"/>
  <c r="X557" i="2" s="1"/>
  <c r="Y557" i="2" s="1"/>
  <c r="H549" i="2"/>
  <c r="P320" i="2"/>
  <c r="W381" i="2"/>
  <c r="X381" i="2" s="1"/>
  <c r="Y381" i="2" s="1"/>
  <c r="W596" i="2"/>
  <c r="X596" i="2" s="1"/>
  <c r="Y596" i="2" s="1"/>
  <c r="Q535" i="2"/>
  <c r="T420" i="2"/>
  <c r="S192" i="2"/>
  <c r="P420" i="2"/>
  <c r="I535" i="2"/>
  <c r="W90" i="2"/>
  <c r="X90" i="2" s="1"/>
  <c r="Y90" i="2" s="1"/>
  <c r="S325" i="2"/>
  <c r="J391" i="2"/>
  <c r="H135" i="2"/>
  <c r="W663" i="2"/>
  <c r="X663" i="2" s="1"/>
  <c r="Y663" i="2" s="1"/>
  <c r="R320" i="2"/>
  <c r="W545" i="2"/>
  <c r="X545" i="2" s="1"/>
  <c r="Y545" i="2" s="1"/>
  <c r="O554" i="2"/>
  <c r="V549" i="2"/>
  <c r="M127" i="2"/>
  <c r="M242" i="2"/>
  <c r="H337" i="2"/>
  <c r="H340" i="2"/>
  <c r="L628" i="2"/>
  <c r="L283" i="2"/>
  <c r="R184" i="2"/>
  <c r="M589" i="2"/>
  <c r="S491" i="2"/>
  <c r="Q149" i="2"/>
  <c r="R20" i="2"/>
  <c r="R658" i="2" s="1"/>
  <c r="R434" i="2"/>
  <c r="Q211" i="2"/>
  <c r="M184" i="2"/>
  <c r="P469" i="2"/>
  <c r="P297" i="2"/>
  <c r="O297" i="2"/>
  <c r="W239" i="2"/>
  <c r="X239" i="2" s="1"/>
  <c r="Y239" i="2" s="1"/>
  <c r="W260" i="2"/>
  <c r="X260" i="2" s="1"/>
  <c r="Y260" i="2" s="1"/>
  <c r="W369" i="2"/>
  <c r="X369" i="2" s="1"/>
  <c r="Y369" i="2" s="1"/>
  <c r="V249" i="2"/>
  <c r="M299" i="2"/>
  <c r="P240" i="2"/>
  <c r="K508" i="2"/>
  <c r="L511" i="2"/>
  <c r="K356" i="2"/>
  <c r="K357" i="2" s="1"/>
  <c r="N206" i="2"/>
  <c r="N451" i="2"/>
  <c r="K242" i="2"/>
  <c r="L340" i="2"/>
  <c r="V127" i="2"/>
  <c r="V128" i="2"/>
  <c r="T242" i="2"/>
  <c r="O391" i="2"/>
  <c r="P337" i="2"/>
  <c r="P454" i="2"/>
  <c r="J249" i="2"/>
  <c r="U597" i="2"/>
  <c r="U420" i="2"/>
  <c r="S337" i="2"/>
  <c r="O184" i="2"/>
  <c r="K343" i="2"/>
  <c r="H628" i="2"/>
  <c r="P634" i="2"/>
  <c r="K306" i="2"/>
  <c r="I20" i="2"/>
  <c r="I658" i="2" s="1"/>
  <c r="O477" i="2"/>
  <c r="L413" i="2"/>
  <c r="Q127" i="2"/>
  <c r="Q11" i="2"/>
  <c r="Q590" i="2"/>
  <c r="U286" i="2"/>
  <c r="U457" i="2"/>
  <c r="W30" i="2"/>
  <c r="X30" i="2" s="1"/>
  <c r="Y30" i="2" s="1"/>
  <c r="H20" i="2"/>
  <c r="H658" i="2" s="1"/>
  <c r="W487" i="2"/>
  <c r="X487" i="2" s="1"/>
  <c r="Y487" i="2" s="1"/>
  <c r="W318" i="2"/>
  <c r="X318" i="2" s="1"/>
  <c r="Y318" i="2" s="1"/>
  <c r="W499" i="2"/>
  <c r="X499" i="2" s="1"/>
  <c r="Y499" i="2" s="1"/>
  <c r="V535" i="2"/>
  <c r="N611" i="2"/>
  <c r="S340" i="2"/>
  <c r="S631" i="2"/>
  <c r="T286" i="2"/>
  <c r="Q128" i="2"/>
  <c r="Q298" i="2"/>
  <c r="Q185" i="2"/>
  <c r="Q186" i="2" s="1"/>
  <c r="N394" i="2"/>
  <c r="Q413" i="2"/>
  <c r="O625" i="2"/>
  <c r="N569" i="2"/>
  <c r="L434" i="2"/>
  <c r="H263" i="2"/>
  <c r="Q69" i="2"/>
  <c r="T20" i="2"/>
  <c r="T658" i="2" s="1"/>
  <c r="H477" i="2"/>
  <c r="M588" i="2"/>
  <c r="I356" i="2"/>
  <c r="I70" i="2"/>
  <c r="N70" i="2"/>
  <c r="Q355" i="2"/>
  <c r="N413" i="2"/>
  <c r="S394" i="2"/>
  <c r="T589" i="2"/>
  <c r="V299" i="2"/>
  <c r="L355" i="2"/>
  <c r="N184" i="2"/>
  <c r="N186" i="2" s="1"/>
  <c r="N240" i="2"/>
  <c r="N528" i="2"/>
  <c r="N241" i="2"/>
  <c r="K241" i="2"/>
  <c r="V69" i="2"/>
  <c r="L508" i="2"/>
  <c r="V354" i="2"/>
  <c r="V357" i="2" s="1"/>
  <c r="T241" i="2"/>
  <c r="P184" i="2"/>
  <c r="N12" i="2"/>
  <c r="L337" i="2"/>
  <c r="V242" i="2"/>
  <c r="V411" i="2"/>
  <c r="J363" i="2"/>
  <c r="W385" i="2"/>
  <c r="X385" i="2" s="1"/>
  <c r="Y385" i="2" s="1"/>
  <c r="K20" i="2"/>
  <c r="K658" i="2" s="1"/>
  <c r="R128" i="2"/>
  <c r="L70" i="2"/>
  <c r="T514" i="2"/>
  <c r="P355" i="2"/>
  <c r="P356" i="2"/>
  <c r="Q356" i="2"/>
  <c r="I71" i="2"/>
  <c r="P412" i="2"/>
  <c r="Q242" i="2"/>
  <c r="P511" i="2"/>
  <c r="L491" i="2"/>
  <c r="L34" i="2"/>
  <c r="P535" i="2"/>
  <c r="N470" i="2"/>
  <c r="S526" i="2"/>
  <c r="R589" i="2"/>
  <c r="W476" i="2"/>
  <c r="X476" i="2" s="1"/>
  <c r="Y476" i="2" s="1"/>
  <c r="P263" i="2"/>
  <c r="L12" i="2"/>
  <c r="L412" i="2"/>
  <c r="L414" i="2" s="1"/>
  <c r="P470" i="2"/>
  <c r="P299" i="2"/>
  <c r="P300" i="2" s="1"/>
  <c r="U477" i="2"/>
  <c r="N535" i="2"/>
  <c r="V149" i="2"/>
  <c r="P71" i="2"/>
  <c r="L69" i="2"/>
  <c r="P413" i="2"/>
  <c r="N226" i="2"/>
  <c r="W818" i="2"/>
  <c r="X818" i="2" s="1"/>
  <c r="Y818" i="2" s="1"/>
  <c r="W109" i="2"/>
  <c r="X109" i="2" s="1"/>
  <c r="Y109" i="2" s="1"/>
  <c r="W419" i="2"/>
  <c r="X419" i="2" s="1"/>
  <c r="Y419" i="2" s="1"/>
  <c r="H554" i="2"/>
  <c r="P377" i="2"/>
  <c r="U92" i="2"/>
  <c r="T397" i="2"/>
  <c r="T354" i="2"/>
  <c r="T337" i="2"/>
  <c r="O242" i="2"/>
  <c r="O12" i="2"/>
  <c r="O299" i="2"/>
  <c r="O300" i="2" s="1"/>
  <c r="O590" i="2"/>
  <c r="M298" i="2"/>
  <c r="N563" i="2"/>
  <c r="O451" i="2"/>
  <c r="O340" i="2"/>
  <c r="U625" i="2"/>
  <c r="O569" i="2"/>
  <c r="N511" i="2"/>
  <c r="T320" i="2"/>
  <c r="J126" i="2"/>
  <c r="T249" i="2"/>
  <c r="N549" i="2"/>
  <c r="K34" i="2"/>
  <c r="T457" i="2"/>
  <c r="V451" i="2"/>
  <c r="W664" i="2"/>
  <c r="X664" i="2" s="1"/>
  <c r="Y664" i="2" s="1"/>
  <c r="K591" i="2"/>
  <c r="W296" i="2"/>
  <c r="X296" i="2" s="1"/>
  <c r="Y296" i="2" s="1"/>
  <c r="T206" i="2"/>
  <c r="W409" i="2"/>
  <c r="X409" i="2" s="1"/>
  <c r="Y409" i="2" s="1"/>
  <c r="W488" i="2"/>
  <c r="X488" i="2" s="1"/>
  <c r="Y488" i="2" s="1"/>
  <c r="W533" i="2"/>
  <c r="X533" i="2" s="1"/>
  <c r="Y533" i="2" s="1"/>
  <c r="W547" i="2"/>
  <c r="X547" i="2" s="1"/>
  <c r="Y547" i="2" s="1"/>
  <c r="Q434" i="2"/>
  <c r="S20" i="2"/>
  <c r="S658" i="2" s="1"/>
  <c r="P249" i="2"/>
  <c r="S320" i="2"/>
  <c r="R263" i="2"/>
  <c r="L211" i="2"/>
  <c r="L363" i="2"/>
  <c r="U325" i="2"/>
  <c r="P34" i="2"/>
  <c r="T439" i="2"/>
  <c r="O563" i="2"/>
  <c r="S508" i="2"/>
  <c r="T394" i="2"/>
  <c r="V454" i="2"/>
  <c r="O526" i="2"/>
  <c r="V569" i="2"/>
  <c r="V397" i="2"/>
  <c r="O280" i="2"/>
  <c r="P508" i="2"/>
  <c r="Q20" i="2"/>
  <c r="Q658" i="2" s="1"/>
  <c r="V597" i="2"/>
  <c r="U97" i="2"/>
  <c r="Q420" i="2"/>
  <c r="S549" i="2"/>
  <c r="S511" i="2"/>
  <c r="R298" i="2"/>
  <c r="R240" i="2"/>
  <c r="J277" i="2"/>
  <c r="R363" i="2"/>
  <c r="R588" i="2"/>
  <c r="P572" i="2"/>
  <c r="T277" i="2"/>
  <c r="K563" i="2"/>
  <c r="J563" i="2"/>
  <c r="V340" i="2"/>
  <c r="O397" i="2"/>
  <c r="S92" i="2"/>
  <c r="R590" i="2"/>
  <c r="R185" i="2"/>
  <c r="S229" i="2"/>
  <c r="O354" i="2"/>
  <c r="O468" i="2"/>
  <c r="N469" i="2"/>
  <c r="V123" i="2"/>
  <c r="I92" i="2"/>
  <c r="H34" i="2"/>
  <c r="J394" i="2"/>
  <c r="R394" i="2"/>
  <c r="U411" i="2"/>
  <c r="U356" i="2"/>
  <c r="O70" i="2"/>
  <c r="O72" i="2" s="1"/>
  <c r="O117" i="2" s="1"/>
  <c r="R569" i="2"/>
  <c r="O411" i="2"/>
  <c r="O566" i="2"/>
  <c r="O394" i="2"/>
  <c r="R283" i="2"/>
  <c r="G508" i="2"/>
  <c r="G451" i="2"/>
  <c r="G394" i="2"/>
  <c r="G477" i="2"/>
  <c r="G397" i="2"/>
  <c r="G566" i="2"/>
  <c r="G631" i="2"/>
  <c r="G223" i="2"/>
  <c r="G325" i="2"/>
  <c r="O634" i="2"/>
  <c r="Q589" i="2"/>
  <c r="O448" i="2"/>
  <c r="K535" i="2"/>
  <c r="S397" i="2"/>
  <c r="S628" i="2"/>
  <c r="U34" i="2"/>
  <c r="H70" i="2"/>
  <c r="Q297" i="2"/>
  <c r="O128" i="2"/>
  <c r="G634" i="2"/>
  <c r="W920" i="2"/>
  <c r="X920" i="2" s="1"/>
  <c r="Y920" i="2" s="1"/>
  <c r="H468" i="2"/>
  <c r="O528" i="2"/>
  <c r="O413" i="2"/>
  <c r="O588" i="2"/>
  <c r="O13" i="2"/>
  <c r="V298" i="2"/>
  <c r="J297" i="2"/>
  <c r="W941" i="2"/>
  <c r="X941" i="2" s="1"/>
  <c r="Y941" i="2" s="1"/>
  <c r="G280" i="2"/>
  <c r="K597" i="2"/>
  <c r="T549" i="2"/>
  <c r="R457" i="2"/>
  <c r="R229" i="2"/>
  <c r="P457" i="2"/>
  <c r="O527" i="2"/>
  <c r="W246" i="2"/>
  <c r="X246" i="2" s="1"/>
  <c r="Y246" i="2" s="1"/>
  <c r="G70" i="2"/>
  <c r="Q340" i="2"/>
  <c r="M412" i="2"/>
  <c r="M411" i="2"/>
  <c r="L240" i="2"/>
  <c r="L526" i="2"/>
  <c r="M469" i="2"/>
  <c r="W585" i="2"/>
  <c r="X585" i="2" s="1"/>
  <c r="Y585" i="2" s="1"/>
  <c r="W431" i="2"/>
  <c r="X431" i="2" s="1"/>
  <c r="Y431" i="2" s="1"/>
  <c r="O268" i="2"/>
  <c r="L549" i="2"/>
  <c r="K340" i="2"/>
  <c r="Q454" i="2"/>
  <c r="K280" i="2"/>
  <c r="M468" i="2"/>
  <c r="L588" i="2"/>
  <c r="L469" i="2"/>
  <c r="L127" i="2"/>
  <c r="M355" i="2"/>
  <c r="K412" i="2"/>
  <c r="K527" i="2"/>
  <c r="K529" i="2" s="1"/>
  <c r="M149" i="2"/>
  <c r="T434" i="2"/>
  <c r="J382" i="2"/>
  <c r="J511" i="2"/>
  <c r="M286" i="2"/>
  <c r="M634" i="2"/>
  <c r="K397" i="2"/>
  <c r="K569" i="2"/>
  <c r="K337" i="2"/>
  <c r="L71" i="2"/>
  <c r="M13" i="2"/>
  <c r="H631" i="2"/>
  <c r="V412" i="2"/>
  <c r="G356" i="2"/>
  <c r="G69" i="2"/>
  <c r="W29" i="2"/>
  <c r="X29" i="2" s="1"/>
  <c r="Y29" i="2" s="1"/>
  <c r="J320" i="2"/>
  <c r="W248" i="2"/>
  <c r="X248" i="2" s="1"/>
  <c r="Y248" i="2" s="1"/>
  <c r="V491" i="2"/>
  <c r="J34" i="2"/>
  <c r="J377" i="2"/>
  <c r="Q223" i="2"/>
  <c r="U355" i="2"/>
  <c r="Q337" i="2"/>
  <c r="U12" i="2"/>
  <c r="M514" i="2"/>
  <c r="P588" i="2"/>
  <c r="P527" i="2"/>
  <c r="I563" i="2"/>
  <c r="G527" i="2"/>
  <c r="G183" i="2"/>
  <c r="W494" i="2"/>
  <c r="X494" i="2" s="1"/>
  <c r="Y494" i="2" s="1"/>
  <c r="N320" i="2"/>
  <c r="P434" i="2"/>
  <c r="Q206" i="2"/>
  <c r="U377" i="2"/>
  <c r="U127" i="2"/>
  <c r="G439" i="2"/>
  <c r="J78" i="2"/>
  <c r="J628" i="2"/>
  <c r="H451" i="2"/>
  <c r="L566" i="2"/>
  <c r="G128" i="2"/>
  <c r="G554" i="2"/>
  <c r="L320" i="2"/>
  <c r="S11" i="2"/>
  <c r="U297" i="2"/>
  <c r="T528" i="2"/>
  <c r="M229" i="2"/>
  <c r="U590" i="2"/>
  <c r="M297" i="2"/>
  <c r="N337" i="2"/>
  <c r="P185" i="2"/>
  <c r="O611" i="2"/>
  <c r="S240" i="2"/>
  <c r="U299" i="2"/>
  <c r="G505" i="2"/>
  <c r="G20" i="2"/>
  <c r="W823" i="2"/>
  <c r="X823" i="2" s="1"/>
  <c r="Y823" i="2" s="1"/>
  <c r="L206" i="2"/>
  <c r="W75" i="2"/>
  <c r="X75" i="2" s="1"/>
  <c r="Y75" i="2" s="1"/>
  <c r="W884" i="2"/>
  <c r="X884" i="2" s="1"/>
  <c r="Y884" i="2" s="1"/>
  <c r="U354" i="2"/>
  <c r="W594" i="2"/>
  <c r="X594" i="2" s="1"/>
  <c r="Y594" i="2" s="1"/>
  <c r="G211" i="2"/>
  <c r="G154" i="2"/>
  <c r="G382" i="2"/>
  <c r="G192" i="2"/>
  <c r="V942" i="2"/>
  <c r="V943" i="2" s="1"/>
  <c r="V445" i="2" s="1"/>
  <c r="T298" i="2"/>
  <c r="T70" i="2"/>
  <c r="R69" i="2"/>
  <c r="T505" i="2"/>
  <c r="H885" i="2"/>
  <c r="H886" i="2" s="1"/>
  <c r="H180" i="2" s="1"/>
  <c r="G241" i="2"/>
  <c r="G13" i="2"/>
  <c r="G355" i="2"/>
  <c r="V408" i="2"/>
  <c r="H491" i="2"/>
  <c r="N631" i="2"/>
  <c r="V896" i="2"/>
  <c r="V294" i="2"/>
  <c r="W190" i="2"/>
  <c r="X190" i="2" s="1"/>
  <c r="Y190" i="2" s="1"/>
  <c r="G34" i="2"/>
  <c r="T668" i="2"/>
  <c r="I320" i="2"/>
  <c r="G78" i="2"/>
  <c r="W95" i="2"/>
  <c r="X95" i="2" s="1"/>
  <c r="Y95" i="2" s="1"/>
  <c r="W317" i="2"/>
  <c r="X317" i="2" s="1"/>
  <c r="Y317" i="2" s="1"/>
  <c r="K325" i="2"/>
  <c r="V875" i="2"/>
  <c r="V66" i="2"/>
  <c r="G206" i="2"/>
  <c r="W465" i="2"/>
  <c r="X465" i="2" s="1"/>
  <c r="Y465" i="2" s="1"/>
  <c r="W438" i="2"/>
  <c r="X438" i="2" s="1"/>
  <c r="Y438" i="2" s="1"/>
  <c r="G377" i="2"/>
  <c r="V868" i="2"/>
  <c r="G411" i="2"/>
  <c r="P206" i="2"/>
  <c r="W18" i="2"/>
  <c r="X18" i="2" s="1"/>
  <c r="Y18" i="2" s="1"/>
  <c r="W351" i="2"/>
  <c r="X351" i="2" s="1"/>
  <c r="Y351" i="2" s="1"/>
  <c r="W31" i="2"/>
  <c r="X31" i="2" s="1"/>
  <c r="Y31" i="2" s="1"/>
  <c r="W872" i="2"/>
  <c r="X872" i="2" s="1"/>
  <c r="Y872" i="2" s="1"/>
  <c r="W815" i="2"/>
  <c r="X815" i="2" s="1"/>
  <c r="Y815" i="2" s="1"/>
  <c r="G12" i="2"/>
  <c r="J325" i="2"/>
  <c r="G921" i="2"/>
  <c r="P242" i="2"/>
  <c r="K320" i="2"/>
  <c r="V936" i="2"/>
  <c r="V331" i="2" s="1"/>
  <c r="W331" i="2" s="1"/>
  <c r="X331" i="2" s="1"/>
  <c r="Y331" i="2" s="1"/>
  <c r="V939" i="2"/>
  <c r="I149" i="2"/>
  <c r="W189" i="2"/>
  <c r="X189" i="2" s="1"/>
  <c r="Y189" i="2" s="1"/>
  <c r="W360" i="2"/>
  <c r="X360" i="2" s="1"/>
  <c r="Y360" i="2" s="1"/>
  <c r="G363" i="2"/>
  <c r="W523" i="2"/>
  <c r="X523" i="2" s="1"/>
  <c r="Y523" i="2" s="1"/>
  <c r="W475" i="2"/>
  <c r="X475" i="2" s="1"/>
  <c r="Y475" i="2" s="1"/>
  <c r="W258" i="2"/>
  <c r="X258" i="2" s="1"/>
  <c r="Y258" i="2" s="1"/>
  <c r="G263" i="2"/>
  <c r="P954" i="2"/>
  <c r="W864" i="2"/>
  <c r="X864" i="2" s="1"/>
  <c r="Y864" i="2" s="1"/>
  <c r="G865" i="2"/>
  <c r="G915" i="2"/>
  <c r="W914" i="2"/>
  <c r="X914" i="2" s="1"/>
  <c r="Y914" i="2" s="1"/>
  <c r="I954" i="2"/>
  <c r="G217" i="2"/>
  <c r="H954" i="2"/>
  <c r="L954" i="2"/>
  <c r="W654" i="2"/>
  <c r="X654" i="2" s="1"/>
  <c r="Y654" i="2" s="1"/>
  <c r="G412" i="2"/>
  <c r="G185" i="2"/>
  <c r="W315" i="2"/>
  <c r="X315" i="2" s="1"/>
  <c r="Y315" i="2" s="1"/>
  <c r="G496" i="2"/>
  <c r="W496" i="2" s="1"/>
  <c r="X496" i="2" s="1"/>
  <c r="Y496" i="2" s="1"/>
  <c r="G420" i="2"/>
  <c r="W417" i="2"/>
  <c r="X417" i="2" s="1"/>
  <c r="Y417" i="2" s="1"/>
  <c r="W266" i="2"/>
  <c r="X266" i="2" s="1"/>
  <c r="Y266" i="2" s="1"/>
  <c r="G268" i="2"/>
  <c r="G943" i="2"/>
  <c r="W145" i="2"/>
  <c r="X145" i="2" s="1"/>
  <c r="Y145" i="2" s="1"/>
  <c r="K954" i="2"/>
  <c r="W17" i="2"/>
  <c r="X17" i="2" s="1"/>
  <c r="Y17" i="2" s="1"/>
  <c r="V889" i="2"/>
  <c r="V180" i="2"/>
  <c r="O434" i="2"/>
  <c r="G92" i="2"/>
  <c r="W437" i="2"/>
  <c r="X437" i="2" s="1"/>
  <c r="Y437" i="2" s="1"/>
  <c r="G514" i="2"/>
  <c r="G343" i="2"/>
  <c r="G572" i="2"/>
  <c r="W203" i="2"/>
  <c r="X203" i="2" s="1"/>
  <c r="Y203" i="2" s="1"/>
  <c r="W132" i="2"/>
  <c r="X132" i="2" s="1"/>
  <c r="Y132" i="2" s="1"/>
  <c r="W821" i="2"/>
  <c r="X821" i="2" s="1"/>
  <c r="Y821" i="2" s="1"/>
  <c r="W863" i="2"/>
  <c r="X863" i="2" s="1"/>
  <c r="Y863" i="2" s="1"/>
  <c r="G249" i="2"/>
  <c r="W927" i="2"/>
  <c r="X927" i="2" s="1"/>
  <c r="Y927" i="2" s="1"/>
  <c r="M325" i="2"/>
  <c r="G306" i="2"/>
  <c r="W372" i="2"/>
  <c r="X372" i="2" s="1"/>
  <c r="Y372" i="2" s="1"/>
  <c r="G240" i="2"/>
  <c r="G589" i="2"/>
  <c r="G11" i="2"/>
  <c r="G126" i="2"/>
  <c r="G71" i="2"/>
  <c r="G590" i="2"/>
  <c r="G588" i="2"/>
  <c r="G184" i="2"/>
  <c r="G298" i="2"/>
  <c r="G354" i="2"/>
  <c r="G413" i="2"/>
  <c r="G470" i="2"/>
  <c r="G528" i="2"/>
  <c r="G468" i="2"/>
  <c r="G127" i="2"/>
  <c r="M439" i="2"/>
  <c r="G597" i="2"/>
  <c r="K149" i="2"/>
  <c r="G526" i="2"/>
  <c r="W891" i="2"/>
  <c r="X891" i="2" s="1"/>
  <c r="Y891" i="2" s="1"/>
  <c r="G892" i="2"/>
  <c r="W87" i="2"/>
  <c r="X87" i="2" s="1"/>
  <c r="Y87" i="2" s="1"/>
  <c r="W532" i="2"/>
  <c r="X532" i="2" s="1"/>
  <c r="Y532" i="2" s="1"/>
  <c r="V915" i="2"/>
  <c r="V103" i="2" s="1"/>
  <c r="V918" i="2"/>
  <c r="G448" i="2"/>
  <c r="G625" i="2"/>
  <c r="G229" i="2"/>
  <c r="W198" i="2"/>
  <c r="X198" i="2" s="1"/>
  <c r="Y198" i="2" s="1"/>
  <c r="W312" i="2"/>
  <c r="X312" i="2" s="1"/>
  <c r="Y312" i="2" s="1"/>
  <c r="G457" i="2"/>
  <c r="W146" i="2"/>
  <c r="X146" i="2" s="1"/>
  <c r="Y146" i="2" s="1"/>
  <c r="W552" i="2"/>
  <c r="X552" i="2" s="1"/>
  <c r="Y552" i="2" s="1"/>
  <c r="G299" i="2"/>
  <c r="W913" i="2"/>
  <c r="X913" i="2" s="1"/>
  <c r="Y913" i="2" s="1"/>
  <c r="G242" i="2"/>
  <c r="G97" i="2"/>
  <c r="I439" i="2"/>
  <c r="W380" i="2"/>
  <c r="X380" i="2" s="1"/>
  <c r="Y380" i="2" s="1"/>
  <c r="G149" i="2"/>
  <c r="W144" i="2"/>
  <c r="X144" i="2" s="1"/>
  <c r="Y144" i="2" s="1"/>
  <c r="W898" i="2"/>
  <c r="X898" i="2" s="1"/>
  <c r="Y898" i="2" s="1"/>
  <c r="G616" i="2"/>
  <c r="W616" i="2" s="1"/>
  <c r="X616" i="2" s="1"/>
  <c r="Y616" i="2" s="1"/>
  <c r="V929" i="2"/>
  <c r="V217" i="2" s="1"/>
  <c r="V932" i="2"/>
  <c r="G908" i="2"/>
  <c r="W907" i="2"/>
  <c r="X907" i="2" s="1"/>
  <c r="Y907" i="2" s="1"/>
  <c r="K434" i="2"/>
  <c r="G220" i="2"/>
  <c r="W928" i="2"/>
  <c r="X928" i="2" s="1"/>
  <c r="Y928" i="2" s="1"/>
  <c r="W201" i="2"/>
  <c r="X201" i="2" s="1"/>
  <c r="Y201" i="2" s="1"/>
  <c r="W651" i="2"/>
  <c r="X651" i="2" s="1"/>
  <c r="Y651" i="2" s="1"/>
  <c r="W652" i="2"/>
  <c r="X652" i="2" s="1"/>
  <c r="Y652" i="2" s="1"/>
  <c r="W166" i="2"/>
  <c r="X166" i="2" s="1"/>
  <c r="Y166" i="2" s="1"/>
  <c r="G277" i="2"/>
  <c r="G611" i="2"/>
  <c r="G286" i="2"/>
  <c r="G469" i="2"/>
  <c r="G320" i="2"/>
  <c r="G334" i="2"/>
  <c r="G511" i="2"/>
  <c r="G569" i="2"/>
  <c r="G340" i="2"/>
  <c r="G226" i="2"/>
  <c r="G454" i="2"/>
  <c r="G337" i="2"/>
  <c r="G283" i="2"/>
  <c r="W209" i="2"/>
  <c r="X209" i="2" s="1"/>
  <c r="Y209" i="2" s="1"/>
  <c r="W659" i="2"/>
  <c r="X659" i="2" s="1"/>
  <c r="Y659" i="2" s="1"/>
  <c r="G628" i="2"/>
  <c r="G391" i="2"/>
  <c r="G899" i="2"/>
  <c r="G39" i="2"/>
  <c r="W39" i="2" s="1"/>
  <c r="X39" i="2" s="1"/>
  <c r="Y39" i="2" s="1"/>
  <c r="T149" i="2"/>
  <c r="W877" i="2"/>
  <c r="X877" i="2" s="1"/>
  <c r="Y877" i="2" s="1"/>
  <c r="W871" i="2"/>
  <c r="X871" i="2" s="1"/>
  <c r="Y871" i="2" s="1"/>
  <c r="W486" i="2"/>
  <c r="X486" i="2" s="1"/>
  <c r="Y486" i="2" s="1"/>
  <c r="J206" i="2"/>
  <c r="O149" i="2"/>
  <c r="W152" i="2"/>
  <c r="X152" i="2" s="1"/>
  <c r="Y152" i="2" s="1"/>
  <c r="W237" i="2"/>
  <c r="X237" i="2" s="1"/>
  <c r="Y237" i="2" s="1"/>
  <c r="W934" i="2"/>
  <c r="X934" i="2" s="1"/>
  <c r="Y934" i="2" s="1"/>
  <c r="W323" i="2"/>
  <c r="X323" i="2" s="1"/>
  <c r="Y323" i="2" s="1"/>
  <c r="L149" i="2"/>
  <c r="G135" i="2"/>
  <c r="G878" i="2"/>
  <c r="G549" i="2"/>
  <c r="W544" i="2"/>
  <c r="X544" i="2" s="1"/>
  <c r="Y544" i="2" s="1"/>
  <c r="W614" i="2"/>
  <c r="X614" i="2" s="1"/>
  <c r="Y614" i="2" s="1"/>
  <c r="G535" i="2"/>
  <c r="W474" i="2"/>
  <c r="X474" i="2" s="1"/>
  <c r="Y474" i="2" s="1"/>
  <c r="W935" i="2"/>
  <c r="X935" i="2" s="1"/>
  <c r="Y935" i="2" s="1"/>
  <c r="U703" i="2"/>
  <c r="U716" i="2"/>
  <c r="U724" i="2" s="1"/>
  <c r="W37" i="2"/>
  <c r="X37" i="2" s="1"/>
  <c r="Y37" i="2" s="1"/>
  <c r="W870" i="2"/>
  <c r="X870" i="2" s="1"/>
  <c r="Y870" i="2" s="1"/>
  <c r="W906" i="2"/>
  <c r="X906" i="2" s="1"/>
  <c r="Y906" i="2" s="1"/>
  <c r="G491" i="2"/>
  <c r="V908" i="2"/>
  <c r="V45" i="2" s="1"/>
  <c r="V911" i="2"/>
  <c r="O320" i="2"/>
  <c r="I434" i="2"/>
  <c r="Q954" i="2"/>
  <c r="O954" i="2"/>
  <c r="K206" i="2"/>
  <c r="J434" i="2"/>
  <c r="W606" i="2"/>
  <c r="X606" i="2" s="1"/>
  <c r="Y606" i="2" s="1"/>
  <c r="M954" i="2"/>
  <c r="V922" i="2"/>
  <c r="V160" i="2" s="1"/>
  <c r="V925" i="2"/>
  <c r="G434" i="2"/>
  <c r="W429" i="2"/>
  <c r="X429" i="2" s="1"/>
  <c r="Y429" i="2" s="1"/>
  <c r="W303" i="2"/>
  <c r="X303" i="2" s="1"/>
  <c r="Y303" i="2" s="1"/>
  <c r="W426" i="2"/>
  <c r="X426" i="2" s="1"/>
  <c r="Y426" i="2" s="1"/>
  <c r="H434" i="2"/>
  <c r="R954" i="2"/>
  <c r="J149" i="2"/>
  <c r="M434" i="2"/>
  <c r="S954" i="2"/>
  <c r="J954" i="2"/>
  <c r="N149" i="2"/>
  <c r="N434" i="2"/>
  <c r="P149" i="2"/>
  <c r="N954" i="2"/>
  <c r="H149" i="2"/>
  <c r="M280" i="2"/>
  <c r="M451" i="2"/>
  <c r="M226" i="2"/>
  <c r="M508" i="2"/>
  <c r="M569" i="2"/>
  <c r="M397" i="2"/>
  <c r="M283" i="2"/>
  <c r="M566" i="2"/>
  <c r="M628" i="2"/>
  <c r="M454" i="2"/>
  <c r="M511" i="2"/>
  <c r="M337" i="2"/>
  <c r="L457" i="2"/>
  <c r="L400" i="2"/>
  <c r="L229" i="2"/>
  <c r="L572" i="2"/>
  <c r="L514" i="2"/>
  <c r="L286" i="2"/>
  <c r="L277" i="2"/>
  <c r="L625" i="2"/>
  <c r="L505" i="2"/>
  <c r="L391" i="2"/>
  <c r="L334" i="2"/>
  <c r="L220" i="2"/>
  <c r="L448" i="2"/>
  <c r="I566" i="2"/>
  <c r="I454" i="2"/>
  <c r="I569" i="2"/>
  <c r="S297" i="2"/>
  <c r="I514" i="2"/>
  <c r="L343" i="2"/>
  <c r="I397" i="2"/>
  <c r="H400" i="2"/>
  <c r="H229" i="2"/>
  <c r="H514" i="2"/>
  <c r="H457" i="2"/>
  <c r="H286" i="2"/>
  <c r="H572" i="2"/>
  <c r="H343" i="2"/>
  <c r="O457" i="2"/>
  <c r="O343" i="2"/>
  <c r="O286" i="2"/>
  <c r="O400" i="2"/>
  <c r="O229" i="2"/>
  <c r="S183" i="2"/>
  <c r="O572" i="2"/>
  <c r="M277" i="2"/>
  <c r="M505" i="2"/>
  <c r="M220" i="2"/>
  <c r="M448" i="2"/>
  <c r="M334" i="2"/>
  <c r="M391" i="2"/>
  <c r="M625" i="2"/>
  <c r="M563" i="2"/>
  <c r="P334" i="2"/>
  <c r="P277" i="2"/>
  <c r="P625" i="2"/>
  <c r="P220" i="2"/>
  <c r="P448" i="2"/>
  <c r="P505" i="2"/>
  <c r="P391" i="2"/>
  <c r="S412" i="2"/>
  <c r="I343" i="2"/>
  <c r="I229" i="2"/>
  <c r="I572" i="2"/>
  <c r="I634" i="2"/>
  <c r="M340" i="2"/>
  <c r="J590" i="2"/>
  <c r="J241" i="2"/>
  <c r="J185" i="2"/>
  <c r="J413" i="2"/>
  <c r="J11" i="2"/>
  <c r="J469" i="2"/>
  <c r="J242" i="2"/>
  <c r="J71" i="2"/>
  <c r="J69" i="2"/>
  <c r="J354" i="2"/>
  <c r="J184" i="2"/>
  <c r="J527" i="2"/>
  <c r="J412" i="2"/>
  <c r="J240" i="2"/>
  <c r="J526" i="2"/>
  <c r="J355" i="2"/>
  <c r="J470" i="2"/>
  <c r="J128" i="2"/>
  <c r="J298" i="2"/>
  <c r="J127" i="2"/>
  <c r="J411" i="2"/>
  <c r="J589" i="2"/>
  <c r="J356" i="2"/>
  <c r="J588" i="2"/>
  <c r="Q286" i="2"/>
  <c r="Q634" i="2"/>
  <c r="Q229" i="2"/>
  <c r="Q514" i="2"/>
  <c r="Q572" i="2"/>
  <c r="Q343" i="2"/>
  <c r="Q457" i="2"/>
  <c r="Q400" i="2"/>
  <c r="H470" i="2"/>
  <c r="H240" i="2"/>
  <c r="H413" i="2"/>
  <c r="H298" i="2"/>
  <c r="H589" i="2"/>
  <c r="H412" i="2"/>
  <c r="H469" i="2"/>
  <c r="H527" i="2"/>
  <c r="H241" i="2"/>
  <c r="H588" i="2"/>
  <c r="H127" i="2"/>
  <c r="H13" i="2"/>
  <c r="H297" i="2"/>
  <c r="H299" i="2"/>
  <c r="H128" i="2"/>
  <c r="H69" i="2"/>
  <c r="H185" i="2"/>
  <c r="H356" i="2"/>
  <c r="H242" i="2"/>
  <c r="H528" i="2"/>
  <c r="H11" i="2"/>
  <c r="H12" i="2"/>
  <c r="H355" i="2"/>
  <c r="H354" i="2"/>
  <c r="H526" i="2"/>
  <c r="H411" i="2"/>
  <c r="H71" i="2"/>
  <c r="R343" i="2"/>
  <c r="R286" i="2"/>
  <c r="R634" i="2"/>
  <c r="R400" i="2"/>
  <c r="R514" i="2"/>
  <c r="S413" i="2"/>
  <c r="M394" i="2"/>
  <c r="J299" i="2"/>
  <c r="J528" i="2"/>
  <c r="I286" i="2"/>
  <c r="J468" i="2"/>
  <c r="S298" i="2"/>
  <c r="S470" i="2"/>
  <c r="S13" i="2"/>
  <c r="S588" i="2"/>
  <c r="S128" i="2"/>
  <c r="S528" i="2"/>
  <c r="S185" i="2"/>
  <c r="S184" i="2"/>
  <c r="S126" i="2"/>
  <c r="S70" i="2"/>
  <c r="S354" i="2"/>
  <c r="S468" i="2"/>
  <c r="S356" i="2"/>
  <c r="S589" i="2"/>
  <c r="S127" i="2"/>
  <c r="S355" i="2"/>
  <c r="S71" i="2"/>
  <c r="S590" i="2"/>
  <c r="S299" i="2"/>
  <c r="S241" i="2"/>
  <c r="S469" i="2"/>
  <c r="S69" i="2"/>
  <c r="S242" i="2"/>
  <c r="S527" i="2"/>
  <c r="S411" i="2"/>
  <c r="I226" i="2"/>
  <c r="I280" i="2"/>
  <c r="I337" i="2"/>
  <c r="I508" i="2"/>
  <c r="I628" i="2"/>
  <c r="I394" i="2"/>
  <c r="I451" i="2"/>
  <c r="I631" i="2"/>
  <c r="I283" i="2"/>
  <c r="I340" i="2"/>
  <c r="J70" i="2"/>
  <c r="M631" i="2"/>
  <c r="I457" i="2"/>
  <c r="H184" i="2"/>
  <c r="J12" i="2"/>
  <c r="Q280" i="2"/>
  <c r="Q511" i="2"/>
  <c r="Q283" i="2"/>
  <c r="Q566" i="2"/>
  <c r="Q397" i="2"/>
  <c r="U280" i="2"/>
  <c r="U223" i="2"/>
  <c r="U451" i="2"/>
  <c r="U397" i="2"/>
  <c r="U631" i="2"/>
  <c r="U283" i="2"/>
  <c r="J226" i="2"/>
  <c r="J283" i="2"/>
  <c r="J337" i="2"/>
  <c r="J454" i="2"/>
  <c r="U11" i="2"/>
  <c r="R511" i="2"/>
  <c r="R280" i="2"/>
  <c r="R226" i="2"/>
  <c r="R223" i="2"/>
  <c r="R126" i="2"/>
  <c r="R183" i="2"/>
  <c r="R127" i="2"/>
  <c r="R11" i="2"/>
  <c r="R527" i="2"/>
  <c r="R355" i="2"/>
  <c r="R469" i="2"/>
  <c r="U468" i="2"/>
  <c r="T468" i="2"/>
  <c r="V277" i="2"/>
  <c r="V220" i="2"/>
  <c r="V391" i="2"/>
  <c r="V448" i="2"/>
  <c r="V625" i="2"/>
  <c r="U569" i="2"/>
  <c r="K566" i="2"/>
  <c r="K628" i="2"/>
  <c r="K283" i="2"/>
  <c r="K454" i="2"/>
  <c r="U508" i="2"/>
  <c r="S343" i="2"/>
  <c r="R566" i="2"/>
  <c r="P286" i="2"/>
  <c r="R454" i="2"/>
  <c r="H448" i="2"/>
  <c r="H505" i="2"/>
  <c r="H220" i="2"/>
  <c r="H625" i="2"/>
  <c r="H334" i="2"/>
  <c r="H391" i="2"/>
  <c r="H277" i="2"/>
  <c r="H563" i="2"/>
  <c r="S569" i="2"/>
  <c r="J569" i="2"/>
  <c r="P343" i="2"/>
  <c r="T400" i="2"/>
  <c r="R413" i="2"/>
  <c r="K334" i="2"/>
  <c r="K625" i="2"/>
  <c r="K220" i="2"/>
  <c r="K448" i="2"/>
  <c r="T526" i="2"/>
  <c r="J631" i="2"/>
  <c r="L589" i="2"/>
  <c r="Q451" i="2"/>
  <c r="Q226" i="2"/>
  <c r="M185" i="2"/>
  <c r="M470" i="2"/>
  <c r="M12" i="2"/>
  <c r="M590" i="2"/>
  <c r="M356" i="2"/>
  <c r="M413" i="2"/>
  <c r="M527" i="2"/>
  <c r="M240" i="2"/>
  <c r="J397" i="2"/>
  <c r="L356" i="2"/>
  <c r="L11" i="2"/>
  <c r="T283" i="2"/>
  <c r="T451" i="2"/>
  <c r="T628" i="2"/>
  <c r="T631" i="2"/>
  <c r="T280" i="2"/>
  <c r="T569" i="2"/>
  <c r="T69" i="2"/>
  <c r="K511" i="2"/>
  <c r="R468" i="2"/>
  <c r="Q628" i="2"/>
  <c r="Q526" i="2"/>
  <c r="Q469" i="2"/>
  <c r="Q471" i="2" s="1"/>
  <c r="Q71" i="2"/>
  <c r="Q528" i="2"/>
  <c r="L354" i="2"/>
  <c r="T527" i="2"/>
  <c r="R356" i="2"/>
  <c r="I240" i="2"/>
  <c r="I588" i="2"/>
  <c r="I184" i="2"/>
  <c r="I186" i="2" s="1"/>
  <c r="I355" i="2"/>
  <c r="I127" i="2"/>
  <c r="I242" i="2"/>
  <c r="I297" i="2"/>
  <c r="I469" i="2"/>
  <c r="I471" i="2" s="1"/>
  <c r="I128" i="2"/>
  <c r="I354" i="2"/>
  <c r="I298" i="2"/>
  <c r="I12" i="2"/>
  <c r="I14" i="2" s="1"/>
  <c r="M69" i="2"/>
  <c r="P468" i="2"/>
  <c r="P70" i="2"/>
  <c r="M343" i="2"/>
  <c r="S400" i="2"/>
  <c r="S286" i="2"/>
  <c r="U412" i="2"/>
  <c r="U184" i="2"/>
  <c r="U413" i="2"/>
  <c r="V563" i="2"/>
  <c r="Q569" i="2"/>
  <c r="T334" i="2"/>
  <c r="T625" i="2"/>
  <c r="T448" i="2"/>
  <c r="R508" i="2"/>
  <c r="Q508" i="2"/>
  <c r="L241" i="2"/>
  <c r="U242" i="2"/>
  <c r="U511" i="2"/>
  <c r="R354" i="2"/>
  <c r="R357" i="2" s="1"/>
  <c r="P229" i="2"/>
  <c r="V400" i="2"/>
  <c r="V343" i="2"/>
  <c r="V634" i="2"/>
  <c r="V229" i="2"/>
  <c r="V514" i="2"/>
  <c r="K514" i="2"/>
  <c r="M11" i="2"/>
  <c r="U566" i="2"/>
  <c r="K286" i="2"/>
  <c r="M528" i="2"/>
  <c r="S451" i="2"/>
  <c r="T508" i="2"/>
  <c r="M70" i="2"/>
  <c r="T71" i="2"/>
  <c r="R470" i="2"/>
  <c r="M128" i="2"/>
  <c r="M129" i="2" s="1"/>
  <c r="T391" i="2"/>
  <c r="O220" i="2"/>
  <c r="O505" i="2"/>
  <c r="O334" i="2"/>
  <c r="T297" i="2"/>
  <c r="R451" i="2"/>
  <c r="R397" i="2"/>
  <c r="K631" i="2"/>
  <c r="R70" i="2"/>
  <c r="K400" i="2"/>
  <c r="M71" i="2"/>
  <c r="Q241" i="2"/>
  <c r="U628" i="2"/>
  <c r="T454" i="2"/>
  <c r="Q412" i="2"/>
  <c r="L128" i="2"/>
  <c r="U528" i="2"/>
  <c r="U13" i="2"/>
  <c r="U527" i="2"/>
  <c r="U241" i="2"/>
  <c r="U126" i="2"/>
  <c r="U240" i="2"/>
  <c r="U185" i="2"/>
  <c r="U128" i="2"/>
  <c r="U70" i="2"/>
  <c r="U526" i="2"/>
  <c r="U589" i="2"/>
  <c r="M400" i="2"/>
  <c r="U394" i="2"/>
  <c r="S220" i="2"/>
  <c r="U298" i="2"/>
  <c r="K572" i="2"/>
  <c r="T355" i="2"/>
  <c r="R337" i="2"/>
  <c r="T411" i="2"/>
  <c r="K451" i="2"/>
  <c r="R241" i="2"/>
  <c r="P128" i="2"/>
  <c r="P528" i="2"/>
  <c r="P589" i="2"/>
  <c r="P69" i="2"/>
  <c r="P12" i="2"/>
  <c r="P14" i="2" s="1"/>
  <c r="L527" i="2"/>
  <c r="P411" i="2"/>
  <c r="Q631" i="2"/>
  <c r="L13" i="2"/>
  <c r="P514" i="2"/>
  <c r="R411" i="2"/>
  <c r="S226" i="2"/>
  <c r="P127" i="2"/>
  <c r="P129" i="2" s="1"/>
  <c r="P174" i="2" s="1"/>
  <c r="J566" i="2"/>
  <c r="J340" i="2"/>
  <c r="U337" i="2"/>
  <c r="J508" i="2"/>
  <c r="T356" i="2"/>
  <c r="Q354" i="2"/>
  <c r="Q70" i="2"/>
  <c r="S572" i="2"/>
  <c r="J505" i="2"/>
  <c r="J625" i="2"/>
  <c r="J334" i="2"/>
  <c r="J220" i="2"/>
  <c r="R526" i="2"/>
  <c r="R628" i="2"/>
  <c r="R340" i="2"/>
  <c r="T229" i="2"/>
  <c r="U340" i="2"/>
  <c r="M526" i="2"/>
  <c r="P526" i="2"/>
  <c r="K457" i="2"/>
  <c r="T226" i="2"/>
  <c r="M241" i="2"/>
  <c r="P354" i="2"/>
  <c r="T12" i="2"/>
  <c r="T588" i="2"/>
  <c r="T128" i="2"/>
  <c r="T470" i="2"/>
  <c r="T13" i="2"/>
  <c r="T240" i="2"/>
  <c r="T469" i="2"/>
  <c r="T590" i="2"/>
  <c r="T127" i="2"/>
  <c r="T11" i="2"/>
  <c r="R242" i="2"/>
  <c r="S277" i="2"/>
  <c r="S334" i="2"/>
  <c r="S391" i="2"/>
  <c r="S505" i="2"/>
  <c r="S563" i="2"/>
  <c r="S448" i="2"/>
  <c r="U469" i="2"/>
  <c r="R297" i="2"/>
  <c r="U183" i="2"/>
  <c r="R13" i="2"/>
  <c r="S223" i="2"/>
  <c r="S454" i="2"/>
  <c r="S566" i="2"/>
  <c r="T343" i="2"/>
  <c r="S280" i="2"/>
  <c r="L297" i="2"/>
  <c r="L298" i="2"/>
  <c r="L528" i="2"/>
  <c r="L470" i="2"/>
  <c r="L242" i="2"/>
  <c r="L185" i="2"/>
  <c r="L184" i="2"/>
  <c r="R299" i="2"/>
  <c r="J280" i="2"/>
  <c r="U454" i="2"/>
  <c r="L468" i="2"/>
  <c r="V334" i="2"/>
  <c r="U71" i="2"/>
  <c r="R12" i="2"/>
  <c r="I625" i="2"/>
  <c r="I448" i="2"/>
  <c r="I277" i="2"/>
  <c r="I220" i="2"/>
  <c r="I334" i="2"/>
  <c r="T220" i="2"/>
  <c r="K634" i="2"/>
  <c r="K226" i="2"/>
  <c r="R412" i="2"/>
  <c r="T299" i="2"/>
  <c r="T634" i="2"/>
  <c r="R528" i="2"/>
  <c r="U588" i="2"/>
  <c r="S634" i="2"/>
  <c r="M572" i="2"/>
  <c r="T185" i="2"/>
  <c r="T412" i="2"/>
  <c r="U470" i="2"/>
  <c r="T184" i="2"/>
  <c r="I391" i="2"/>
  <c r="V457" i="2"/>
  <c r="H397" i="2"/>
  <c r="O412" i="2"/>
  <c r="O469" i="2"/>
  <c r="N127" i="2"/>
  <c r="N129" i="2" s="1"/>
  <c r="N454" i="2"/>
  <c r="O11" i="2"/>
  <c r="N277" i="2"/>
  <c r="N334" i="2"/>
  <c r="N220" i="2"/>
  <c r="N625" i="2"/>
  <c r="N283" i="2"/>
  <c r="N13" i="2"/>
  <c r="N14" i="2" s="1"/>
  <c r="N412" i="2"/>
  <c r="V226" i="2"/>
  <c r="N297" i="2"/>
  <c r="N300" i="2" s="1"/>
  <c r="O241" i="2"/>
  <c r="O243" i="2" s="1"/>
  <c r="U514" i="2"/>
  <c r="H394" i="2"/>
  <c r="H454" i="2"/>
  <c r="N526" i="2"/>
  <c r="N529" i="2" s="1"/>
  <c r="N628" i="2"/>
  <c r="U343" i="2"/>
  <c r="H283" i="2"/>
  <c r="V283" i="2"/>
  <c r="O127" i="2"/>
  <c r="U277" i="2"/>
  <c r="U220" i="2"/>
  <c r="U334" i="2"/>
  <c r="V628" i="2"/>
  <c r="N397" i="2"/>
  <c r="O631" i="2"/>
  <c r="O226" i="2"/>
  <c r="H569" i="2"/>
  <c r="V280" i="2"/>
  <c r="V240" i="2"/>
  <c r="V243" i="2" s="1"/>
  <c r="V183" i="2"/>
  <c r="H226" i="2"/>
  <c r="O355" i="2"/>
  <c r="U391" i="2"/>
  <c r="O185" i="2"/>
  <c r="O186" i="2" s="1"/>
  <c r="O356" i="2"/>
  <c r="O511" i="2"/>
  <c r="V297" i="2"/>
  <c r="U448" i="2"/>
  <c r="O628" i="2"/>
  <c r="W211" i="2" l="1"/>
  <c r="X211" i="2" s="1"/>
  <c r="Y211" i="2" s="1"/>
  <c r="N72" i="2"/>
  <c r="J186" i="2"/>
  <c r="Q14" i="2"/>
  <c r="T703" i="2"/>
  <c r="W97" i="2"/>
  <c r="X97" i="2" s="1"/>
  <c r="Y97" i="2" s="1"/>
  <c r="O591" i="2"/>
  <c r="O636" i="2" s="1"/>
  <c r="O707" i="2" s="1"/>
  <c r="I529" i="2"/>
  <c r="W154" i="2"/>
  <c r="X154" i="2" s="1"/>
  <c r="Y154" i="2" s="1"/>
  <c r="W666" i="2"/>
  <c r="X666" i="2" s="1"/>
  <c r="Y666" i="2" s="1"/>
  <c r="V471" i="2"/>
  <c r="V516" i="2" s="1"/>
  <c r="V733" i="2" s="1"/>
  <c r="N117" i="2"/>
  <c r="Q357" i="2"/>
  <c r="O129" i="2"/>
  <c r="O174" i="2" s="1"/>
  <c r="W796" i="2"/>
  <c r="X796" i="2" s="1"/>
  <c r="Y796" i="2" s="1"/>
  <c r="W797" i="2"/>
  <c r="X797" i="2" s="1"/>
  <c r="Y797" i="2" s="1"/>
  <c r="M357" i="2"/>
  <c r="M402" i="2" s="1"/>
  <c r="M731" i="2" s="1"/>
  <c r="V591" i="2"/>
  <c r="N414" i="2"/>
  <c r="U300" i="2"/>
  <c r="U345" i="2" s="1"/>
  <c r="U674" i="2" s="1"/>
  <c r="W382" i="2"/>
  <c r="X382" i="2" s="1"/>
  <c r="Y382" i="2" s="1"/>
  <c r="K72" i="2"/>
  <c r="K117" i="2" s="1"/>
  <c r="K414" i="2"/>
  <c r="K471" i="2"/>
  <c r="K516" i="2" s="1"/>
  <c r="K733" i="2" s="1"/>
  <c r="V14" i="2"/>
  <c r="V752" i="2" s="1"/>
  <c r="K300" i="2"/>
  <c r="Q129" i="2"/>
  <c r="Q174" i="2" s="1"/>
  <c r="Q952" i="2" s="1"/>
  <c r="Q657" i="2" s="1"/>
  <c r="Q668" i="2" s="1"/>
  <c r="K129" i="2"/>
  <c r="K174" i="2" s="1"/>
  <c r="V59" i="2"/>
  <c r="W554" i="2"/>
  <c r="X554" i="2" s="1"/>
  <c r="Y554" i="2" s="1"/>
  <c r="K243" i="2"/>
  <c r="K288" i="2" s="1"/>
  <c r="O471" i="2"/>
  <c r="O516" i="2" s="1"/>
  <c r="P471" i="2"/>
  <c r="I591" i="2"/>
  <c r="I636" i="2" s="1"/>
  <c r="P243" i="2"/>
  <c r="P288" i="2" s="1"/>
  <c r="L72" i="2"/>
  <c r="L117" i="2" s="1"/>
  <c r="N471" i="2"/>
  <c r="N516" i="2" s="1"/>
  <c r="N733" i="2" s="1"/>
  <c r="T243" i="2"/>
  <c r="T288" i="2" s="1"/>
  <c r="Q414" i="2"/>
  <c r="Q459" i="2" s="1"/>
  <c r="Q676" i="2" s="1"/>
  <c r="Q732" i="2" s="1"/>
  <c r="M591" i="2"/>
  <c r="M636" i="2" s="1"/>
  <c r="M766" i="2" s="1"/>
  <c r="W535" i="2"/>
  <c r="X535" i="2" s="1"/>
  <c r="Y535" i="2" s="1"/>
  <c r="V716" i="2"/>
  <c r="V724" i="2" s="1"/>
  <c r="V779" i="2" s="1"/>
  <c r="V788" i="2" s="1"/>
  <c r="Q591" i="2"/>
  <c r="Q636" i="2" s="1"/>
  <c r="Q766" i="2" s="1"/>
  <c r="W611" i="2"/>
  <c r="X611" i="2" s="1"/>
  <c r="Y611" i="2" s="1"/>
  <c r="T716" i="2"/>
  <c r="T724" i="2" s="1"/>
  <c r="R591" i="2"/>
  <c r="R636" i="2" s="1"/>
  <c r="R766" i="2" s="1"/>
  <c r="W477" i="2"/>
  <c r="X477" i="2" s="1"/>
  <c r="Y477" i="2" s="1"/>
  <c r="W249" i="2"/>
  <c r="X249" i="2" s="1"/>
  <c r="Y249" i="2" s="1"/>
  <c r="V129" i="2"/>
  <c r="V174" i="2" s="1"/>
  <c r="V687" i="2" s="1"/>
  <c r="V751" i="2" s="1"/>
  <c r="P357" i="2"/>
  <c r="P402" i="2" s="1"/>
  <c r="P731" i="2" s="1"/>
  <c r="V574" i="2"/>
  <c r="V678" i="2" s="1"/>
  <c r="V734" i="2" s="1"/>
  <c r="M414" i="2"/>
  <c r="M471" i="2"/>
  <c r="M516" i="2" s="1"/>
  <c r="L591" i="2"/>
  <c r="L636" i="2" s="1"/>
  <c r="L707" i="2" s="1"/>
  <c r="V72" i="2"/>
  <c r="V117" i="2" s="1"/>
  <c r="N402" i="2"/>
  <c r="N675" i="2" s="1"/>
  <c r="O414" i="2"/>
  <c r="P414" i="2"/>
  <c r="P459" i="2" s="1"/>
  <c r="P676" i="2" s="1"/>
  <c r="P732" i="2" s="1"/>
  <c r="Q243" i="2"/>
  <c r="Q288" i="2" s="1"/>
  <c r="M186" i="2"/>
  <c r="M231" i="2" s="1"/>
  <c r="W363" i="2"/>
  <c r="X363" i="2" s="1"/>
  <c r="Y363" i="2" s="1"/>
  <c r="W377" i="2"/>
  <c r="X377" i="2" s="1"/>
  <c r="Y377" i="2" s="1"/>
  <c r="V414" i="2"/>
  <c r="V459" i="2" s="1"/>
  <c r="V676" i="2" s="1"/>
  <c r="V732" i="2" s="1"/>
  <c r="P186" i="2"/>
  <c r="P231" i="2" s="1"/>
  <c r="P673" i="2" s="1"/>
  <c r="W942" i="2"/>
  <c r="X942" i="2" s="1"/>
  <c r="Y942" i="2" s="1"/>
  <c r="O288" i="2"/>
  <c r="N174" i="2"/>
  <c r="W549" i="2"/>
  <c r="X549" i="2" s="1"/>
  <c r="Y549" i="2" s="1"/>
  <c r="W92" i="2"/>
  <c r="X92" i="2" s="1"/>
  <c r="Y92" i="2" s="1"/>
  <c r="W268" i="2"/>
  <c r="X268" i="2" s="1"/>
  <c r="Y268" i="2" s="1"/>
  <c r="W263" i="2"/>
  <c r="X263" i="2" s="1"/>
  <c r="Y263" i="2" s="1"/>
  <c r="Q300" i="2"/>
  <c r="Q345" i="2" s="1"/>
  <c r="Q730" i="2" s="1"/>
  <c r="V300" i="2"/>
  <c r="V345" i="2" s="1"/>
  <c r="V753" i="2" s="1"/>
  <c r="R72" i="2"/>
  <c r="R117" i="2" s="1"/>
  <c r="L357" i="2"/>
  <c r="L402" i="2" s="1"/>
  <c r="O14" i="2"/>
  <c r="O59" i="2" s="1"/>
  <c r="P591" i="2"/>
  <c r="P636" i="2" s="1"/>
  <c r="P707" i="2" s="1"/>
  <c r="P768" i="2" s="1"/>
  <c r="L129" i="2"/>
  <c r="L174" i="2" s="1"/>
  <c r="M174" i="2"/>
  <c r="H186" i="2"/>
  <c r="H231" i="2" s="1"/>
  <c r="S14" i="2"/>
  <c r="S752" i="2" s="1"/>
  <c r="W885" i="2"/>
  <c r="X885" i="2" s="1"/>
  <c r="Y885" i="2" s="1"/>
  <c r="W597" i="2"/>
  <c r="X597" i="2" s="1"/>
  <c r="Y597" i="2" s="1"/>
  <c r="W34" i="2"/>
  <c r="X34" i="2" s="1"/>
  <c r="Y34" i="2" s="1"/>
  <c r="W20" i="2"/>
  <c r="X20" i="2" s="1"/>
  <c r="Y20" i="2" s="1"/>
  <c r="M300" i="2"/>
  <c r="W936" i="2"/>
  <c r="X936" i="2" s="1"/>
  <c r="Y936" i="2" s="1"/>
  <c r="K402" i="2"/>
  <c r="K731" i="2" s="1"/>
  <c r="U357" i="2"/>
  <c r="U402" i="2" s="1"/>
  <c r="U731" i="2" s="1"/>
  <c r="W491" i="2"/>
  <c r="X491" i="2" s="1"/>
  <c r="Y491" i="2" s="1"/>
  <c r="G658" i="2"/>
  <c r="I72" i="2"/>
  <c r="I117" i="2" s="1"/>
  <c r="L459" i="2"/>
  <c r="L676" i="2" s="1"/>
  <c r="L732" i="2" s="1"/>
  <c r="N243" i="2"/>
  <c r="N288" i="2" s="1"/>
  <c r="W78" i="2"/>
  <c r="X78" i="2" s="1"/>
  <c r="Y78" i="2" s="1"/>
  <c r="G243" i="2"/>
  <c r="G288" i="2" s="1"/>
  <c r="Q72" i="2"/>
  <c r="Q117" i="2" s="1"/>
  <c r="U186" i="2"/>
  <c r="U231" i="2" s="1"/>
  <c r="W394" i="2"/>
  <c r="X394" i="2" s="1"/>
  <c r="Y394" i="2" s="1"/>
  <c r="U591" i="2"/>
  <c r="U636" i="2" s="1"/>
  <c r="U766" i="2" s="1"/>
  <c r="O529" i="2"/>
  <c r="W192" i="2"/>
  <c r="X192" i="2" s="1"/>
  <c r="Y192" i="2" s="1"/>
  <c r="J129" i="2"/>
  <c r="J174" i="2" s="1"/>
  <c r="S414" i="2"/>
  <c r="S459" i="2" s="1"/>
  <c r="S676" i="2" s="1"/>
  <c r="S732" i="2" s="1"/>
  <c r="W180" i="2"/>
  <c r="X180" i="2" s="1"/>
  <c r="Y180" i="2" s="1"/>
  <c r="L186" i="2"/>
  <c r="L231" i="2" s="1"/>
  <c r="H471" i="2"/>
  <c r="H516" i="2" s="1"/>
  <c r="H677" i="2" s="1"/>
  <c r="W439" i="2"/>
  <c r="X439" i="2" s="1"/>
  <c r="Y439" i="2" s="1"/>
  <c r="W66" i="2"/>
  <c r="X66" i="2" s="1"/>
  <c r="Y66" i="2" s="1"/>
  <c r="P72" i="2"/>
  <c r="P117" i="2" s="1"/>
  <c r="J471" i="2"/>
  <c r="J516" i="2" s="1"/>
  <c r="M529" i="2"/>
  <c r="Q402" i="2"/>
  <c r="Q675" i="2" s="1"/>
  <c r="T591" i="2"/>
  <c r="T636" i="2" s="1"/>
  <c r="T707" i="2" s="1"/>
  <c r="T768" i="2" s="1"/>
  <c r="M14" i="2"/>
  <c r="M752" i="2" s="1"/>
  <c r="Q231" i="2"/>
  <c r="Q729" i="2" s="1"/>
  <c r="J591" i="2"/>
  <c r="J636" i="2" s="1"/>
  <c r="W886" i="2"/>
  <c r="X886" i="2" s="1"/>
  <c r="Y886" i="2" s="1"/>
  <c r="T129" i="2"/>
  <c r="T174" i="2" s="1"/>
  <c r="T687" i="2" s="1"/>
  <c r="S129" i="2"/>
  <c r="S174" i="2" s="1"/>
  <c r="S687" i="2" s="1"/>
  <c r="U129" i="2"/>
  <c r="U174" i="2" s="1"/>
  <c r="U687" i="2" s="1"/>
  <c r="Q529" i="2"/>
  <c r="S243" i="2"/>
  <c r="S288" i="2" s="1"/>
  <c r="H591" i="2"/>
  <c r="H636" i="2" s="1"/>
  <c r="P529" i="2"/>
  <c r="P574" i="2" s="1"/>
  <c r="P678" i="2" s="1"/>
  <c r="P734" i="2" s="1"/>
  <c r="I357" i="2"/>
  <c r="S529" i="2"/>
  <c r="S574" i="2" s="1"/>
  <c r="S678" i="2" s="1"/>
  <c r="S734" i="2" s="1"/>
  <c r="V288" i="2"/>
  <c r="N636" i="2"/>
  <c r="N766" i="2" s="1"/>
  <c r="T186" i="2"/>
  <c r="T231" i="2" s="1"/>
  <c r="T729" i="2" s="1"/>
  <c r="L300" i="2"/>
  <c r="R300" i="2"/>
  <c r="R414" i="2"/>
  <c r="I129" i="2"/>
  <c r="I174" i="2" s="1"/>
  <c r="I243" i="2"/>
  <c r="I288" i="2" s="1"/>
  <c r="K636" i="2"/>
  <c r="K766" i="2" s="1"/>
  <c r="W280" i="2"/>
  <c r="X280" i="2" s="1"/>
  <c r="Y280" i="2" s="1"/>
  <c r="S357" i="2"/>
  <c r="S402" i="2" s="1"/>
  <c r="S675" i="2" s="1"/>
  <c r="H14" i="2"/>
  <c r="H59" i="2" s="1"/>
  <c r="W297" i="2"/>
  <c r="X297" i="2" s="1"/>
  <c r="Y297" i="2" s="1"/>
  <c r="J414" i="2"/>
  <c r="J14" i="2"/>
  <c r="J59" i="2" s="1"/>
  <c r="O345" i="2"/>
  <c r="O753" i="2" s="1"/>
  <c r="W206" i="2"/>
  <c r="X206" i="2" s="1"/>
  <c r="Y206" i="2" s="1"/>
  <c r="G529" i="2"/>
  <c r="G922" i="2"/>
  <c r="G160" i="2" s="1"/>
  <c r="W921" i="2"/>
  <c r="X921" i="2" s="1"/>
  <c r="Y921" i="2" s="1"/>
  <c r="W397" i="2"/>
  <c r="X397" i="2" s="1"/>
  <c r="Y397" i="2" s="1"/>
  <c r="T14" i="2"/>
  <c r="T752" i="2" s="1"/>
  <c r="T414" i="2"/>
  <c r="T459" i="2" s="1"/>
  <c r="T676" i="2" s="1"/>
  <c r="T732" i="2" s="1"/>
  <c r="R471" i="2"/>
  <c r="R516" i="2" s="1"/>
  <c r="R733" i="2" s="1"/>
  <c r="M243" i="2"/>
  <c r="M288" i="2" s="1"/>
  <c r="T529" i="2"/>
  <c r="T574" i="2" s="1"/>
  <c r="T678" i="2" s="1"/>
  <c r="T734" i="2" s="1"/>
  <c r="W505" i="2"/>
  <c r="X505" i="2" s="1"/>
  <c r="Y505" i="2" s="1"/>
  <c r="V636" i="2"/>
  <c r="V707" i="2" s="1"/>
  <c r="V768" i="2" s="1"/>
  <c r="W183" i="2"/>
  <c r="X183" i="2" s="1"/>
  <c r="Y183" i="2" s="1"/>
  <c r="S72" i="2"/>
  <c r="S117" i="2" s="1"/>
  <c r="H72" i="2"/>
  <c r="H117" i="2" s="1"/>
  <c r="P345" i="2"/>
  <c r="P753" i="2" s="1"/>
  <c r="G471" i="2"/>
  <c r="G516" i="2" s="1"/>
  <c r="I300" i="2"/>
  <c r="Q516" i="2"/>
  <c r="Q733" i="2" s="1"/>
  <c r="L14" i="2"/>
  <c r="L752" i="2" s="1"/>
  <c r="T471" i="2"/>
  <c r="T516" i="2" s="1"/>
  <c r="T677" i="2" s="1"/>
  <c r="R129" i="2"/>
  <c r="R174" i="2" s="1"/>
  <c r="R952" i="2" s="1"/>
  <c r="R657" i="2" s="1"/>
  <c r="W631" i="2"/>
  <c r="X631" i="2" s="1"/>
  <c r="Y631" i="2" s="1"/>
  <c r="W508" i="2"/>
  <c r="X508" i="2" s="1"/>
  <c r="Y508" i="2" s="1"/>
  <c r="W355" i="2"/>
  <c r="X355" i="2" s="1"/>
  <c r="Y355" i="2" s="1"/>
  <c r="W128" i="2"/>
  <c r="X128" i="2" s="1"/>
  <c r="Y128" i="2" s="1"/>
  <c r="J300" i="2"/>
  <c r="J529" i="2"/>
  <c r="W566" i="2"/>
  <c r="X566" i="2" s="1"/>
  <c r="Y566" i="2" s="1"/>
  <c r="T72" i="2"/>
  <c r="T117" i="2" s="1"/>
  <c r="W563" i="2"/>
  <c r="X563" i="2" s="1"/>
  <c r="Y563" i="2" s="1"/>
  <c r="K574" i="2"/>
  <c r="K678" i="2" s="1"/>
  <c r="K734" i="2" s="1"/>
  <c r="V402" i="2"/>
  <c r="V675" i="2" s="1"/>
  <c r="R14" i="2"/>
  <c r="R752" i="2" s="1"/>
  <c r="W223" i="2"/>
  <c r="X223" i="2" s="1"/>
  <c r="Y223" i="2" s="1"/>
  <c r="W70" i="2"/>
  <c r="X70" i="2" s="1"/>
  <c r="Y70" i="2" s="1"/>
  <c r="W451" i="2"/>
  <c r="X451" i="2" s="1"/>
  <c r="Y451" i="2" s="1"/>
  <c r="S471" i="2"/>
  <c r="S516" i="2" s="1"/>
  <c r="S591" i="2"/>
  <c r="S636" i="2" s="1"/>
  <c r="S766" i="2" s="1"/>
  <c r="W12" i="2"/>
  <c r="X12" i="2" s="1"/>
  <c r="Y12" i="2" s="1"/>
  <c r="H243" i="2"/>
  <c r="H288" i="2" s="1"/>
  <c r="J243" i="2"/>
  <c r="J288" i="2" s="1"/>
  <c r="J357" i="2"/>
  <c r="J402" i="2" s="1"/>
  <c r="J675" i="2" s="1"/>
  <c r="S186" i="2"/>
  <c r="S231" i="2" s="1"/>
  <c r="S673" i="2" s="1"/>
  <c r="W400" i="2"/>
  <c r="X400" i="2" s="1"/>
  <c r="Y400" i="2" s="1"/>
  <c r="S300" i="2"/>
  <c r="S345" i="2" s="1"/>
  <c r="S674" i="2" s="1"/>
  <c r="W434" i="2"/>
  <c r="X434" i="2" s="1"/>
  <c r="Y434" i="2" s="1"/>
  <c r="I459" i="2"/>
  <c r="I676" i="2" s="1"/>
  <c r="I732" i="2" s="1"/>
  <c r="K459" i="2"/>
  <c r="K676" i="2" s="1"/>
  <c r="K732" i="2" s="1"/>
  <c r="M952" i="2"/>
  <c r="M657" i="2" s="1"/>
  <c r="I752" i="2"/>
  <c r="I59" i="2"/>
  <c r="I516" i="2"/>
  <c r="O231" i="2"/>
  <c r="N574" i="2"/>
  <c r="N678" i="2" s="1"/>
  <c r="N734" i="2" s="1"/>
  <c r="N752" i="2"/>
  <c r="N59" i="2"/>
  <c r="P952" i="2"/>
  <c r="P657" i="2" s="1"/>
  <c r="P687" i="2"/>
  <c r="P752" i="2"/>
  <c r="P59" i="2"/>
  <c r="I231" i="2"/>
  <c r="J231" i="2"/>
  <c r="N459" i="2"/>
  <c r="N676" i="2" s="1"/>
  <c r="N732" i="2" s="1"/>
  <c r="R529" i="2"/>
  <c r="L529" i="2"/>
  <c r="R402" i="2"/>
  <c r="H357" i="2"/>
  <c r="H402" i="2" s="1"/>
  <c r="W13" i="2"/>
  <c r="X13" i="2" s="1"/>
  <c r="Y13" i="2" s="1"/>
  <c r="W527" i="2"/>
  <c r="X527" i="2" s="1"/>
  <c r="Y527" i="2" s="1"/>
  <c r="J681" i="2"/>
  <c r="J799" i="2"/>
  <c r="J737" i="2"/>
  <c r="R681" i="2"/>
  <c r="R737" i="2"/>
  <c r="R799" i="2"/>
  <c r="Q681" i="2"/>
  <c r="Q737" i="2"/>
  <c r="Q799" i="2"/>
  <c r="W226" i="2"/>
  <c r="X226" i="2" s="1"/>
  <c r="Y226" i="2" s="1"/>
  <c r="W286" i="2"/>
  <c r="X286" i="2" s="1"/>
  <c r="Y286" i="2" s="1"/>
  <c r="W470" i="2"/>
  <c r="X470" i="2" s="1"/>
  <c r="Y470" i="2" s="1"/>
  <c r="W184" i="2"/>
  <c r="X184" i="2" s="1"/>
  <c r="Y184" i="2" s="1"/>
  <c r="G186" i="2"/>
  <c r="W126" i="2"/>
  <c r="X126" i="2" s="1"/>
  <c r="Y126" i="2" s="1"/>
  <c r="W343" i="2"/>
  <c r="X343" i="2" s="1"/>
  <c r="Y343" i="2" s="1"/>
  <c r="R186" i="2"/>
  <c r="R231" i="2" s="1"/>
  <c r="W943" i="2"/>
  <c r="X943" i="2" s="1"/>
  <c r="Y943" i="2" s="1"/>
  <c r="G445" i="2"/>
  <c r="W420" i="2"/>
  <c r="X420" i="2" s="1"/>
  <c r="Y420" i="2" s="1"/>
  <c r="W185" i="2"/>
  <c r="X185" i="2" s="1"/>
  <c r="Y185" i="2" s="1"/>
  <c r="W217" i="2"/>
  <c r="X217" i="2" s="1"/>
  <c r="Y217" i="2" s="1"/>
  <c r="W658" i="2"/>
  <c r="X658" i="2" s="1"/>
  <c r="Y658" i="2" s="1"/>
  <c r="L471" i="2"/>
  <c r="U529" i="2"/>
  <c r="U574" i="2" s="1"/>
  <c r="U678" i="2" s="1"/>
  <c r="U734" i="2" s="1"/>
  <c r="U243" i="2"/>
  <c r="U288" i="2" s="1"/>
  <c r="U414" i="2"/>
  <c r="U459" i="2" s="1"/>
  <c r="U676" i="2" s="1"/>
  <c r="U732" i="2" s="1"/>
  <c r="H129" i="2"/>
  <c r="H174" i="2" s="1"/>
  <c r="W634" i="2"/>
  <c r="X634" i="2" s="1"/>
  <c r="Y634" i="2" s="1"/>
  <c r="N681" i="2"/>
  <c r="N799" i="2"/>
  <c r="N737" i="2"/>
  <c r="W878" i="2"/>
  <c r="X878" i="2" s="1"/>
  <c r="Y878" i="2" s="1"/>
  <c r="G879" i="2"/>
  <c r="W899" i="2"/>
  <c r="X899" i="2" s="1"/>
  <c r="Y899" i="2" s="1"/>
  <c r="G900" i="2"/>
  <c r="W391" i="2"/>
  <c r="X391" i="2" s="1"/>
  <c r="Y391" i="2" s="1"/>
  <c r="W283" i="2"/>
  <c r="X283" i="2" s="1"/>
  <c r="Y283" i="2" s="1"/>
  <c r="W340" i="2"/>
  <c r="X340" i="2" s="1"/>
  <c r="Y340" i="2" s="1"/>
  <c r="W334" i="2"/>
  <c r="X334" i="2" s="1"/>
  <c r="Y334" i="2" s="1"/>
  <c r="W149" i="2"/>
  <c r="X149" i="2" s="1"/>
  <c r="Y149" i="2" s="1"/>
  <c r="W242" i="2"/>
  <c r="X242" i="2" s="1"/>
  <c r="Y242" i="2" s="1"/>
  <c r="W457" i="2"/>
  <c r="X457" i="2" s="1"/>
  <c r="Y457" i="2" s="1"/>
  <c r="W229" i="2"/>
  <c r="X229" i="2" s="1"/>
  <c r="Y229" i="2" s="1"/>
  <c r="W127" i="2"/>
  <c r="X127" i="2" s="1"/>
  <c r="Y127" i="2" s="1"/>
  <c r="W413" i="2"/>
  <c r="X413" i="2" s="1"/>
  <c r="Y413" i="2" s="1"/>
  <c r="W588" i="2"/>
  <c r="X588" i="2" s="1"/>
  <c r="Y588" i="2" s="1"/>
  <c r="W11" i="2"/>
  <c r="X11" i="2" s="1"/>
  <c r="Y11" i="2" s="1"/>
  <c r="W514" i="2"/>
  <c r="X514" i="2" s="1"/>
  <c r="Y514" i="2" s="1"/>
  <c r="K681" i="2"/>
  <c r="K799" i="2"/>
  <c r="K737" i="2"/>
  <c r="W412" i="2"/>
  <c r="X412" i="2" s="1"/>
  <c r="Y412" i="2" s="1"/>
  <c r="H681" i="2"/>
  <c r="H799" i="2"/>
  <c r="H737" i="2"/>
  <c r="W865" i="2"/>
  <c r="X865" i="2" s="1"/>
  <c r="Y865" i="2" s="1"/>
  <c r="G8" i="2"/>
  <c r="W69" i="2"/>
  <c r="X69" i="2" s="1"/>
  <c r="Y69" i="2" s="1"/>
  <c r="N345" i="2"/>
  <c r="R243" i="2"/>
  <c r="R288" i="2" s="1"/>
  <c r="T357" i="2"/>
  <c r="T402" i="2" s="1"/>
  <c r="U72" i="2"/>
  <c r="U117" i="2" s="1"/>
  <c r="T300" i="2"/>
  <c r="P516" i="2"/>
  <c r="Q574" i="2"/>
  <c r="Q678" i="2" s="1"/>
  <c r="Q734" i="2" s="1"/>
  <c r="L766" i="2"/>
  <c r="U471" i="2"/>
  <c r="U516" i="2" s="1"/>
  <c r="U14" i="2"/>
  <c r="W411" i="2"/>
  <c r="X411" i="2" s="1"/>
  <c r="Y411" i="2" s="1"/>
  <c r="H414" i="2"/>
  <c r="W356" i="2"/>
  <c r="X356" i="2" s="1"/>
  <c r="Y356" i="2" s="1"/>
  <c r="S737" i="2"/>
  <c r="S681" i="2"/>
  <c r="S799" i="2"/>
  <c r="M681" i="2"/>
  <c r="M799" i="2"/>
  <c r="M737" i="2"/>
  <c r="U762" i="2"/>
  <c r="U779" i="2"/>
  <c r="U788" i="2" s="1"/>
  <c r="W628" i="2"/>
  <c r="X628" i="2" s="1"/>
  <c r="Y628" i="2" s="1"/>
  <c r="W337" i="2"/>
  <c r="X337" i="2" s="1"/>
  <c r="Y337" i="2" s="1"/>
  <c r="W569" i="2"/>
  <c r="X569" i="2" s="1"/>
  <c r="Y569" i="2" s="1"/>
  <c r="W320" i="2"/>
  <c r="X320" i="2" s="1"/>
  <c r="Y320" i="2" s="1"/>
  <c r="W277" i="2"/>
  <c r="X277" i="2" s="1"/>
  <c r="Y277" i="2" s="1"/>
  <c r="W908" i="2"/>
  <c r="X908" i="2" s="1"/>
  <c r="Y908" i="2" s="1"/>
  <c r="G45" i="2"/>
  <c r="W45" i="2" s="1"/>
  <c r="X45" i="2" s="1"/>
  <c r="Y45" i="2" s="1"/>
  <c r="W299" i="2"/>
  <c r="X299" i="2" s="1"/>
  <c r="Y299" i="2" s="1"/>
  <c r="W625" i="2"/>
  <c r="X625" i="2" s="1"/>
  <c r="Y625" i="2" s="1"/>
  <c r="W325" i="2"/>
  <c r="X325" i="2" s="1"/>
  <c r="Y325" i="2" s="1"/>
  <c r="W526" i="2"/>
  <c r="X526" i="2" s="1"/>
  <c r="Y526" i="2" s="1"/>
  <c r="W468" i="2"/>
  <c r="X468" i="2" s="1"/>
  <c r="Y468" i="2" s="1"/>
  <c r="W354" i="2"/>
  <c r="X354" i="2" s="1"/>
  <c r="Y354" i="2" s="1"/>
  <c r="W590" i="2"/>
  <c r="X590" i="2" s="1"/>
  <c r="Y590" i="2" s="1"/>
  <c r="W589" i="2"/>
  <c r="X589" i="2" s="1"/>
  <c r="Y589" i="2" s="1"/>
  <c r="V186" i="2"/>
  <c r="V231" i="2" s="1"/>
  <c r="K752" i="2"/>
  <c r="K59" i="2"/>
  <c r="L681" i="2"/>
  <c r="L799" i="2"/>
  <c r="L737" i="2"/>
  <c r="I681" i="2"/>
  <c r="I799" i="2"/>
  <c r="I737" i="2"/>
  <c r="W915" i="2"/>
  <c r="X915" i="2" s="1"/>
  <c r="Y915" i="2" s="1"/>
  <c r="G103" i="2"/>
  <c r="W103" i="2" s="1"/>
  <c r="X103" i="2" s="1"/>
  <c r="Y103" i="2" s="1"/>
  <c r="N231" i="2"/>
  <c r="G591" i="2"/>
  <c r="O357" i="2"/>
  <c r="O402" i="2" s="1"/>
  <c r="M574" i="2"/>
  <c r="M678" i="2" s="1"/>
  <c r="M734" i="2" s="1"/>
  <c r="L243" i="2"/>
  <c r="L288" i="2" s="1"/>
  <c r="M72" i="2"/>
  <c r="M117" i="2" s="1"/>
  <c r="H529" i="2"/>
  <c r="W241" i="2"/>
  <c r="X241" i="2" s="1"/>
  <c r="Y241" i="2" s="1"/>
  <c r="J72" i="2"/>
  <c r="J117" i="2" s="1"/>
  <c r="O681" i="2"/>
  <c r="O799" i="2"/>
  <c r="O737" i="2"/>
  <c r="Q752" i="2"/>
  <c r="Q59" i="2"/>
  <c r="W135" i="2"/>
  <c r="X135" i="2" s="1"/>
  <c r="Y135" i="2" s="1"/>
  <c r="W454" i="2"/>
  <c r="X454" i="2" s="1"/>
  <c r="Y454" i="2" s="1"/>
  <c r="W511" i="2"/>
  <c r="X511" i="2" s="1"/>
  <c r="Y511" i="2" s="1"/>
  <c r="W469" i="2"/>
  <c r="X469" i="2" s="1"/>
  <c r="Y469" i="2" s="1"/>
  <c r="W220" i="2"/>
  <c r="X220" i="2" s="1"/>
  <c r="Y220" i="2" s="1"/>
  <c r="W448" i="2"/>
  <c r="X448" i="2" s="1"/>
  <c r="Y448" i="2" s="1"/>
  <c r="W892" i="2"/>
  <c r="X892" i="2" s="1"/>
  <c r="Y892" i="2" s="1"/>
  <c r="G893" i="2"/>
  <c r="K231" i="2"/>
  <c r="W528" i="2"/>
  <c r="X528" i="2" s="1"/>
  <c r="Y528" i="2" s="1"/>
  <c r="W298" i="2"/>
  <c r="X298" i="2" s="1"/>
  <c r="Y298" i="2" s="1"/>
  <c r="W71" i="2"/>
  <c r="X71" i="2" s="1"/>
  <c r="Y71" i="2" s="1"/>
  <c r="G72" i="2"/>
  <c r="W240" i="2"/>
  <c r="X240" i="2" s="1"/>
  <c r="Y240" i="2" s="1"/>
  <c r="W306" i="2"/>
  <c r="X306" i="2" s="1"/>
  <c r="Y306" i="2" s="1"/>
  <c r="I574" i="2"/>
  <c r="I678" i="2" s="1"/>
  <c r="I734" i="2" s="1"/>
  <c r="W572" i="2"/>
  <c r="X572" i="2" s="1"/>
  <c r="Y572" i="2" s="1"/>
  <c r="W929" i="2"/>
  <c r="X929" i="2" s="1"/>
  <c r="Y929" i="2" s="1"/>
  <c r="H300" i="2"/>
  <c r="P681" i="2"/>
  <c r="P799" i="2"/>
  <c r="P737" i="2"/>
  <c r="G357" i="2"/>
  <c r="G574" i="2" l="1"/>
  <c r="J459" i="2"/>
  <c r="J676" i="2" s="1"/>
  <c r="J732" i="2" s="1"/>
  <c r="O459" i="2"/>
  <c r="O676" i="2" s="1"/>
  <c r="O732" i="2" s="1"/>
  <c r="M459" i="2"/>
  <c r="M676" i="2" s="1"/>
  <c r="M732" i="2" s="1"/>
  <c r="J574" i="2"/>
  <c r="J678" i="2" s="1"/>
  <c r="J734" i="2" s="1"/>
  <c r="J952" i="2"/>
  <c r="J657" i="2" s="1"/>
  <c r="M687" i="2"/>
  <c r="N687" i="2"/>
  <c r="Q703" i="2"/>
  <c r="L687" i="2"/>
  <c r="O952" i="2"/>
  <c r="O657" i="2" s="1"/>
  <c r="K675" i="2"/>
  <c r="K345" i="2"/>
  <c r="K753" i="2" s="1"/>
  <c r="O687" i="2"/>
  <c r="P675" i="2"/>
  <c r="I402" i="2"/>
  <c r="V762" i="2"/>
  <c r="N731" i="2"/>
  <c r="T779" i="2"/>
  <c r="T788" i="2" s="1"/>
  <c r="T762" i="2"/>
  <c r="Q687" i="2"/>
  <c r="T59" i="2"/>
  <c r="Q673" i="2"/>
  <c r="P766" i="2"/>
  <c r="S952" i="2"/>
  <c r="S657" i="2" s="1"/>
  <c r="S668" i="2" s="1"/>
  <c r="O752" i="2"/>
  <c r="K952" i="2"/>
  <c r="K657" i="2" s="1"/>
  <c r="K687" i="2"/>
  <c r="K730" i="2"/>
  <c r="M677" i="2"/>
  <c r="M733" i="2"/>
  <c r="L952" i="2"/>
  <c r="L657" i="2" s="1"/>
  <c r="Q958" i="2"/>
  <c r="Q754" i="2" s="1"/>
  <c r="V730" i="2"/>
  <c r="R707" i="2"/>
  <c r="R768" i="2" s="1"/>
  <c r="L59" i="2"/>
  <c r="U730" i="2"/>
  <c r="V677" i="2"/>
  <c r="M345" i="2"/>
  <c r="U753" i="2"/>
  <c r="L345" i="2"/>
  <c r="L753" i="2" s="1"/>
  <c r="P958" i="2"/>
  <c r="P754" i="2" s="1"/>
  <c r="J731" i="2"/>
  <c r="N677" i="2"/>
  <c r="S753" i="2"/>
  <c r="N952" i="2"/>
  <c r="N657" i="2" s="1"/>
  <c r="U751" i="2"/>
  <c r="H733" i="2"/>
  <c r="S59" i="2"/>
  <c r="M675" i="2"/>
  <c r="Q731" i="2"/>
  <c r="H752" i="2"/>
  <c r="Q716" i="2"/>
  <c r="Q724" i="2" s="1"/>
  <c r="V766" i="2"/>
  <c r="U707" i="2"/>
  <c r="U768" i="2" s="1"/>
  <c r="M707" i="2"/>
  <c r="J345" i="2"/>
  <c r="J730" i="2" s="1"/>
  <c r="O574" i="2"/>
  <c r="O678" i="2" s="1"/>
  <c r="O734" i="2" s="1"/>
  <c r="S731" i="2"/>
  <c r="O766" i="2"/>
  <c r="J752" i="2"/>
  <c r="Q707" i="2"/>
  <c r="Q768" i="2" s="1"/>
  <c r="L675" i="2"/>
  <c r="L731" i="2"/>
  <c r="R687" i="2"/>
  <c r="K677" i="2"/>
  <c r="V674" i="2"/>
  <c r="R59" i="2"/>
  <c r="J687" i="2"/>
  <c r="S730" i="2"/>
  <c r="U675" i="2"/>
  <c r="J677" i="2"/>
  <c r="J733" i="2"/>
  <c r="W922" i="2"/>
  <c r="X922" i="2" s="1"/>
  <c r="Y922" i="2" s="1"/>
  <c r="T673" i="2"/>
  <c r="Q753" i="2"/>
  <c r="T733" i="2"/>
  <c r="S729" i="2"/>
  <c r="S958" i="2"/>
  <c r="S754" i="2" s="1"/>
  <c r="V731" i="2"/>
  <c r="U673" i="2"/>
  <c r="U729" i="2"/>
  <c r="U958" i="2"/>
  <c r="U754" i="2" s="1"/>
  <c r="Q674" i="2"/>
  <c r="O730" i="2"/>
  <c r="M59" i="2"/>
  <c r="K707" i="2"/>
  <c r="I687" i="2"/>
  <c r="T958" i="2"/>
  <c r="T754" i="2" s="1"/>
  <c r="Q677" i="2"/>
  <c r="O674" i="2"/>
  <c r="I952" i="2"/>
  <c r="I657" i="2" s="1"/>
  <c r="T766" i="2"/>
  <c r="R677" i="2"/>
  <c r="J766" i="2"/>
  <c r="J707" i="2"/>
  <c r="P674" i="2"/>
  <c r="I345" i="2"/>
  <c r="I753" i="2" s="1"/>
  <c r="P730" i="2"/>
  <c r="V755" i="2"/>
  <c r="V805" i="2" s="1"/>
  <c r="N707" i="2"/>
  <c r="S707" i="2"/>
  <c r="S768" i="2" s="1"/>
  <c r="P729" i="2"/>
  <c r="W243" i="2"/>
  <c r="X243" i="2" s="1"/>
  <c r="Y243" i="2" s="1"/>
  <c r="W160" i="2"/>
  <c r="X160" i="2" s="1"/>
  <c r="Y160" i="2" s="1"/>
  <c r="R574" i="2"/>
  <c r="R678" i="2" s="1"/>
  <c r="R734" i="2" s="1"/>
  <c r="R459" i="2"/>
  <c r="R676" i="2" s="1"/>
  <c r="R732" i="2" s="1"/>
  <c r="W288" i="2"/>
  <c r="X288" i="2" s="1"/>
  <c r="Y288" i="2" s="1"/>
  <c r="R668" i="2"/>
  <c r="R345" i="2"/>
  <c r="W72" i="2"/>
  <c r="X72" i="2" s="1"/>
  <c r="Y72" i="2" s="1"/>
  <c r="G117" i="2"/>
  <c r="W117" i="2" s="1"/>
  <c r="X117" i="2" s="1"/>
  <c r="Y117" i="2" s="1"/>
  <c r="W893" i="2"/>
  <c r="X893" i="2" s="1"/>
  <c r="Y893" i="2" s="1"/>
  <c r="G294" i="2"/>
  <c r="N958" i="2"/>
  <c r="N754" i="2" s="1"/>
  <c r="N673" i="2"/>
  <c r="N729" i="2"/>
  <c r="H345" i="2"/>
  <c r="K958" i="2"/>
  <c r="K754" i="2" s="1"/>
  <c r="K673" i="2"/>
  <c r="K729" i="2"/>
  <c r="U733" i="2"/>
  <c r="U677" i="2"/>
  <c r="I766" i="2"/>
  <c r="I707" i="2"/>
  <c r="H952" i="2"/>
  <c r="H657" i="2" s="1"/>
  <c r="H687" i="2"/>
  <c r="L516" i="2"/>
  <c r="W516" i="2" s="1"/>
  <c r="X516" i="2" s="1"/>
  <c r="Y516" i="2" s="1"/>
  <c r="R731" i="2"/>
  <c r="R675" i="2"/>
  <c r="G678" i="2"/>
  <c r="M958" i="2"/>
  <c r="M754" i="2" s="1"/>
  <c r="M673" i="2"/>
  <c r="M729" i="2"/>
  <c r="G636" i="2"/>
  <c r="W591" i="2"/>
  <c r="X591" i="2" s="1"/>
  <c r="Y591" i="2" s="1"/>
  <c r="W357" i="2"/>
  <c r="X357" i="2" s="1"/>
  <c r="Y357" i="2" s="1"/>
  <c r="G402" i="2"/>
  <c r="H574" i="2"/>
  <c r="H678" i="2" s="1"/>
  <c r="H734" i="2" s="1"/>
  <c r="L751" i="2"/>
  <c r="O731" i="2"/>
  <c r="O675" i="2"/>
  <c r="H766" i="2"/>
  <c r="H707" i="2"/>
  <c r="S733" i="2"/>
  <c r="S677" i="2"/>
  <c r="S705" i="2" s="1"/>
  <c r="L768" i="2"/>
  <c r="I731" i="2"/>
  <c r="I675" i="2"/>
  <c r="N753" i="2"/>
  <c r="N674" i="2"/>
  <c r="N730" i="2"/>
  <c r="W8" i="2"/>
  <c r="X8" i="2" s="1"/>
  <c r="Y8" i="2" s="1"/>
  <c r="G954" i="2"/>
  <c r="G14" i="2"/>
  <c r="L574" i="2"/>
  <c r="L678" i="2" s="1"/>
  <c r="L734" i="2" s="1"/>
  <c r="W529" i="2"/>
  <c r="X529" i="2" s="1"/>
  <c r="Y529" i="2" s="1"/>
  <c r="J958" i="2"/>
  <c r="J754" i="2" s="1"/>
  <c r="J673" i="2"/>
  <c r="J729" i="2"/>
  <c r="S751" i="2"/>
  <c r="N751" i="2"/>
  <c r="O958" i="2"/>
  <c r="O754" i="2" s="1"/>
  <c r="O729" i="2"/>
  <c r="O673" i="2"/>
  <c r="I733" i="2"/>
  <c r="I677" i="2"/>
  <c r="O668" i="2"/>
  <c r="G733" i="2"/>
  <c r="G677" i="2"/>
  <c r="K668" i="2"/>
  <c r="H958" i="2"/>
  <c r="H754" i="2" s="1"/>
  <c r="H729" i="2"/>
  <c r="H673" i="2"/>
  <c r="V729" i="2"/>
  <c r="V673" i="2"/>
  <c r="P733" i="2"/>
  <c r="P677" i="2"/>
  <c r="G408" i="2"/>
  <c r="W900" i="2"/>
  <c r="X900" i="2" s="1"/>
  <c r="Y900" i="2" s="1"/>
  <c r="W879" i="2"/>
  <c r="X879" i="2" s="1"/>
  <c r="Y879" i="2" s="1"/>
  <c r="G123" i="2"/>
  <c r="H731" i="2"/>
  <c r="H675" i="2"/>
  <c r="I958" i="2"/>
  <c r="I754" i="2" s="1"/>
  <c r="I673" i="2"/>
  <c r="I729" i="2"/>
  <c r="P751" i="2"/>
  <c r="T751" i="2"/>
  <c r="O768" i="2"/>
  <c r="W471" i="2"/>
  <c r="X471" i="2" s="1"/>
  <c r="Y471" i="2" s="1"/>
  <c r="M668" i="2"/>
  <c r="L674" i="2"/>
  <c r="H459" i="2"/>
  <c r="H676" i="2" s="1"/>
  <c r="H732" i="2" s="1"/>
  <c r="U752" i="2"/>
  <c r="U59" i="2"/>
  <c r="T345" i="2"/>
  <c r="T675" i="2"/>
  <c r="T731" i="2"/>
  <c r="O733" i="2"/>
  <c r="O677" i="2"/>
  <c r="W445" i="2"/>
  <c r="X445" i="2" s="1"/>
  <c r="Y445" i="2" s="1"/>
  <c r="R958" i="2"/>
  <c r="R754" i="2" s="1"/>
  <c r="R729" i="2"/>
  <c r="R673" i="2"/>
  <c r="W186" i="2"/>
  <c r="X186" i="2" s="1"/>
  <c r="Y186" i="2" s="1"/>
  <c r="G231" i="2"/>
  <c r="P668" i="2"/>
  <c r="L673" i="2"/>
  <c r="L958" i="2"/>
  <c r="L754" i="2" s="1"/>
  <c r="L729" i="2"/>
  <c r="J668" i="2"/>
  <c r="O751" i="2"/>
  <c r="M751" i="2"/>
  <c r="P755" i="2" l="1"/>
  <c r="Q762" i="2"/>
  <c r="K674" i="2"/>
  <c r="J768" i="2"/>
  <c r="M768" i="2"/>
  <c r="L668" i="2"/>
  <c r="K768" i="2"/>
  <c r="L730" i="2"/>
  <c r="N768" i="2"/>
  <c r="Q751" i="2"/>
  <c r="Q755" i="2" s="1"/>
  <c r="S716" i="2"/>
  <c r="S724" i="2" s="1"/>
  <c r="K751" i="2"/>
  <c r="K755" i="2" s="1"/>
  <c r="Q779" i="2"/>
  <c r="Q788" i="2" s="1"/>
  <c r="S703" i="2"/>
  <c r="S709" i="2" s="1"/>
  <c r="S741" i="2" s="1"/>
  <c r="J674" i="2"/>
  <c r="J705" i="2" s="1"/>
  <c r="J753" i="2"/>
  <c r="N668" i="2"/>
  <c r="I730" i="2"/>
  <c r="S755" i="2"/>
  <c r="U755" i="2"/>
  <c r="M753" i="2"/>
  <c r="M755" i="2" s="1"/>
  <c r="M730" i="2"/>
  <c r="M674" i="2"/>
  <c r="M705" i="2" s="1"/>
  <c r="P705" i="2"/>
  <c r="R751" i="2"/>
  <c r="J751" i="2"/>
  <c r="J755" i="2" s="1"/>
  <c r="I751" i="2"/>
  <c r="I755" i="2" s="1"/>
  <c r="U705" i="2"/>
  <c r="U709" i="2" s="1"/>
  <c r="U742" i="2" s="1"/>
  <c r="R716" i="2"/>
  <c r="R724" i="2" s="1"/>
  <c r="I674" i="2"/>
  <c r="R703" i="2"/>
  <c r="I668" i="2"/>
  <c r="Q705" i="2"/>
  <c r="Q709" i="2" s="1"/>
  <c r="Q735" i="2" s="1"/>
  <c r="O755" i="2"/>
  <c r="N755" i="2"/>
  <c r="R674" i="2"/>
  <c r="R705" i="2" s="1"/>
  <c r="R753" i="2"/>
  <c r="R730" i="2"/>
  <c r="M703" i="2"/>
  <c r="M716" i="2"/>
  <c r="M724" i="2" s="1"/>
  <c r="P805" i="2"/>
  <c r="G129" i="2"/>
  <c r="W123" i="2"/>
  <c r="X123" i="2" s="1"/>
  <c r="Y123" i="2" s="1"/>
  <c r="V705" i="2"/>
  <c r="V709" i="2" s="1"/>
  <c r="L703" i="2"/>
  <c r="L716" i="2"/>
  <c r="L724" i="2" s="1"/>
  <c r="W678" i="2"/>
  <c r="X678" i="2" s="1"/>
  <c r="Y678" i="2" s="1"/>
  <c r="G734" i="2"/>
  <c r="W734" i="2" s="1"/>
  <c r="X734" i="2" s="1"/>
  <c r="Y734" i="2" s="1"/>
  <c r="H751" i="2"/>
  <c r="N705" i="2"/>
  <c r="G729" i="2"/>
  <c r="G958" i="2"/>
  <c r="G673" i="2"/>
  <c r="W231" i="2"/>
  <c r="X231" i="2" s="1"/>
  <c r="Y231" i="2" s="1"/>
  <c r="P703" i="2"/>
  <c r="P716" i="2"/>
  <c r="P724" i="2" s="1"/>
  <c r="K703" i="2"/>
  <c r="K716" i="2"/>
  <c r="K724" i="2" s="1"/>
  <c r="W636" i="2"/>
  <c r="X636" i="2" s="1"/>
  <c r="Y636" i="2" s="1"/>
  <c r="G766" i="2"/>
  <c r="G707" i="2"/>
  <c r="H753" i="2"/>
  <c r="H674" i="2"/>
  <c r="H705" i="2" s="1"/>
  <c r="H730" i="2"/>
  <c r="T753" i="2"/>
  <c r="T755" i="2" s="1"/>
  <c r="T730" i="2"/>
  <c r="T674" i="2"/>
  <c r="W14" i="2"/>
  <c r="X14" i="2" s="1"/>
  <c r="Y14" i="2" s="1"/>
  <c r="G752" i="2"/>
  <c r="W752" i="2" s="1"/>
  <c r="X752" i="2" s="1"/>
  <c r="Y752" i="2" s="1"/>
  <c r="G59" i="2"/>
  <c r="W59" i="2" s="1"/>
  <c r="X59" i="2" s="1"/>
  <c r="Y59" i="2" s="1"/>
  <c r="H768" i="2"/>
  <c r="H668" i="2"/>
  <c r="W294" i="2"/>
  <c r="X294" i="2" s="1"/>
  <c r="Y294" i="2" s="1"/>
  <c r="G300" i="2"/>
  <c r="J703" i="2"/>
  <c r="J716" i="2"/>
  <c r="J724" i="2" s="1"/>
  <c r="I705" i="2"/>
  <c r="W408" i="2"/>
  <c r="X408" i="2" s="1"/>
  <c r="Y408" i="2" s="1"/>
  <c r="G414" i="2"/>
  <c r="O703" i="2"/>
  <c r="O716" i="2"/>
  <c r="O724" i="2" s="1"/>
  <c r="O705" i="2"/>
  <c r="G681" i="2"/>
  <c r="W954" i="2"/>
  <c r="X954" i="2" s="1"/>
  <c r="Y954" i="2" s="1"/>
  <c r="G737" i="2"/>
  <c r="L755" i="2"/>
  <c r="W402" i="2"/>
  <c r="X402" i="2" s="1"/>
  <c r="Y402" i="2" s="1"/>
  <c r="G731" i="2"/>
  <c r="G675" i="2"/>
  <c r="W675" i="2" s="1"/>
  <c r="X675" i="2" s="1"/>
  <c r="Y675" i="2" s="1"/>
  <c r="W574" i="2"/>
  <c r="X574" i="2" s="1"/>
  <c r="Y574" i="2" s="1"/>
  <c r="L677" i="2"/>
  <c r="W677" i="2" s="1"/>
  <c r="X677" i="2" s="1"/>
  <c r="Y677" i="2" s="1"/>
  <c r="L733" i="2"/>
  <c r="I768" i="2"/>
  <c r="K705" i="2"/>
  <c r="Q805" i="2" l="1"/>
  <c r="R779" i="2"/>
  <c r="R788" i="2" s="1"/>
  <c r="I703" i="2"/>
  <c r="N716" i="2"/>
  <c r="N724" i="2" s="1"/>
  <c r="O805" i="2"/>
  <c r="J805" i="2"/>
  <c r="S762" i="2"/>
  <c r="S805" i="2"/>
  <c r="R709" i="2"/>
  <c r="R735" i="2" s="1"/>
  <c r="S779" i="2"/>
  <c r="S788" i="2" s="1"/>
  <c r="U741" i="2"/>
  <c r="N703" i="2"/>
  <c r="N709" i="2" s="1"/>
  <c r="N805" i="2"/>
  <c r="I716" i="2"/>
  <c r="I724" i="2" s="1"/>
  <c r="U740" i="2"/>
  <c r="U679" i="2"/>
  <c r="U683" i="2" s="1"/>
  <c r="P709" i="2"/>
  <c r="P679" i="2" s="1"/>
  <c r="P683" i="2" s="1"/>
  <c r="U735" i="2"/>
  <c r="U805" i="2"/>
  <c r="Q742" i="2"/>
  <c r="R762" i="2"/>
  <c r="M805" i="2"/>
  <c r="I805" i="2"/>
  <c r="S679" i="2"/>
  <c r="S683" i="2" s="1"/>
  <c r="J709" i="2"/>
  <c r="J735" i="2" s="1"/>
  <c r="Q741" i="2"/>
  <c r="R755" i="2"/>
  <c r="Q740" i="2"/>
  <c r="Q679" i="2"/>
  <c r="Q683" i="2" s="1"/>
  <c r="S742" i="2"/>
  <c r="S740" i="2"/>
  <c r="S735" i="2"/>
  <c r="L705" i="2"/>
  <c r="L709" i="2" s="1"/>
  <c r="I709" i="2"/>
  <c r="I741" i="2" s="1"/>
  <c r="R679" i="2"/>
  <c r="R683" i="2" s="1"/>
  <c r="T805" i="2"/>
  <c r="G799" i="2"/>
  <c r="W799" i="2" s="1"/>
  <c r="X799" i="2" s="1"/>
  <c r="Y799" i="2" s="1"/>
  <c r="Y781" i="2"/>
  <c r="K805" i="2"/>
  <c r="W731" i="2"/>
  <c r="X731" i="2" s="1"/>
  <c r="Y731" i="2" s="1"/>
  <c r="H755" i="2"/>
  <c r="M762" i="2"/>
  <c r="M779" i="2"/>
  <c r="M788" i="2" s="1"/>
  <c r="W737" i="2"/>
  <c r="X737" i="2" s="1"/>
  <c r="Y737" i="2" s="1"/>
  <c r="O762" i="2"/>
  <c r="O779" i="2"/>
  <c r="O788" i="2" s="1"/>
  <c r="J762" i="2"/>
  <c r="J779" i="2"/>
  <c r="J788" i="2" s="1"/>
  <c r="W414" i="2"/>
  <c r="X414" i="2" s="1"/>
  <c r="Y414" i="2" s="1"/>
  <c r="G459" i="2"/>
  <c r="K709" i="2"/>
  <c r="P779" i="2"/>
  <c r="P788" i="2" s="1"/>
  <c r="P762" i="2"/>
  <c r="W673" i="2"/>
  <c r="X673" i="2" s="1"/>
  <c r="Y673" i="2" s="1"/>
  <c r="V735" i="2"/>
  <c r="V741" i="2"/>
  <c r="V679" i="2"/>
  <c r="V683" i="2" s="1"/>
  <c r="V742" i="2"/>
  <c r="V740" i="2"/>
  <c r="W129" i="2"/>
  <c r="X129" i="2" s="1"/>
  <c r="Y129" i="2" s="1"/>
  <c r="G174" i="2"/>
  <c r="M709" i="2"/>
  <c r="L805" i="2"/>
  <c r="O709" i="2"/>
  <c r="J679" i="2"/>
  <c r="H703" i="2"/>
  <c r="H709" i="2" s="1"/>
  <c r="H716" i="2"/>
  <c r="H724" i="2" s="1"/>
  <c r="T705" i="2"/>
  <c r="T709" i="2" s="1"/>
  <c r="W707" i="2"/>
  <c r="X707" i="2" s="1"/>
  <c r="Y707" i="2" s="1"/>
  <c r="G768" i="2"/>
  <c r="W768" i="2" s="1"/>
  <c r="X768" i="2" s="1"/>
  <c r="Y768" i="2" s="1"/>
  <c r="W958" i="2"/>
  <c r="X958" i="2" s="1"/>
  <c r="Y958" i="2" s="1"/>
  <c r="G754" i="2"/>
  <c r="W754" i="2" s="1"/>
  <c r="X754" i="2" s="1"/>
  <c r="Y754" i="2" s="1"/>
  <c r="L762" i="2"/>
  <c r="L779" i="2"/>
  <c r="L788" i="2" s="1"/>
  <c r="I762" i="2"/>
  <c r="I779" i="2"/>
  <c r="I788" i="2" s="1"/>
  <c r="G345" i="2"/>
  <c r="W300" i="2"/>
  <c r="X300" i="2" s="1"/>
  <c r="Y300" i="2" s="1"/>
  <c r="U685" i="2"/>
  <c r="W766" i="2"/>
  <c r="X766" i="2" s="1"/>
  <c r="Y766" i="2" s="1"/>
  <c r="K762" i="2"/>
  <c r="K779" i="2"/>
  <c r="K788" i="2" s="1"/>
  <c r="W729" i="2"/>
  <c r="X729" i="2" s="1"/>
  <c r="Y729" i="2" s="1"/>
  <c r="N762" i="2"/>
  <c r="N779" i="2"/>
  <c r="N788" i="2" s="1"/>
  <c r="W733" i="2"/>
  <c r="X733" i="2" s="1"/>
  <c r="Y733" i="2" s="1"/>
  <c r="P741" i="2" l="1"/>
  <c r="R740" i="2"/>
  <c r="P740" i="2"/>
  <c r="R742" i="2"/>
  <c r="R741" i="2"/>
  <c r="Q685" i="2"/>
  <c r="S685" i="2"/>
  <c r="U743" i="2"/>
  <c r="U764" i="2" s="1"/>
  <c r="U770" i="2" s="1"/>
  <c r="P735" i="2"/>
  <c r="J742" i="2"/>
  <c r="P742" i="2"/>
  <c r="R805" i="2"/>
  <c r="U747" i="2"/>
  <c r="I735" i="2"/>
  <c r="J741" i="2"/>
  <c r="J740" i="2"/>
  <c r="S743" i="2"/>
  <c r="I740" i="2"/>
  <c r="Q743" i="2"/>
  <c r="I679" i="2"/>
  <c r="I742" i="2"/>
  <c r="Q747" i="2"/>
  <c r="S747" i="2"/>
  <c r="R743" i="2"/>
  <c r="R764" i="2" s="1"/>
  <c r="R770" i="2" s="1"/>
  <c r="G730" i="2"/>
  <c r="W345" i="2"/>
  <c r="X345" i="2" s="1"/>
  <c r="Y345" i="2" s="1"/>
  <c r="G753" i="2"/>
  <c r="W753" i="2" s="1"/>
  <c r="X753" i="2" s="1"/>
  <c r="Y753" i="2" s="1"/>
  <c r="G674" i="2"/>
  <c r="H741" i="2"/>
  <c r="H742" i="2"/>
  <c r="H735" i="2"/>
  <c r="H740" i="2"/>
  <c r="H679" i="2"/>
  <c r="J683" i="2"/>
  <c r="G687" i="2"/>
  <c r="G952" i="2"/>
  <c r="W174" i="2"/>
  <c r="X174" i="2" s="1"/>
  <c r="Y174" i="2" s="1"/>
  <c r="V793" i="2"/>
  <c r="V685" i="2"/>
  <c r="H805" i="2"/>
  <c r="L742" i="2"/>
  <c r="L741" i="2"/>
  <c r="L735" i="2"/>
  <c r="L740" i="2"/>
  <c r="L679" i="2"/>
  <c r="T742" i="2"/>
  <c r="T679" i="2"/>
  <c r="T683" i="2" s="1"/>
  <c r="T741" i="2"/>
  <c r="T735" i="2"/>
  <c r="T740" i="2"/>
  <c r="H762" i="2"/>
  <c r="H779" i="2"/>
  <c r="H788" i="2" s="1"/>
  <c r="O735" i="2"/>
  <c r="O741" i="2"/>
  <c r="O742" i="2"/>
  <c r="O740" i="2"/>
  <c r="O679" i="2"/>
  <c r="P685" i="2"/>
  <c r="V743" i="2"/>
  <c r="V747" i="2"/>
  <c r="V749" i="2" s="1"/>
  <c r="V757" i="2" s="1"/>
  <c r="W459" i="2"/>
  <c r="X459" i="2" s="1"/>
  <c r="Y459" i="2" s="1"/>
  <c r="G676" i="2"/>
  <c r="R747" i="2"/>
  <c r="M741" i="2"/>
  <c r="M735" i="2"/>
  <c r="M742" i="2"/>
  <c r="M740" i="2"/>
  <c r="M679" i="2"/>
  <c r="N742" i="2"/>
  <c r="N735" i="2"/>
  <c r="N741" i="2"/>
  <c r="N740" i="2"/>
  <c r="N679" i="2"/>
  <c r="K741" i="2"/>
  <c r="K742" i="2"/>
  <c r="K735" i="2"/>
  <c r="K740" i="2"/>
  <c r="K679" i="2"/>
  <c r="R685" i="2"/>
  <c r="U749" i="2" l="1"/>
  <c r="U757" i="2" s="1"/>
  <c r="S793" i="2"/>
  <c r="Q793" i="2"/>
  <c r="Q801" i="2" s="1"/>
  <c r="Q749" i="2"/>
  <c r="Q757" i="2" s="1"/>
  <c r="U793" i="2"/>
  <c r="U801" i="2" s="1"/>
  <c r="P743" i="2"/>
  <c r="P764" i="2" s="1"/>
  <c r="P770" i="2" s="1"/>
  <c r="S764" i="2"/>
  <c r="S770" i="2" s="1"/>
  <c r="Q764" i="2"/>
  <c r="Q770" i="2" s="1"/>
  <c r="P747" i="2"/>
  <c r="J743" i="2"/>
  <c r="J747" i="2"/>
  <c r="I747" i="2"/>
  <c r="I683" i="2"/>
  <c r="I743" i="2"/>
  <c r="S801" i="2"/>
  <c r="S749" i="2"/>
  <c r="S757" i="2" s="1"/>
  <c r="N743" i="2"/>
  <c r="N747" i="2"/>
  <c r="T743" i="2"/>
  <c r="T764" i="2" s="1"/>
  <c r="T770" i="2" s="1"/>
  <c r="H747" i="2"/>
  <c r="M743" i="2"/>
  <c r="M764" i="2" s="1"/>
  <c r="M770" i="2" s="1"/>
  <c r="H743" i="2"/>
  <c r="H764" i="2" s="1"/>
  <c r="H770" i="2" s="1"/>
  <c r="K683" i="2"/>
  <c r="K743" i="2"/>
  <c r="N683" i="2"/>
  <c r="T747" i="2"/>
  <c r="L743" i="2"/>
  <c r="J685" i="2"/>
  <c r="W674" i="2"/>
  <c r="X674" i="2" s="1"/>
  <c r="Y674" i="2" s="1"/>
  <c r="G705" i="2"/>
  <c r="W705" i="2" s="1"/>
  <c r="X705" i="2" s="1"/>
  <c r="Y705" i="2" s="1"/>
  <c r="K747" i="2"/>
  <c r="M747" i="2"/>
  <c r="W676" i="2"/>
  <c r="X676" i="2" s="1"/>
  <c r="Y676" i="2" s="1"/>
  <c r="G732" i="2"/>
  <c r="V801" i="2"/>
  <c r="V803" i="2" s="1"/>
  <c r="V764" i="2"/>
  <c r="V770" i="2" s="1"/>
  <c r="O683" i="2"/>
  <c r="O747" i="2"/>
  <c r="L747" i="2"/>
  <c r="W952" i="2"/>
  <c r="X952" i="2" s="1"/>
  <c r="Y952" i="2" s="1"/>
  <c r="G657" i="2"/>
  <c r="M683" i="2"/>
  <c r="O743" i="2"/>
  <c r="T685" i="2"/>
  <c r="G751" i="2"/>
  <c r="W687" i="2"/>
  <c r="X687" i="2" s="1"/>
  <c r="Y687" i="2" s="1"/>
  <c r="R793" i="2"/>
  <c r="R749" i="2"/>
  <c r="R757" i="2" s="1"/>
  <c r="L683" i="2"/>
  <c r="H683" i="2"/>
  <c r="W730" i="2"/>
  <c r="X730" i="2" s="1"/>
  <c r="Y730" i="2" s="1"/>
  <c r="Q803" i="2" l="1"/>
  <c r="Q807" i="2" s="1"/>
  <c r="U803" i="2"/>
  <c r="U807" i="2" s="1"/>
  <c r="I749" i="2"/>
  <c r="I757" i="2" s="1"/>
  <c r="N749" i="2"/>
  <c r="N757" i="2" s="1"/>
  <c r="J749" i="2"/>
  <c r="J757" i="2" s="1"/>
  <c r="H749" i="2"/>
  <c r="H757" i="2" s="1"/>
  <c r="P793" i="2"/>
  <c r="P801" i="2"/>
  <c r="P749" i="2"/>
  <c r="P757" i="2" s="1"/>
  <c r="I793" i="2"/>
  <c r="I801" i="2" s="1"/>
  <c r="J764" i="2"/>
  <c r="J770" i="2" s="1"/>
  <c r="J793" i="2"/>
  <c r="J801" i="2" s="1"/>
  <c r="I764" i="2"/>
  <c r="I770" i="2" s="1"/>
  <c r="R801" i="2"/>
  <c r="I685" i="2"/>
  <c r="S803" i="2"/>
  <c r="S807" i="2" s="1"/>
  <c r="N793" i="2"/>
  <c r="N801" i="2" s="1"/>
  <c r="N764" i="2"/>
  <c r="N770" i="2" s="1"/>
  <c r="H793" i="2"/>
  <c r="W751" i="2"/>
  <c r="X751" i="2" s="1"/>
  <c r="Y751" i="2" s="1"/>
  <c r="G755" i="2"/>
  <c r="M685" i="2"/>
  <c r="K685" i="2"/>
  <c r="W657" i="2"/>
  <c r="X657" i="2" s="1"/>
  <c r="Y657" i="2" s="1"/>
  <c r="G668" i="2"/>
  <c r="O793" i="2"/>
  <c r="O749" i="2"/>
  <c r="O757" i="2" s="1"/>
  <c r="K793" i="2"/>
  <c r="K749" i="2"/>
  <c r="K757" i="2" s="1"/>
  <c r="N685" i="2"/>
  <c r="L685" i="2"/>
  <c r="O764" i="2"/>
  <c r="O770" i="2" s="1"/>
  <c r="O685" i="2"/>
  <c r="W732" i="2"/>
  <c r="X732" i="2" s="1"/>
  <c r="Y732" i="2" s="1"/>
  <c r="M793" i="2"/>
  <c r="M749" i="2"/>
  <c r="M757" i="2" s="1"/>
  <c r="L764" i="2"/>
  <c r="L770" i="2" s="1"/>
  <c r="H685" i="2"/>
  <c r="L793" i="2"/>
  <c r="L749" i="2"/>
  <c r="L757" i="2" s="1"/>
  <c r="T793" i="2"/>
  <c r="T749" i="2"/>
  <c r="T757" i="2" s="1"/>
  <c r="K764" i="2"/>
  <c r="K770" i="2" s="1"/>
  <c r="P803" i="2" l="1"/>
  <c r="P807" i="2" s="1"/>
  <c r="H801" i="2"/>
  <c r="J803" i="2"/>
  <c r="J807" i="2" s="1"/>
  <c r="R803" i="2"/>
  <c r="R807" i="2" s="1"/>
  <c r="M801" i="2"/>
  <c r="T801" i="2"/>
  <c r="N803" i="2"/>
  <c r="N807" i="2" s="1"/>
  <c r="L801" i="2"/>
  <c r="I803" i="2"/>
  <c r="I807" i="2" s="1"/>
  <c r="O801" i="2"/>
  <c r="W755" i="2"/>
  <c r="X755" i="2" s="1"/>
  <c r="Y755" i="2" s="1"/>
  <c r="G805" i="2"/>
  <c r="K801" i="2"/>
  <c r="W668" i="2"/>
  <c r="X668" i="2" s="1"/>
  <c r="Y668" i="2" s="1"/>
  <c r="G703" i="2"/>
  <c r="G716" i="2"/>
  <c r="T803" i="2" l="1"/>
  <c r="T807" i="2" s="1"/>
  <c r="H803" i="2"/>
  <c r="H807" i="2" s="1"/>
  <c r="M803" i="2"/>
  <c r="M807" i="2" s="1"/>
  <c r="L803" i="2"/>
  <c r="L807" i="2" s="1"/>
  <c r="W805" i="2"/>
  <c r="X805" i="2" s="1"/>
  <c r="Y805" i="2" s="1"/>
  <c r="W703" i="2"/>
  <c r="X703" i="2" s="1"/>
  <c r="Y703" i="2" s="1"/>
  <c r="G709" i="2"/>
  <c r="K803" i="2"/>
  <c r="K807" i="2" s="1"/>
  <c r="G724" i="2"/>
  <c r="W716" i="2"/>
  <c r="X716" i="2" s="1"/>
  <c r="Y716" i="2" s="1"/>
  <c r="O803" i="2"/>
  <c r="O807" i="2" s="1"/>
  <c r="G762" i="2" l="1"/>
  <c r="W724" i="2"/>
  <c r="X724" i="2" s="1"/>
  <c r="Y724" i="2" s="1"/>
  <c r="G779" i="2"/>
  <c r="G735" i="2"/>
  <c r="G740" i="2"/>
  <c r="G679" i="2"/>
  <c r="G742" i="2"/>
  <c r="W742" i="2" s="1"/>
  <c r="X742" i="2" s="1"/>
  <c r="Y742" i="2" s="1"/>
  <c r="W709" i="2"/>
  <c r="X709" i="2" s="1"/>
  <c r="Y709" i="2" s="1"/>
  <c r="G741" i="2"/>
  <c r="W741" i="2" s="1"/>
  <c r="X741" i="2" s="1"/>
  <c r="Y741" i="2" s="1"/>
  <c r="W679" i="2" l="1"/>
  <c r="X679" i="2" s="1"/>
  <c r="Y679" i="2" s="1"/>
  <c r="G683" i="2"/>
  <c r="W779" i="2"/>
  <c r="X779" i="2" s="1"/>
  <c r="Y779" i="2" s="1"/>
  <c r="G788" i="2"/>
  <c r="W740" i="2"/>
  <c r="X740" i="2" s="1"/>
  <c r="Y740" i="2" s="1"/>
  <c r="G743" i="2"/>
  <c r="W735" i="2"/>
  <c r="X735" i="2" s="1"/>
  <c r="Y735" i="2" s="1"/>
  <c r="G747" i="2"/>
  <c r="W762" i="2"/>
  <c r="X762" i="2" s="1"/>
  <c r="Y762" i="2" s="1"/>
  <c r="W747" i="2" l="1"/>
  <c r="X747" i="2" s="1"/>
  <c r="Y747" i="2" s="1"/>
  <c r="G793" i="2"/>
  <c r="G749" i="2"/>
  <c r="Y795" i="2"/>
  <c r="W743" i="2"/>
  <c r="X743" i="2" s="1"/>
  <c r="Y743" i="2" s="1"/>
  <c r="G764" i="2"/>
  <c r="W788" i="2"/>
  <c r="X788" i="2" s="1"/>
  <c r="Y788" i="2" s="1"/>
  <c r="W683" i="2"/>
  <c r="X683" i="2" s="1"/>
  <c r="Y683" i="2" s="1"/>
  <c r="G685" i="2"/>
  <c r="W685" i="2" s="1"/>
  <c r="X685" i="2" s="1"/>
  <c r="Y685" i="2" s="1"/>
  <c r="W764" i="2" l="1"/>
  <c r="X764" i="2" s="1"/>
  <c r="Y764" i="2" s="1"/>
  <c r="G770" i="2"/>
  <c r="W770" i="2" s="1"/>
  <c r="X770" i="2" s="1"/>
  <c r="Y770" i="2" s="1"/>
  <c r="G757" i="2"/>
  <c r="W749" i="2"/>
  <c r="X749" i="2" s="1"/>
  <c r="Y749" i="2" s="1"/>
  <c r="W793" i="2"/>
  <c r="X793" i="2" s="1"/>
  <c r="Y793" i="2" s="1"/>
  <c r="G801" i="2"/>
  <c r="W801" i="2" l="1"/>
  <c r="X801" i="2" s="1"/>
  <c r="Y801" i="2" s="1"/>
  <c r="G803" i="2"/>
  <c r="G807" i="2" l="1"/>
  <c r="W803" i="2"/>
  <c r="X803" i="2" s="1"/>
  <c r="Y803" i="2" s="1"/>
</calcChain>
</file>

<file path=xl/sharedStrings.xml><?xml version="1.0" encoding="utf-8"?>
<sst xmlns="http://schemas.openxmlformats.org/spreadsheetml/2006/main" count="5204" uniqueCount="2367">
  <si>
    <t xml:space="preserve">    DISTRIBUTION</t>
  </si>
  <si>
    <t xml:space="preserve">    POWER POOL</t>
  </si>
  <si>
    <t xml:space="preserve">    ALL OTHER</t>
  </si>
  <si>
    <t xml:space="preserve"> TOTAL KENTUCKY DISTRIB PLANT</t>
  </si>
  <si>
    <t xml:space="preserve"> VIRGINIA DISTRIBUTION PLANT</t>
  </si>
  <si>
    <t xml:space="preserve"> TOTAL VIRGINIA DISTRIB PLANT</t>
  </si>
  <si>
    <t>ACCUMULATED PROVISION FOR DEP</t>
  </si>
  <si>
    <t xml:space="preserve"> PRODUCTION PLANT</t>
  </si>
  <si>
    <t xml:space="preserve">  STEAM PRODUCTION PLANT</t>
  </si>
  <si>
    <t xml:space="preserve">    SYSTEM</t>
  </si>
  <si>
    <t>Less Allocated RWIP</t>
  </si>
  <si>
    <t xml:space="preserve">    FERC-AFUDC PRE</t>
  </si>
  <si>
    <t xml:space="preserve">    FERC-AFUDC POST</t>
  </si>
  <si>
    <t xml:space="preserve">     TOTAL STEAM PROD PLT</t>
  </si>
  <si>
    <t xml:space="preserve">  HYDRAULIC PRODUCTION PLANT</t>
  </si>
  <si>
    <t xml:space="preserve">     TOTAL HYDRO PROD PLT</t>
  </si>
  <si>
    <t xml:space="preserve">  OTHER PRODUCTION PLANT</t>
  </si>
  <si>
    <t xml:space="preserve">     TOTAL OTHER PROD PLT</t>
  </si>
  <si>
    <t xml:space="preserve"> TOTAL PRODUCTION PLANT</t>
  </si>
  <si>
    <t xml:space="preserve"> TRANSMISSION PLANT</t>
  </si>
  <si>
    <t xml:space="preserve"> TOTAL TRANSMISSION PLANT</t>
  </si>
  <si>
    <t xml:space="preserve"> TOTAL DISTRIBUTION PLANT</t>
  </si>
  <si>
    <t xml:space="preserve"> GENERAL PLANT</t>
  </si>
  <si>
    <t xml:space="preserve"> INTANGIBLE PLANT-FRANCHISES</t>
  </si>
  <si>
    <t xml:space="preserve"> INTANGIBLE PLANT-SOFTWARE</t>
  </si>
  <si>
    <t>TOTAL DEPRECIATION RESERVE</t>
  </si>
  <si>
    <t>ADDITIONS TO NET PLANT</t>
  </si>
  <si>
    <t>VIRGINIA DISTRIBUTION PLANT</t>
  </si>
  <si>
    <t>VADIST</t>
  </si>
  <si>
    <t>TENNESSEE DISTRIBUTION PLT</t>
  </si>
  <si>
    <t>TNDIST</t>
  </si>
  <si>
    <t>NET ELECTRIC PLANT IN SERVICE</t>
  </si>
  <si>
    <t>NETPLANT</t>
  </si>
  <si>
    <t>RATE BASE</t>
  </si>
  <si>
    <t>RATEBASE</t>
  </si>
  <si>
    <t>TOTAL CWIP FERC-AFUDC POST</t>
  </si>
  <si>
    <t>TOTAL 203(E) EXCESS</t>
  </si>
  <si>
    <t>STEAM OPERATING EXP 501-507</t>
  </si>
  <si>
    <t>STEAM MAINTENANCE EXP 511-514</t>
  </si>
  <si>
    <t>HYDRO OPERATING EXP 536-540</t>
  </si>
  <si>
    <t>HYDRO MAINTENANCE EXP 542-545</t>
  </si>
  <si>
    <t>OTHER PROD OPER EXP 547-549</t>
  </si>
  <si>
    <t>OTHER PROD MAINT EXP 552-554</t>
  </si>
  <si>
    <t>TOT STEAM OPERATIONS LABOR</t>
  </si>
  <si>
    <t>LABSTMOP</t>
  </si>
  <si>
    <t>TOT STEAM MAINTENANCE LABOR</t>
  </si>
  <si>
    <t>LABSTMMN</t>
  </si>
  <si>
    <t>TOT HYDRO OPERATIONS LABOR</t>
  </si>
  <si>
    <t>LABHYDOP</t>
  </si>
  <si>
    <t>TOT HYDRO MAINTENANCE LABOR</t>
  </si>
  <si>
    <t>LABHYDMN</t>
  </si>
  <si>
    <t>TOT OTHER OPERATIONS LABOR</t>
  </si>
  <si>
    <t>LABOTHOP</t>
  </si>
  <si>
    <t>LABPTDFER</t>
  </si>
  <si>
    <t>REVENUES FROM ELECTRIC SALES</t>
  </si>
  <si>
    <t>ANNUALIZATION</t>
  </si>
  <si>
    <t>RATIO TABLE</t>
  </si>
  <si>
    <t>CAPACITY RELATED</t>
  </si>
  <si>
    <t xml:space="preserve">DIR ASSIGN ACCUM DEPREC.VA &amp; TN </t>
  </si>
  <si>
    <t>DIR ASSIGN CWIP VA &amp; TN</t>
  </si>
  <si>
    <t>DIR ASSIGN ACC DFD TAX VA</t>
  </si>
  <si>
    <t>Functional</t>
  </si>
  <si>
    <t>Total</t>
  </si>
  <si>
    <t>Accretion Expenses</t>
  </si>
  <si>
    <t xml:space="preserve">  Production Plant</t>
  </si>
  <si>
    <t xml:space="preserve">  Transmission Plant</t>
  </si>
  <si>
    <t>TACRT</t>
  </si>
  <si>
    <t>ACRTPP</t>
  </si>
  <si>
    <t>ACRTTP</t>
  </si>
  <si>
    <t>ACPPDB</t>
  </si>
  <si>
    <t>ACPPDI</t>
  </si>
  <si>
    <t>ACPPDP</t>
  </si>
  <si>
    <t>ACPPEB</t>
  </si>
  <si>
    <t>ACPPEI</t>
  </si>
  <si>
    <t>ACPPEP</t>
  </si>
  <si>
    <t>ACPPT</t>
  </si>
  <si>
    <t>ACTRB</t>
  </si>
  <si>
    <t>ACTRI</t>
  </si>
  <si>
    <t>ACTRP</t>
  </si>
  <si>
    <t>ACTRT</t>
  </si>
  <si>
    <t>ACDPS</t>
  </si>
  <si>
    <t>ACDSG</t>
  </si>
  <si>
    <t>ACDPLS</t>
  </si>
  <si>
    <t>ACDPLD</t>
  </si>
  <si>
    <t>ACDPLC</t>
  </si>
  <si>
    <t>ACDSLD</t>
  </si>
  <si>
    <t>ACDSLC</t>
  </si>
  <si>
    <t>ACDLT</t>
  </si>
  <si>
    <t>ACDLTD</t>
  </si>
  <si>
    <t>ACDLTC</t>
  </si>
  <si>
    <t>ACDLTT</t>
  </si>
  <si>
    <t>ACDSC</t>
  </si>
  <si>
    <t>ACDMC</t>
  </si>
  <si>
    <t>ACDSCL</t>
  </si>
  <si>
    <t>ACCAE</t>
  </si>
  <si>
    <t>ACCSI</t>
  </si>
  <si>
    <t>ACT</t>
  </si>
  <si>
    <t>Station Equipment</t>
  </si>
  <si>
    <t>Meters</t>
  </si>
  <si>
    <t>Description</t>
  </si>
  <si>
    <t>Name</t>
  </si>
  <si>
    <t>Vector</t>
  </si>
  <si>
    <t>System</t>
  </si>
  <si>
    <t>Demand</t>
  </si>
  <si>
    <t>Energy</t>
  </si>
  <si>
    <t>Customer</t>
  </si>
  <si>
    <t>Total Check</t>
  </si>
  <si>
    <t>Status</t>
  </si>
  <si>
    <t>Plant in Service</t>
  </si>
  <si>
    <t>PDIST</t>
  </si>
  <si>
    <t>Total Intangible Plant</t>
  </si>
  <si>
    <t>PINT</t>
  </si>
  <si>
    <t>Distribution</t>
  </si>
  <si>
    <t>P362</t>
  </si>
  <si>
    <t>F001</t>
  </si>
  <si>
    <t>F002</t>
  </si>
  <si>
    <t>P365</t>
  </si>
  <si>
    <t>F003</t>
  </si>
  <si>
    <t>F004</t>
  </si>
  <si>
    <t>P367</t>
  </si>
  <si>
    <t>P368</t>
  </si>
  <si>
    <t>F005</t>
  </si>
  <si>
    <t>P369</t>
  </si>
  <si>
    <t xml:space="preserve">  542-STRUCTURES</t>
  </si>
  <si>
    <t xml:space="preserve">  543-RESERV, DAMS &amp; WATERWAY</t>
  </si>
  <si>
    <t xml:space="preserve">  544-ELECTRIC PLANT</t>
  </si>
  <si>
    <t xml:space="preserve">  545-MISC HYDRAULIC PLANT</t>
  </si>
  <si>
    <t>Distribution Meters</t>
  </si>
  <si>
    <t>Distribution Services</t>
  </si>
  <si>
    <t>Distribution Sec. Lines</t>
  </si>
  <si>
    <t>Distribution Primary Lines</t>
  </si>
  <si>
    <t>Distribution Line Trans.</t>
  </si>
  <si>
    <t>LB507</t>
  </si>
  <si>
    <t>PLTRB</t>
  </si>
  <si>
    <t>PLTRI</t>
  </si>
  <si>
    <t>PLTRP</t>
  </si>
  <si>
    <t>PLTRT</t>
  </si>
  <si>
    <t>Power Production Plant</t>
  </si>
  <si>
    <t>PLPPDB</t>
  </si>
  <si>
    <t>PLPPDI</t>
  </si>
  <si>
    <t>PLPPDP</t>
  </si>
  <si>
    <t>PLPPEB</t>
  </si>
  <si>
    <t>PLPPEI</t>
  </si>
  <si>
    <t>PLPPEP</t>
  </si>
  <si>
    <t>Distribution Street &amp; Customer Lighting</t>
  </si>
  <si>
    <t xml:space="preserve">  Specific</t>
  </si>
  <si>
    <t>Distribution Primary &amp; Secondary Lines</t>
  </si>
  <si>
    <t xml:space="preserve">  General</t>
  </si>
  <si>
    <t>PLDPS</t>
  </si>
  <si>
    <t>PLDSG</t>
  </si>
  <si>
    <t>PLDSC</t>
  </si>
  <si>
    <t>Total Distribution Primary &amp; Secondary Lines</t>
  </si>
  <si>
    <t>PLDPLS</t>
  </si>
  <si>
    <t>PLDPLD</t>
  </si>
  <si>
    <t>PLDPLC</t>
  </si>
  <si>
    <t>PLDSLD</t>
  </si>
  <si>
    <t>PLDSLC</t>
  </si>
  <si>
    <t>PLDLT</t>
  </si>
  <si>
    <t>PLDLTD</t>
  </si>
  <si>
    <t>PLDLTC</t>
  </si>
  <si>
    <t>Total Power Production Plant</t>
  </si>
  <si>
    <t>PLDMC</t>
  </si>
  <si>
    <t>PLDLTT</t>
  </si>
  <si>
    <t>PLDSCL</t>
  </si>
  <si>
    <t>PLCAE</t>
  </si>
  <si>
    <t>F006</t>
  </si>
  <si>
    <t>P370</t>
  </si>
  <si>
    <t>F007</t>
  </si>
  <si>
    <t>P371</t>
  </si>
  <si>
    <t>P373</t>
  </si>
  <si>
    <t>F008</t>
  </si>
  <si>
    <t>Total Distribution Plant</t>
  </si>
  <si>
    <t>General Plant</t>
  </si>
  <si>
    <t>Total General Plant</t>
  </si>
  <si>
    <t>PGP</t>
  </si>
  <si>
    <t>Total Plant in Service</t>
  </si>
  <si>
    <t>TPIS</t>
  </si>
  <si>
    <t>Construction Work in Progress (CWIP)</t>
  </si>
  <si>
    <t xml:space="preserve">  Total Construction Work in Progress</t>
  </si>
  <si>
    <t>TCWIP</t>
  </si>
  <si>
    <t>Materials and Supplies</t>
  </si>
  <si>
    <t>Rate Base</t>
  </si>
  <si>
    <t>Utility Plant</t>
  </si>
  <si>
    <t xml:space="preserve">    Total Utility Plant</t>
  </si>
  <si>
    <t>TUP</t>
  </si>
  <si>
    <t>Less: Acummulated Provision for Depreciation</t>
  </si>
  <si>
    <t xml:space="preserve">  General Plant</t>
  </si>
  <si>
    <t>ADEPRGP</t>
  </si>
  <si>
    <t xml:space="preserve">   Total Accumulated Depreciation</t>
  </si>
  <si>
    <t>TADEPR</t>
  </si>
  <si>
    <t>Net Utility Plant</t>
  </si>
  <si>
    <t>NTPLANT</t>
  </si>
  <si>
    <t>Total Prod, Trans, and Dist Plant</t>
  </si>
  <si>
    <t>Customer Advances</t>
  </si>
  <si>
    <t>Operating Revenue</t>
  </si>
  <si>
    <t>Pro-Forma Adjustments</t>
  </si>
  <si>
    <t>Total Pro-Forma Operating Expenses</t>
  </si>
  <si>
    <t>LBSUB6</t>
  </si>
  <si>
    <t>PLCSI</t>
  </si>
  <si>
    <t>PLSEC</t>
  </si>
  <si>
    <t>UPPPDB</t>
  </si>
  <si>
    <t>UPPPDI</t>
  </si>
  <si>
    <t>UPPPDP</t>
  </si>
  <si>
    <t>UPPPEB</t>
  </si>
  <si>
    <t>UPPPEI</t>
  </si>
  <si>
    <t>UPPPEP</t>
  </si>
  <si>
    <t>UPPPT</t>
  </si>
  <si>
    <t>UPTRB</t>
  </si>
  <si>
    <t>UPTRI</t>
  </si>
  <si>
    <t>UPTRP</t>
  </si>
  <si>
    <t>UPTRT</t>
  </si>
  <si>
    <t>UPDPS</t>
  </si>
  <si>
    <t>UPDSG</t>
  </si>
  <si>
    <t>UPDPLS</t>
  </si>
  <si>
    <t>UPDPLD</t>
  </si>
  <si>
    <t>UPDPLC</t>
  </si>
  <si>
    <t>UPDSLD</t>
  </si>
  <si>
    <t>UPDSLC</t>
  </si>
  <si>
    <t>UPDLT</t>
  </si>
  <si>
    <t>UPDLTD</t>
  </si>
  <si>
    <t>UPDLTC</t>
  </si>
  <si>
    <t>UPDLTT</t>
  </si>
  <si>
    <t>UPDSC</t>
  </si>
  <si>
    <t>UPDMC</t>
  </si>
  <si>
    <t>UPDSCL</t>
  </si>
  <si>
    <t>UPCAE</t>
  </si>
  <si>
    <t>UPCSI</t>
  </si>
  <si>
    <t>UPSEC</t>
  </si>
  <si>
    <t>UPT</t>
  </si>
  <si>
    <t>RBPPDB</t>
  </si>
  <si>
    <t>RBPPDI</t>
  </si>
  <si>
    <t>RBPPDP</t>
  </si>
  <si>
    <t>RBPPEB</t>
  </si>
  <si>
    <t>RBPPEI</t>
  </si>
  <si>
    <t>RBPPEP</t>
  </si>
  <si>
    <t>RBTRB</t>
  </si>
  <si>
    <t>RBTRI</t>
  </si>
  <si>
    <t>RBTRP</t>
  </si>
  <si>
    <t>OM926</t>
  </si>
  <si>
    <t>OM928</t>
  </si>
  <si>
    <t>MISCELLANEOUS GENERAL EXPENSES</t>
  </si>
  <si>
    <t>OM930</t>
  </si>
  <si>
    <t>RENTS AND LEASES</t>
  </si>
  <si>
    <t>OM931</t>
  </si>
  <si>
    <t>MAINTENANCE OF GENERAL PLANT</t>
  </si>
  <si>
    <t>Total Administrative and General Expense</t>
  </si>
  <si>
    <t>OMAG</t>
  </si>
  <si>
    <t>Regulatory Credits and Accretion Expenses</t>
  </si>
  <si>
    <t>Total Regulatory Credits and Accretion Expenses</t>
  </si>
  <si>
    <t xml:space="preserve">   Regulatory Credits and Accretion Expenses</t>
  </si>
  <si>
    <t>TOTAL OPERATION &amp; MAINTENANCE</t>
  </si>
  <si>
    <t xml:space="preserve">TOTAL OPERATION </t>
  </si>
  <si>
    <t>TOTAL MAINTENANCE</t>
  </si>
  <si>
    <t>TOTAL OPERATION LESS FUEL AND PURCHASED POWER</t>
  </si>
  <si>
    <t xml:space="preserve"> PLANT COMPONENT</t>
  </si>
  <si>
    <t xml:space="preserve">  924-PROPERTY INSURANCE</t>
  </si>
  <si>
    <t xml:space="preserve">     TOTAL NET PLT COMPONENT</t>
  </si>
  <si>
    <t xml:space="preserve"> LABOR COMPONENT</t>
  </si>
  <si>
    <t xml:space="preserve">  920-ADMIN &amp; GENERAL EXP</t>
  </si>
  <si>
    <t xml:space="preserve">  921-OFFICE SUPPLIES &amp; EXP</t>
  </si>
  <si>
    <t xml:space="preserve">  922-ADMIN EXP TRANSF-CRED</t>
  </si>
  <si>
    <t xml:space="preserve">  923-OUTSIDE SERVICES</t>
  </si>
  <si>
    <t xml:space="preserve">  925-INJURIES &amp; DAMAGES</t>
  </si>
  <si>
    <t xml:space="preserve">  926-PENSIONS &amp; BENEFITS</t>
  </si>
  <si>
    <t xml:space="preserve">  929-DUPLICATE CHARGES-CR</t>
  </si>
  <si>
    <t xml:space="preserve">  931-RENTS</t>
  </si>
  <si>
    <t xml:space="preserve">  935-MAINTENANCE</t>
  </si>
  <si>
    <t xml:space="preserve">     TOTAL LABOR COMPONENT</t>
  </si>
  <si>
    <t xml:space="preserve">  928-REGULATORY COMMISSION</t>
  </si>
  <si>
    <t xml:space="preserve">    FEDERAL JURISDICTION</t>
  </si>
  <si>
    <t xml:space="preserve">    VIRGINIA JURISDICTION</t>
  </si>
  <si>
    <t xml:space="preserve">    928 ALLOCATED</t>
  </si>
  <si>
    <t xml:space="preserve">      TOTAL ACCOUNT 928</t>
  </si>
  <si>
    <t xml:space="preserve">  927-FRANCHISE NJ VA</t>
  </si>
  <si>
    <t>TOTAL ADMINISTRATIVE &amp; GEN</t>
  </si>
  <si>
    <t>OMDM</t>
  </si>
  <si>
    <t>OMSUB</t>
  </si>
  <si>
    <t>Operation and Maintenance Expenses (Continued)</t>
  </si>
  <si>
    <t>Sub-Total Labor Exp</t>
  </si>
  <si>
    <t>Customer Accounts Expense</t>
  </si>
  <si>
    <t>SUPERVISION/CUSTOMER ACCTS</t>
  </si>
  <si>
    <t>OM901</t>
  </si>
  <si>
    <t>F009</t>
  </si>
  <si>
    <t>METER READING EXPENSES</t>
  </si>
  <si>
    <t>OM902</t>
  </si>
  <si>
    <t>OM903</t>
  </si>
  <si>
    <t>UNCOLLECTIBLE ACCOUNTS</t>
  </si>
  <si>
    <t>OM904</t>
  </si>
  <si>
    <t>Total Customer Accounts Expense</t>
  </si>
  <si>
    <t>OMCA</t>
  </si>
  <si>
    <t>Customer Service Expense</t>
  </si>
  <si>
    <t>OM907</t>
  </si>
  <si>
    <t>DUPLICATE CHARGES</t>
  </si>
  <si>
    <t xml:space="preserve">  PSC ASSESSMENT-KY REVENUE</t>
  </si>
  <si>
    <t xml:space="preserve">  VA GROSS RECEIPTS TAX</t>
  </si>
  <si>
    <t xml:space="preserve">  MISCELLANEOUS</t>
  </si>
  <si>
    <t>TOTAL OTHER TAXES</t>
  </si>
  <si>
    <t>GAIN DISPOSITION OF ALLOWANCES</t>
  </si>
  <si>
    <t>Income Statement</t>
  </si>
  <si>
    <t>203(E) EXCESS</t>
  </si>
  <si>
    <t>Tax acct workpapers</t>
  </si>
  <si>
    <t>INVESTMENT TAX CREDIT ADJ</t>
  </si>
  <si>
    <t>ITC BTL-No amortization</t>
  </si>
  <si>
    <t xml:space="preserve">  DISTRIBUTION - DIRECT</t>
  </si>
  <si>
    <t>TOTAL INVEST TAX CREDIT ADJ</t>
  </si>
  <si>
    <t>TOTAL EXP OTHER THAN INC TAX</t>
  </si>
  <si>
    <t>INCOME TAXES</t>
  </si>
  <si>
    <t>OPERATING INC BEFORE INC TAXES</t>
  </si>
  <si>
    <t>DEVELOPMENT OF FED INC TAX</t>
  </si>
  <si>
    <t xml:space="preserve"> ADDITIONS TO INCOME</t>
  </si>
  <si>
    <t xml:space="preserve"> TOTAL ADDITIONS</t>
  </si>
  <si>
    <t xml:space="preserve"> DEDUCTIONS FROM INCOME</t>
  </si>
  <si>
    <t xml:space="preserve">  INTEREST EXPENSE</t>
  </si>
  <si>
    <t xml:space="preserve">    LONG TERM DEBT OTHER</t>
  </si>
  <si>
    <t xml:space="preserve">    INT ON CUSTOMER DEPOSITS</t>
  </si>
  <si>
    <t xml:space="preserve">  902-METER READING</t>
  </si>
  <si>
    <t xml:space="preserve">  903-CUSTOMER RECORDS</t>
  </si>
  <si>
    <t xml:space="preserve">  904-UNCOLLECTIBLE ACCOUNTS</t>
  </si>
  <si>
    <t xml:space="preserve">  905-MISCELLANEOUS</t>
  </si>
  <si>
    <t>TOTAL CUSTOMER ACCOUNTS</t>
  </si>
  <si>
    <t>CUSTOMER SERVICES</t>
  </si>
  <si>
    <t xml:space="preserve">  907-SUPERVISION</t>
  </si>
  <si>
    <t xml:space="preserve">  908-CUSTOMER ASSISTANCE</t>
  </si>
  <si>
    <t xml:space="preserve">  909-INFORMATION &amp; INSTRUCT</t>
  </si>
  <si>
    <t xml:space="preserve">  910-MISCELLANEOUS</t>
  </si>
  <si>
    <t>TOTAL CUSTOMER SERVICE</t>
  </si>
  <si>
    <t>SALES EXPENSE</t>
  </si>
  <si>
    <t xml:space="preserve">  911-SUPERVISION</t>
  </si>
  <si>
    <t xml:space="preserve">  912-DEMONSTRATING &amp; SELLING</t>
  </si>
  <si>
    <t xml:space="preserve">  913-ADVERTISING</t>
  </si>
  <si>
    <t xml:space="preserve">  916-MISCELLANEOUS</t>
  </si>
  <si>
    <t>TOTAL SALES EXPENSE</t>
  </si>
  <si>
    <t>ADMINISTRATIVE &amp; GENERAL</t>
  </si>
  <si>
    <t>Total billed revenue per Billing Determinants</t>
  </si>
  <si>
    <t>OM585</t>
  </si>
  <si>
    <t>METER EXPENSES</t>
  </si>
  <si>
    <t>OM586</t>
  </si>
  <si>
    <t>CUSTOMER INSTALLATIONS EXPENSE</t>
  </si>
  <si>
    <t>OM587</t>
  </si>
  <si>
    <t>MISCELLANEOUS DISTRIBUTION EXP</t>
  </si>
  <si>
    <t>OM588</t>
  </si>
  <si>
    <t>RENTS</t>
  </si>
  <si>
    <t>OM589</t>
  </si>
  <si>
    <t>Total Distribution Operation Expense</t>
  </si>
  <si>
    <t>OMDO</t>
  </si>
  <si>
    <t>Distribution Maintenance Expense</t>
  </si>
  <si>
    <t>MAINTENANCE SUPERVISION AND EN</t>
  </si>
  <si>
    <t>OM590</t>
  </si>
  <si>
    <t>MAINTENANCE OF STATION EQUIPME</t>
  </si>
  <si>
    <t>OM592</t>
  </si>
  <si>
    <t>MAINTENANCE OF OVERHEAD LINES</t>
  </si>
  <si>
    <t>OM593</t>
  </si>
  <si>
    <t>MAINTENANCE OF UNDERGROUND LIN</t>
  </si>
  <si>
    <t>OM594</t>
  </si>
  <si>
    <t>MAINTENANCE OF LINE TRANSFORME</t>
  </si>
  <si>
    <t>OM595</t>
  </si>
  <si>
    <t>MAINTENANCE OF METERS</t>
  </si>
  <si>
    <t>OM597</t>
  </si>
  <si>
    <t>Total Distribution Maintenance Expense</t>
  </si>
  <si>
    <t>Property Taxes</t>
  </si>
  <si>
    <t>PTAX</t>
  </si>
  <si>
    <t>OT</t>
  </si>
  <si>
    <t>INTLTD</t>
  </si>
  <si>
    <t>Total Other Expenses</t>
  </si>
  <si>
    <t>TOE</t>
  </si>
  <si>
    <t>Functional Vectors</t>
  </si>
  <si>
    <t>Poles, Towers and Fixtures</t>
  </si>
  <si>
    <t>Overhead Conductors and Devices</t>
  </si>
  <si>
    <t>Underground Conductors and Devices</t>
  </si>
  <si>
    <t>Line Transformers</t>
  </si>
  <si>
    <t>Services</t>
  </si>
  <si>
    <t>Street Lighting</t>
  </si>
  <si>
    <t>Meter Reading</t>
  </si>
  <si>
    <t>Billing</t>
  </si>
  <si>
    <t>Allocation</t>
  </si>
  <si>
    <t xml:space="preserve">  Demand</t>
  </si>
  <si>
    <t>E01</t>
  </si>
  <si>
    <t>PLPPT</t>
  </si>
  <si>
    <t xml:space="preserve">  Customer</t>
  </si>
  <si>
    <t>C02</t>
  </si>
  <si>
    <t>C03</t>
  </si>
  <si>
    <t>C04</t>
  </si>
  <si>
    <t>C05</t>
  </si>
  <si>
    <t>C06</t>
  </si>
  <si>
    <t>PLT</t>
  </si>
  <si>
    <t>NPT</t>
  </si>
  <si>
    <t>Net Cost Rate Base</t>
  </si>
  <si>
    <t>RBPPT</t>
  </si>
  <si>
    <t>RBT</t>
  </si>
  <si>
    <t>OMPPT</t>
  </si>
  <si>
    <t>OMT</t>
  </si>
  <si>
    <t>LBPPT</t>
  </si>
  <si>
    <t>LBT</t>
  </si>
  <si>
    <t>PTT</t>
  </si>
  <si>
    <t>Other Taxes</t>
  </si>
  <si>
    <t>OTPPT</t>
  </si>
  <si>
    <t>OTT</t>
  </si>
  <si>
    <t>Operating Revenues</t>
  </si>
  <si>
    <t>REVUC</t>
  </si>
  <si>
    <t>Total Operating Revenues</t>
  </si>
  <si>
    <t>TOR</t>
  </si>
  <si>
    <t>Operating Expenses</t>
  </si>
  <si>
    <t xml:space="preserve">   Operation and Maintenance Expenses</t>
  </si>
  <si>
    <t xml:space="preserve">   Depreciation and Amortization Expenses</t>
  </si>
  <si>
    <t xml:space="preserve">   Property Taxes</t>
  </si>
  <si>
    <t xml:space="preserve">   Other Taxes</t>
  </si>
  <si>
    <t>Total Operating Expenses</t>
  </si>
  <si>
    <t>Rate of Return</t>
  </si>
  <si>
    <t>Purchase Power Demand</t>
  </si>
  <si>
    <t>Purchase Power Energy</t>
  </si>
  <si>
    <t>Energy Allocation Factors</t>
  </si>
  <si>
    <t>Energy Usage by Class</t>
  </si>
  <si>
    <t>Customer Allocation Factors</t>
  </si>
  <si>
    <t>Internally Generated Functional Vectors</t>
  </si>
  <si>
    <t>Total Operation and Maintenance Expenses (Labor)</t>
  </si>
  <si>
    <t>Total Steam Power Operation Expenses (Labor)</t>
  </si>
  <si>
    <t>Total Steam Power Generation Maintenance Expense (Labor)</t>
  </si>
  <si>
    <t>Total Hydraulic Power Operation Expenses (Labor)</t>
  </si>
  <si>
    <t>Total Hydraulic Power Generation Maint. Expense (Labor)</t>
  </si>
  <si>
    <t>Total Other Power Generation Expenses (Labor)</t>
  </si>
  <si>
    <t>Primary Distribution Plant -- Average Number of Customers</t>
  </si>
  <si>
    <t>Meter Costs -- Weighted Cost of Meters</t>
  </si>
  <si>
    <t>Lighting Systems -- Lighting Customers</t>
  </si>
  <si>
    <t>Meter Reading and Billing -- Weighted Cost</t>
  </si>
  <si>
    <t>Transmission</t>
  </si>
  <si>
    <t>P350</t>
  </si>
  <si>
    <t>Transmission Plant</t>
  </si>
  <si>
    <t>Intangible Plant</t>
  </si>
  <si>
    <t>Total Transmission Plant</t>
  </si>
  <si>
    <t>FRANCHISE AND CONSENTS</t>
  </si>
  <si>
    <t>ORGANIZATION</t>
  </si>
  <si>
    <t>P301</t>
  </si>
  <si>
    <t>P302</t>
  </si>
  <si>
    <t>Plant in Service (Continued)</t>
  </si>
  <si>
    <t xml:space="preserve">  Total Utility Plant</t>
  </si>
  <si>
    <t xml:space="preserve">  Total Deferred Debits</t>
  </si>
  <si>
    <t>Transmission Expenses</t>
  </si>
  <si>
    <t>STATION EXPENSES</t>
  </si>
  <si>
    <t>MAINTENACE SUPERVISION AND ENG</t>
  </si>
  <si>
    <t>OPERATION SUPERVISION AND ENG</t>
  </si>
  <si>
    <t>MAINT OF STATION EQUIPMENT</t>
  </si>
  <si>
    <t>MAINT OF OVERHEAD LINES</t>
  </si>
  <si>
    <t>Total Transmission Expenses</t>
  </si>
  <si>
    <t>OM582</t>
  </si>
  <si>
    <t>PURCHASED POWER</t>
  </si>
  <si>
    <t>MAINTENANCE OF ST LIGHTS &amp; SIG SYSTEMS</t>
  </si>
  <si>
    <t>OM596</t>
  </si>
  <si>
    <t>Total Distribution Operation and Maintenance Expenses</t>
  </si>
  <si>
    <t>Transmission and Distribution Expenses</t>
  </si>
  <si>
    <t>MAINTENANCE OF MISC DISTR PLANT</t>
  </si>
  <si>
    <t>SUPERVISION</t>
  </si>
  <si>
    <t>DUPLICATE CHARGES-CR</t>
  </si>
  <si>
    <t>OM929</t>
  </si>
  <si>
    <t>Total Cost of Service (O&amp;M + Other Expenses)</t>
  </si>
  <si>
    <t>PTRAN</t>
  </si>
  <si>
    <t>F011</t>
  </si>
  <si>
    <t>PT&amp;D</t>
  </si>
  <si>
    <t>ADEPREPA</t>
  </si>
  <si>
    <t>RWIP</t>
  </si>
  <si>
    <t>ADEPRTP</t>
  </si>
  <si>
    <t>M&amp;S</t>
  </si>
  <si>
    <t>OM555</t>
  </si>
  <si>
    <t>OTHER EXPENSES</t>
  </si>
  <si>
    <t>OM557</t>
  </si>
  <si>
    <t>TPP</t>
  </si>
  <si>
    <t>Purchased Power Expenses</t>
  </si>
  <si>
    <t>OM560</t>
  </si>
  <si>
    <t>OM561</t>
  </si>
  <si>
    <t>OM562</t>
  </si>
  <si>
    <t>OM563</t>
  </si>
  <si>
    <t>ACCT 303-SOFTWARE</t>
  </si>
  <si>
    <t>TOTAL PRODUCTION PLANT SYSTEM</t>
  </si>
  <si>
    <t>PRODSYS</t>
  </si>
  <si>
    <t>CWIP3</t>
  </si>
  <si>
    <t>CWIP4</t>
  </si>
  <si>
    <t>CWIP5</t>
  </si>
  <si>
    <t>Customers (Monthly Bills)</t>
  </si>
  <si>
    <t>Average Customers (Bills/12)</t>
  </si>
  <si>
    <t>Average Customers (Lighting = Lights)</t>
  </si>
  <si>
    <t>R01</t>
  </si>
  <si>
    <t>Cust01</t>
  </si>
  <si>
    <t>Cust04</t>
  </si>
  <si>
    <t>Allocation Factors</t>
  </si>
  <si>
    <t>Total Operating Revenue -- Actual</t>
  </si>
  <si>
    <t>Pro-Forma Adjustments:</t>
  </si>
  <si>
    <t>Total Pro-Forma Operating Revenue</t>
  </si>
  <si>
    <t>WATER HEATER - HEAT PUMP PROGRAM</t>
  </si>
  <si>
    <t>OM913</t>
  </si>
  <si>
    <t>P105</t>
  </si>
  <si>
    <t>Service Pension Cost</t>
  </si>
  <si>
    <t>PENSCOST</t>
  </si>
  <si>
    <t xml:space="preserve">  Specific Assignment of Curtailable Service Rider Avoided Cost</t>
  </si>
  <si>
    <t>OMLF</t>
  </si>
  <si>
    <t>TOT OTHER MAINTENANCE LABOR</t>
  </si>
  <si>
    <t>LABOTHMN</t>
  </si>
  <si>
    <t>TRANSM OPER EXP 562-567</t>
  </si>
  <si>
    <t>TRANSM MAINT EXP 569-573</t>
  </si>
  <si>
    <t>TOT TRANSM OPERATIONS LABOR</t>
  </si>
  <si>
    <t>LABTROP</t>
  </si>
  <si>
    <t>TOT TRANSM MAINTENANCE LABOR</t>
  </si>
  <si>
    <t>LABTRMN</t>
  </si>
  <si>
    <t>DISTR OPER EXP 582-589</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</si>
  <si>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</si>
  <si>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</si>
  <si>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</si>
  <si>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</si>
  <si>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</si>
  <si>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</si>
  <si>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</si>
  <si>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DISTR MAINT EXP 591-598</t>
  </si>
  <si>
    <t>TOT DISTR OPERATIONS LABOR</t>
  </si>
  <si>
    <t>LABDISOP</t>
  </si>
  <si>
    <t>TOT DISTR MAINTENANCE LABOR</t>
  </si>
  <si>
    <t>LABDISMN</t>
  </si>
  <si>
    <t>CUST ACCT EXP 902, 903 &amp; 905</t>
  </si>
  <si>
    <t>TOTAL CUST ACCOUNTS LABOR</t>
  </si>
  <si>
    <t>LABCA</t>
  </si>
  <si>
    <t>CUST SERVICES &amp; SALES EXP</t>
  </si>
  <si>
    <t>TOTAL CUST SERVICES LABOR</t>
  </si>
  <si>
    <t>LABCS</t>
  </si>
  <si>
    <t>SALES EXPENSE 912-916</t>
  </si>
  <si>
    <t>TOTAL SALES EXP LABOR</t>
  </si>
  <si>
    <t>LABSA</t>
  </si>
  <si>
    <t>TOT ADMINISTRATIVE &amp; GEN EXP</t>
  </si>
  <si>
    <t>A_GEXP</t>
  </si>
  <si>
    <t>ACCT 930-EPRI &amp; ADVERTISING</t>
  </si>
  <si>
    <t>EXP930A</t>
  </si>
  <si>
    <t>TOTAL CUSTOMER SERVICES EXP</t>
  </si>
  <si>
    <t>CUSTSER</t>
  </si>
  <si>
    <t>F027</t>
  </si>
  <si>
    <t>REGULATORY COMMISSION FEES</t>
  </si>
  <si>
    <t>O&amp;M Customer Allocators</t>
  </si>
  <si>
    <t>Plant Customer Allocators</t>
  </si>
  <si>
    <t>Cost of Service Summary -- Unadjusted</t>
  </si>
  <si>
    <t xml:space="preserve">  Allocation of Curtailable Service Rider Credits</t>
  </si>
  <si>
    <t>Interruptible Credit Allocator</t>
  </si>
  <si>
    <t>INTCRE</t>
  </si>
  <si>
    <t>ok</t>
  </si>
  <si>
    <t>Base Rate Revenue</t>
  </si>
  <si>
    <t>Operation and Maintenance Less Fuel</t>
  </si>
  <si>
    <t>MAINTENANCE OF STRUCTURES</t>
  </si>
  <si>
    <t>MAINTENANCE SUPERVISION &amp; ENGINEERING</t>
  </si>
  <si>
    <t>MISO DAY 1&amp;2 EXPENSE</t>
  </si>
  <si>
    <t xml:space="preserve">  Distribution Plant</t>
  </si>
  <si>
    <t xml:space="preserve"> MATERIALS &amp; SUPPLIES</t>
  </si>
  <si>
    <t xml:space="preserve">  FUEL STOCK</t>
  </si>
  <si>
    <t>M&amp;S 13mo avg worksheet</t>
  </si>
  <si>
    <t xml:space="preserve">  PLANT MATERIAL &amp; SUPPLIES</t>
  </si>
  <si>
    <t xml:space="preserve">    PRODUCTION</t>
  </si>
  <si>
    <t xml:space="preserve">    TRANSMISSION</t>
  </si>
  <si>
    <t xml:space="preserve">    GENERAL</t>
  </si>
  <si>
    <t xml:space="preserve">    STORES UNDISTRIBUTED</t>
  </si>
  <si>
    <t xml:space="preserve">  TOTAL PLT MAT &amp; SUPPLIES</t>
  </si>
  <si>
    <t xml:space="preserve"> TOTAL MATERIALS &amp; SUPPLIES</t>
  </si>
  <si>
    <t xml:space="preserve"> PREPAYMENTS</t>
  </si>
  <si>
    <t xml:space="preserve">  PUBLIC SERVICE COMM TAX</t>
  </si>
  <si>
    <t xml:space="preserve"> TOTAL PREPAYMENTS</t>
  </si>
  <si>
    <t xml:space="preserve"> WORKING CASH - CALC BY JURIS</t>
  </si>
  <si>
    <t>TOTAL WORKING CAPITAL</t>
  </si>
  <si>
    <t>EMISSION ALLOWANCES</t>
  </si>
  <si>
    <t>TOTAL ADDITIONS TO NET PLANT</t>
  </si>
  <si>
    <t>DEDUCTIONS FROM NET PLANT</t>
  </si>
  <si>
    <t>ACCUMULATED DEFERRED INC TAX</t>
  </si>
  <si>
    <t>Tax Acct workpapers</t>
  </si>
  <si>
    <t xml:space="preserve">  VIRGINIA PROPERTY-OTHER</t>
  </si>
  <si>
    <t xml:space="preserve"> DISTRIBUTION - VA</t>
  </si>
  <si>
    <t xml:space="preserve"> DISTRIBUTION PLT KY,FERC &amp; TN</t>
  </si>
  <si>
    <t>TOTAL DEFERRED INCOME TAX</t>
  </si>
  <si>
    <t>ACCUM DEFER INVEST TAX CREDITS</t>
  </si>
  <si>
    <t xml:space="preserve">  PRODUCTION</t>
  </si>
  <si>
    <t xml:space="preserve">  TRANSMISSION</t>
  </si>
  <si>
    <t xml:space="preserve">  TRANSMISSION VA</t>
  </si>
  <si>
    <t xml:space="preserve">  DISTRIBUTION - VA</t>
  </si>
  <si>
    <t xml:space="preserve">  DISTRIBUTION PLT KY,FERC &amp; TN</t>
  </si>
  <si>
    <t xml:space="preserve">  GENERAL</t>
  </si>
  <si>
    <t>TOTAL DEFERRED INVEST CREDIT</t>
  </si>
  <si>
    <t>DEFERRED FUEL-VIRGINIA</t>
  </si>
  <si>
    <t>TOTAL DEDUCTIONS FROM NET PLT</t>
  </si>
  <si>
    <t>SALES OF ELECTRICITY</t>
  </si>
  <si>
    <t>OTHER OPERATING REVENUES</t>
  </si>
  <si>
    <t>TOTAL OTHER REVENUES</t>
  </si>
  <si>
    <t>TOTAL OPERATING REVENUES</t>
  </si>
  <si>
    <t>OPERATION &amp; MAINTENANCE EXP</t>
  </si>
  <si>
    <t>PRODUCTION EXPENSE-STEAM</t>
  </si>
  <si>
    <t xml:space="preserve">  500-SUPERV &amp; ENGINEERING</t>
  </si>
  <si>
    <t xml:space="preserve">  501-FUEL</t>
  </si>
  <si>
    <t xml:space="preserve">  505-ELECTRIC EXPENSES</t>
  </si>
  <si>
    <t xml:space="preserve">  506-MISC STEAM POWER EXP</t>
  </si>
  <si>
    <t xml:space="preserve">    TOTAL STEAM OPERATIONS</t>
  </si>
  <si>
    <t xml:space="preserve">  510-SUPERV &amp; ENGINEERING</t>
  </si>
  <si>
    <t xml:space="preserve">  511-STRUCTURES</t>
  </si>
  <si>
    <t xml:space="preserve">  512-BOILER PLANT</t>
  </si>
  <si>
    <t xml:space="preserve">  513-ELECTRIC PLANT</t>
  </si>
  <si>
    <t xml:space="preserve">  514-MISC STEAM PLANT</t>
  </si>
  <si>
    <t xml:space="preserve">    TOTAL STEAM MAINTENANCE</t>
  </si>
  <si>
    <t>TOTAL STEAM GENERATION</t>
  </si>
  <si>
    <t>PRODUCTION EXPENSE-HYDRO</t>
  </si>
  <si>
    <t xml:space="preserve">  535-SUPERV &amp; ENGINEERING</t>
  </si>
  <si>
    <t xml:space="preserve">  536-WATER FOR POWER</t>
  </si>
  <si>
    <t xml:space="preserve">  537-HYDRAULIC EXPENSES</t>
  </si>
  <si>
    <t xml:space="preserve">  538-ELECTRIC EXPENSES</t>
  </si>
  <si>
    <t xml:space="preserve">  540-RENTS</t>
  </si>
  <si>
    <t xml:space="preserve">    TOTAL HYDRO OPERATIONS</t>
  </si>
  <si>
    <t xml:space="preserve">  541-SUPERV &amp; ENGINEERING</t>
  </si>
  <si>
    <t>RBTRT</t>
  </si>
  <si>
    <t>RBDPS</t>
  </si>
  <si>
    <t>RBDSG</t>
  </si>
  <si>
    <t>RBDPLS</t>
  </si>
  <si>
    <t>RBDPLD</t>
  </si>
  <si>
    <t>RBDPLC</t>
  </si>
  <si>
    <t>RBDSLD</t>
  </si>
  <si>
    <t>RBDSLC</t>
  </si>
  <si>
    <t>RBDLT</t>
  </si>
  <si>
    <t>RBDLTD</t>
  </si>
  <si>
    <t>RBDLTC</t>
  </si>
  <si>
    <t>RBDLTT</t>
  </si>
  <si>
    <t>RBDSC</t>
  </si>
  <si>
    <t>RBDMC</t>
  </si>
  <si>
    <t>RBDSCL</t>
  </si>
  <si>
    <t>RBCAE</t>
  </si>
  <si>
    <t>RBCSI</t>
  </si>
  <si>
    <t>RBSEC</t>
  </si>
  <si>
    <t>OMPPDB</t>
  </si>
  <si>
    <t>OMPPDI</t>
  </si>
  <si>
    <t>OMPPDP</t>
  </si>
  <si>
    <t>OMPPEB</t>
  </si>
  <si>
    <t xml:space="preserve">    RESERVE FOR DEF TAXES</t>
  </si>
  <si>
    <t xml:space="preserve">    RESERVE FOR ITC</t>
  </si>
  <si>
    <t xml:space="preserve">    CUSTOMER ADVANCES</t>
  </si>
  <si>
    <t xml:space="preserve">    DEFERRED FUEL-VIRGINIA</t>
  </si>
  <si>
    <t>MISC. HYDRAULIC POWER EXPENSES</t>
  </si>
  <si>
    <t>OMPPEI</t>
  </si>
  <si>
    <t>OMPPEP</t>
  </si>
  <si>
    <t>OMTRB</t>
  </si>
  <si>
    <t>OMTRI</t>
  </si>
  <si>
    <t>OMTRP</t>
  </si>
  <si>
    <t>OMTRT</t>
  </si>
  <si>
    <t>OMDPS</t>
  </si>
  <si>
    <t>OMDSG</t>
  </si>
  <si>
    <t>OMDPLS</t>
  </si>
  <si>
    <t>OMDPLD</t>
  </si>
  <si>
    <t>OMDPLC</t>
  </si>
  <si>
    <t>OMDSLD</t>
  </si>
  <si>
    <t>OMDSLC</t>
  </si>
  <si>
    <t>OMDLT</t>
  </si>
  <si>
    <t>OMDLTD</t>
  </si>
  <si>
    <t>OMDLTC</t>
  </si>
  <si>
    <t>OMDLTT</t>
  </si>
  <si>
    <t>OMDSC</t>
  </si>
  <si>
    <t>OMDMC</t>
  </si>
  <si>
    <t>OMDSCL</t>
  </si>
  <si>
    <t>OMCAE</t>
  </si>
  <si>
    <t>OMCSI</t>
  </si>
  <si>
    <t>OMSEC</t>
  </si>
  <si>
    <t>LBPPDB</t>
  </si>
  <si>
    <t>LBPPDI</t>
  </si>
  <si>
    <t>LBPPDP</t>
  </si>
  <si>
    <t>ADITDP</t>
  </si>
  <si>
    <t>ADITGP</t>
  </si>
  <si>
    <t>Accumulated Deferred Income Tax</t>
  </si>
  <si>
    <t xml:space="preserve">    Total Production Plant</t>
  </si>
  <si>
    <t xml:space="preserve">    Total Transmission Plant</t>
  </si>
  <si>
    <t xml:space="preserve">    Total Distribution Plant</t>
  </si>
  <si>
    <t xml:space="preserve">    Total General Plant</t>
  </si>
  <si>
    <t>ADITT</t>
  </si>
  <si>
    <t>Total Accumulated Deferred Income Tax</t>
  </si>
  <si>
    <t>ADITCP</t>
  </si>
  <si>
    <t>ADITCTL</t>
  </si>
  <si>
    <t>ADITCG</t>
  </si>
  <si>
    <t>ADITCDKY</t>
  </si>
  <si>
    <t>ADITCDVA</t>
  </si>
  <si>
    <t>ADITCT</t>
  </si>
  <si>
    <t>ADITCTVA</t>
  </si>
  <si>
    <t>Accumulated Deferred Investment Tax Credits</t>
  </si>
  <si>
    <t xml:space="preserve">  Production</t>
  </si>
  <si>
    <t xml:space="preserve">  Transmission</t>
  </si>
  <si>
    <t xml:space="preserve">  Transmission VA</t>
  </si>
  <si>
    <t xml:space="preserve">  Distribution VA</t>
  </si>
  <si>
    <t>Total Accum. Deferred Investment Tax Credits</t>
  </si>
  <si>
    <t xml:space="preserve">  Distribution Plant KY,FERC &amp; TN</t>
  </si>
  <si>
    <t>Adjusted Net Cost Rate Base</t>
  </si>
  <si>
    <t>Gain Disposition of Allowances</t>
  </si>
  <si>
    <t>F017</t>
  </si>
  <si>
    <t>LBSUB1</t>
  </si>
  <si>
    <t>PROVAR</t>
  </si>
  <si>
    <t>PROFIX</t>
  </si>
  <si>
    <t>LBSUB3</t>
  </si>
  <si>
    <t>LBSUB4</t>
  </si>
  <si>
    <t>LBSUB5</t>
  </si>
  <si>
    <t>LBTRAN</t>
  </si>
  <si>
    <t>F025</t>
  </si>
  <si>
    <t>F026</t>
  </si>
  <si>
    <t>LBSUB7</t>
  </si>
  <si>
    <t>F019</t>
  </si>
  <si>
    <t>F020</t>
  </si>
  <si>
    <t>F021</t>
  </si>
  <si>
    <t>F022</t>
  </si>
  <si>
    <t>F023</t>
  </si>
  <si>
    <t>F024</t>
  </si>
  <si>
    <t>Production Plant</t>
  </si>
  <si>
    <t>Provar</t>
  </si>
  <si>
    <t>Fuel</t>
  </si>
  <si>
    <t>F018</t>
  </si>
  <si>
    <t>Steam Generation Operation Labor</t>
  </si>
  <si>
    <t>Steam Generation Maintenance Labor</t>
  </si>
  <si>
    <t>Hydraulic Generation Operation Labor</t>
  </si>
  <si>
    <t>Hydraulic Generation Maintenance Labor</t>
  </si>
  <si>
    <t>Distribution Operation Labor</t>
  </si>
  <si>
    <t>Distribution Maintenance Labor</t>
  </si>
  <si>
    <t>SICD</t>
  </si>
  <si>
    <t>Sum of the Individual Customer Demands (Secondary)</t>
  </si>
  <si>
    <t>LB591</t>
  </si>
  <si>
    <t>OM575</t>
  </si>
  <si>
    <t xml:space="preserve">  901-SUPERVISION</t>
  </si>
  <si>
    <t>DISTRIBUTION EXPENSES</t>
  </si>
  <si>
    <t xml:space="preserve">  580-SUPERV &amp; ENGINEERING</t>
  </si>
  <si>
    <t xml:space="preserve">  581-DIST SYSTEM CONTROL</t>
  </si>
  <si>
    <t xml:space="preserve">  582-STATION EXPENSES</t>
  </si>
  <si>
    <t xml:space="preserve">  583-OVERHEAD LINES</t>
  </si>
  <si>
    <t xml:space="preserve">  584-UNDERGROUND LINES</t>
  </si>
  <si>
    <t xml:space="preserve">  585-STREET LIGHTING</t>
  </si>
  <si>
    <t xml:space="preserve">  586-METERS</t>
  </si>
  <si>
    <t xml:space="preserve">  587-CUSTOMER INSTALLATIONS</t>
  </si>
  <si>
    <t xml:space="preserve">  588-MISCELLANEOUS EXP</t>
  </si>
  <si>
    <t xml:space="preserve">  589-RENTS</t>
  </si>
  <si>
    <t xml:space="preserve">    TOTAL DISTR OPERATIONS</t>
  </si>
  <si>
    <t xml:space="preserve">  590-SUPERV &amp; ENGINEERING</t>
  </si>
  <si>
    <t xml:space="preserve">  591-MAINT OF STRUCTURES</t>
  </si>
  <si>
    <t xml:space="preserve">  592-MAINT OF STATION EQUIP</t>
  </si>
  <si>
    <t xml:space="preserve">  593-MAINT OF OH LINES</t>
  </si>
  <si>
    <t xml:space="preserve">  594-MAINT OF UG LINES</t>
  </si>
  <si>
    <t xml:space="preserve">  595-MAINT OF LINE TRANSF</t>
  </si>
  <si>
    <t xml:space="preserve">  596-MAINT OF ST LIGHTING</t>
  </si>
  <si>
    <t xml:space="preserve">  597-MAINT OF METERS</t>
  </si>
  <si>
    <t xml:space="preserve">  598-MISCELLANEOUS</t>
  </si>
  <si>
    <t xml:space="preserve">    TOTAL DISTR MAINTENANCE</t>
  </si>
  <si>
    <t>TOTAL DISTRIBUTION EXPENSES</t>
  </si>
  <si>
    <t>CUSTOMER ACCOUNTING EXPENSES</t>
  </si>
  <si>
    <t>Weighted Average Customers (Lighting =9 Lights per Cust)</t>
  </si>
  <si>
    <t>Average Customers (Lighting = 9 Lights per Cust)</t>
  </si>
  <si>
    <t>Average Secondary Customers</t>
  </si>
  <si>
    <t>Average Primary Customers</t>
  </si>
  <si>
    <t>Demand Allocators</t>
  </si>
  <si>
    <t>Working Capital</t>
  </si>
  <si>
    <t>Operation and Maintenance Expenses</t>
  </si>
  <si>
    <t>CWC</t>
  </si>
  <si>
    <t>OMLPP</t>
  </si>
  <si>
    <t>Prepayments</t>
  </si>
  <si>
    <t>PREPAY</t>
  </si>
  <si>
    <t xml:space="preserve">  Total Working Capital</t>
  </si>
  <si>
    <t>TWC</t>
  </si>
  <si>
    <t>CSTDEP</t>
  </si>
  <si>
    <t>Net Rate Base</t>
  </si>
  <si>
    <t>RB</t>
  </si>
  <si>
    <t>Purchased Power</t>
  </si>
  <si>
    <t>OMPP</t>
  </si>
  <si>
    <t>Distribution Operation Expense</t>
  </si>
  <si>
    <t>OPERATION SUPERVISION AND ENGI</t>
  </si>
  <si>
    <t>OM580</t>
  </si>
  <si>
    <t>LOAD DISPATCHING</t>
  </si>
  <si>
    <t>OM581</t>
  </si>
  <si>
    <t>OVERHEAD LINE EXPENSES</t>
  </si>
  <si>
    <t>OM583</t>
  </si>
  <si>
    <t>UNDERGROUND LINE EXPENSES</t>
  </si>
  <si>
    <t>OM584</t>
  </si>
  <si>
    <t>STREET LIGHTING EXPENSE</t>
  </si>
  <si>
    <t>Distribution Line Transformers</t>
  </si>
  <si>
    <t xml:space="preserve">  Primary Specific</t>
  </si>
  <si>
    <t xml:space="preserve">  Primary Demand</t>
  </si>
  <si>
    <t xml:space="preserve">  Primary Customer</t>
  </si>
  <si>
    <t xml:space="preserve">  Secondary Demand</t>
  </si>
  <si>
    <t xml:space="preserve">  Secondary Customer</t>
  </si>
  <si>
    <t xml:space="preserve">  Unbilled Revenue</t>
  </si>
  <si>
    <t>UNBREV</t>
  </si>
  <si>
    <t>TOTAL DEPREC &amp; AMORT EXP</t>
  </si>
  <si>
    <t xml:space="preserve">  KENTUCKY DISTRIBUTION PROPERTY</t>
  </si>
  <si>
    <t xml:space="preserve">  VIRGINIA DISTRIBUTION PROPERTY</t>
  </si>
  <si>
    <t>ACCRETION</t>
  </si>
  <si>
    <t>Accretion Exp FS</t>
  </si>
  <si>
    <t>TOTAL ACCRETION EXPENSE</t>
  </si>
  <si>
    <t>OTHER TAXES &amp; OTHER EXPENSES</t>
  </si>
  <si>
    <t>TAXES OTHER THAN INCOME TAX</t>
  </si>
  <si>
    <t xml:space="preserve">  PROPERTY TAXES</t>
  </si>
  <si>
    <t xml:space="preserve"> DISTRIBUTION PLANT</t>
  </si>
  <si>
    <t>Total Operation and Maintenance Expenses</t>
  </si>
  <si>
    <t>TOM</t>
  </si>
  <si>
    <t>Labor Expenses</t>
  </si>
  <si>
    <t>Other Expenses</t>
  </si>
  <si>
    <t>Depreciation Expenses</t>
  </si>
  <si>
    <t>Total Depreciation Expense</t>
  </si>
  <si>
    <t>TDEPR</t>
  </si>
  <si>
    <t>C08</t>
  </si>
  <si>
    <t>Difference</t>
  </si>
  <si>
    <t>LABOR ALLOCATOR</t>
  </si>
  <si>
    <t>LABOR EXPENSE</t>
  </si>
  <si>
    <t xml:space="preserve"> PRODUCTION LABOR</t>
  </si>
  <si>
    <t xml:space="preserve">   ENERGY RELATED</t>
  </si>
  <si>
    <t xml:space="preserve">   FERC 501</t>
  </si>
  <si>
    <t xml:space="preserve">   FERC 510</t>
  </si>
  <si>
    <t xml:space="preserve">   FERC 512</t>
  </si>
  <si>
    <t xml:space="preserve">   FERC 513</t>
  </si>
  <si>
    <t xml:space="preserve">   FERC 547</t>
  </si>
  <si>
    <t xml:space="preserve">     TOTAL ENERGY LABOR</t>
  </si>
  <si>
    <t xml:space="preserve">   DEMAND RELATED</t>
  </si>
  <si>
    <t xml:space="preserve">   FERC 500</t>
  </si>
  <si>
    <t xml:space="preserve">   FERC 502</t>
  </si>
  <si>
    <t xml:space="preserve">   FERC 505</t>
  </si>
  <si>
    <t xml:space="preserve">   FERC 506</t>
  </si>
  <si>
    <t xml:space="preserve">   FERC 509</t>
  </si>
  <si>
    <t xml:space="preserve">   FERC 511</t>
  </si>
  <si>
    <t xml:space="preserve">   FERC 514</t>
  </si>
  <si>
    <t>MISC. TRANSMISSION EXPENSES</t>
  </si>
  <si>
    <t>OM566</t>
  </si>
  <si>
    <t>DEMONSTRATION AND SELLING EXP</t>
  </si>
  <si>
    <t>OM912</t>
  </si>
  <si>
    <t>LB566</t>
  </si>
  <si>
    <t>LB912</t>
  </si>
  <si>
    <t>LB913</t>
  </si>
  <si>
    <t>Customer Specific Assignment</t>
  </si>
  <si>
    <t xml:space="preserve">Average Customers </t>
  </si>
  <si>
    <t>Cust05</t>
  </si>
  <si>
    <t>Cust06</t>
  </si>
  <si>
    <t>ADVERTISING EXPENSES</t>
  </si>
  <si>
    <t>MISC SALES EXPENSE</t>
  </si>
  <si>
    <t>OM916</t>
  </si>
  <si>
    <t>LB916</t>
  </si>
  <si>
    <t>TOT ACCT 360-362 SUBSTATIONS</t>
  </si>
  <si>
    <t>TOT ACCT 366 &amp; 367-UG LINES</t>
  </si>
  <si>
    <t>TOT ACCT 373-STREET LIGHTING</t>
  </si>
  <si>
    <t>TOTAL ACCT 370-METERS</t>
  </si>
  <si>
    <t>TOT ACCT 371-CUSTOMER INSTALL</t>
  </si>
  <si>
    <t>TOT ACCT 368-LINE TRANSFORMER</t>
  </si>
  <si>
    <t>TOT ACCT 902-904 CUST ACCTS</t>
  </si>
  <si>
    <t>TOT ACCT 908-909 CUST SERV</t>
  </si>
  <si>
    <t>TOTAL TRANS &amp; DISTRIB PLANT</t>
  </si>
  <si>
    <t>TRDSPLT</t>
  </si>
  <si>
    <t>INTERNALLY DEVELOPED-CON'T</t>
  </si>
  <si>
    <t>TOT ACCT 912-913 SALES EXP</t>
  </si>
  <si>
    <t>REVENUE SALE OF ELECT-FERC</t>
  </si>
  <si>
    <t>REVFERC</t>
  </si>
  <si>
    <t>REVENUE SALE OF ELECT-VA</t>
  </si>
  <si>
    <t>REVVA</t>
  </si>
  <si>
    <t>REVENUE SALE OF ELECT</t>
  </si>
  <si>
    <t>REVENUE</t>
  </si>
  <si>
    <t>REV SALE OF ELECT-VA NON JUR</t>
  </si>
  <si>
    <t>REVNJVA</t>
  </si>
  <si>
    <t>REV SALE OF ELECT-EXCL FERC</t>
  </si>
  <si>
    <t>REVENUEX</t>
  </si>
  <si>
    <t>CUSTOMER ASSISTANCE EXP-INCENTIVES</t>
  </si>
  <si>
    <t xml:space="preserve">      FERC 598</t>
  </si>
  <si>
    <t xml:space="preserve"> TOTAL DISTRIBUTION LABOR</t>
  </si>
  <si>
    <t xml:space="preserve"> TOT PROD, TRNS &amp; DISTR LABOR</t>
  </si>
  <si>
    <t xml:space="preserve"> CUSTOMER ACCOUNTING</t>
  </si>
  <si>
    <t xml:space="preserve">      FERC 901</t>
  </si>
  <si>
    <t xml:space="preserve">      FERC 902</t>
  </si>
  <si>
    <t xml:space="preserve">      FERC 903</t>
  </si>
  <si>
    <t xml:space="preserve">      FERC 904</t>
  </si>
  <si>
    <t xml:space="preserve">      FERC 905</t>
  </si>
  <si>
    <t xml:space="preserve"> TOTAL CUSTOMER ACCOUNTING LABOR</t>
  </si>
  <si>
    <t xml:space="preserve"> CUSTOMER SERVICE &amp; SALES EXP</t>
  </si>
  <si>
    <t xml:space="preserve">      FERC 907</t>
  </si>
  <si>
    <t xml:space="preserve">      FERC 908</t>
  </si>
  <si>
    <t xml:space="preserve">      FERC 909</t>
  </si>
  <si>
    <t xml:space="preserve">      FERC 910</t>
  </si>
  <si>
    <t xml:space="preserve">  Sales</t>
  </si>
  <si>
    <t>ADMIN. EXPENSES TRANSFERRED - CREDIT</t>
  </si>
  <si>
    <t xml:space="preserve">   Gain Disposition of Allowances</t>
  </si>
  <si>
    <t>GAIN</t>
  </si>
  <si>
    <t>Net Operating Income (Adjusted)</t>
  </si>
  <si>
    <t>Net Operating Income (Unadjusted)</t>
  </si>
  <si>
    <t>Proposed Increase</t>
  </si>
  <si>
    <t>Cust07</t>
  </si>
  <si>
    <t>Cust08</t>
  </si>
  <si>
    <t>Remove ECR Revenues</t>
  </si>
  <si>
    <t>Revenue Adjustment Allocators</t>
  </si>
  <si>
    <t>Total Expense Adjustments</t>
  </si>
  <si>
    <t xml:space="preserve">  Specific Assignment of Curtailable Service Rider Credit</t>
  </si>
  <si>
    <t>Net Operating Income</t>
  </si>
  <si>
    <t>Incremental Income Taxes</t>
  </si>
  <si>
    <t>TOTAL PRODUCTION PLANT</t>
  </si>
  <si>
    <t>PRODPLT</t>
  </si>
  <si>
    <t>TOTAL TRANSMISSION PLANT</t>
  </si>
  <si>
    <t>TRANPLT</t>
  </si>
  <si>
    <t>MAT &amp; SUPPLIES DISTRIBUTED</t>
  </si>
  <si>
    <t>M_S</t>
  </si>
  <si>
    <t>ACCT 924 &amp; 925 INSURANCE</t>
  </si>
  <si>
    <t>REVENUE SALE OF ELECT-KY</t>
  </si>
  <si>
    <t>CWIP PROD FERC-POST ALLOC</t>
  </si>
  <si>
    <t>CWIP TRAN FERC-POST ALLOC</t>
  </si>
  <si>
    <t>CWIPTP</t>
  </si>
  <si>
    <t>ACC DEF INC TX PROD FERC-POST</t>
  </si>
  <si>
    <t>ACC DEF INC TX TRAN FERC-POST</t>
  </si>
  <si>
    <t>TRANSMISSION PLANT EXCL VA</t>
  </si>
  <si>
    <t>TRANPLTX</t>
  </si>
  <si>
    <t>KENTUCKY DISTRIBUTION PLANT</t>
  </si>
  <si>
    <t>KYDIST</t>
  </si>
  <si>
    <t>OM911</t>
  </si>
  <si>
    <t>LB911</t>
  </si>
  <si>
    <t>Marketing/Economic Development</t>
  </si>
  <si>
    <t>MISC DISTR EXP -- MAPPIN</t>
  </si>
  <si>
    <t>Transmission Demand</t>
  </si>
  <si>
    <t>Non-Operating Items</t>
  </si>
  <si>
    <t>Non-Operating Margins - Interest</t>
  </si>
  <si>
    <t>DISTRIBUTION PLANT EXCL VA</t>
  </si>
  <si>
    <t>DPLTXVA</t>
  </si>
  <si>
    <t>ACCT 926 DIR ASSIGN COMP.KY RET</t>
  </si>
  <si>
    <t>LABPTDKY</t>
  </si>
  <si>
    <t>ACCT 926 DIR ASSIGN COMP.VAJ</t>
  </si>
  <si>
    <t>LABPTDVAJ</t>
  </si>
  <si>
    <t>ACCT 926 DIR ASSIGN COMP.VANJ</t>
  </si>
  <si>
    <t>LABPTDVNJ</t>
  </si>
  <si>
    <t>ACCT 926 DIR ASSIGN COMP.FERC</t>
  </si>
  <si>
    <t xml:space="preserve">    PREPAYMENTS</t>
  </si>
  <si>
    <t xml:space="preserve">    WORKING CASH</t>
  </si>
  <si>
    <t xml:space="preserve">    EMISSION ALLOWANCES</t>
  </si>
  <si>
    <t xml:space="preserve">     TOTAL ADDITIONS</t>
  </si>
  <si>
    <t>DEDUCT:</t>
  </si>
  <si>
    <t>DEPRDP1</t>
  </si>
  <si>
    <t>DEPRDP2</t>
  </si>
  <si>
    <t>DEPRDP3</t>
  </si>
  <si>
    <t>DEPRDP4</t>
  </si>
  <si>
    <t>DEPRDP5</t>
  </si>
  <si>
    <t>DEPRDP6</t>
  </si>
  <si>
    <t>Load Management</t>
  </si>
  <si>
    <t>F012</t>
  </si>
  <si>
    <t>Deferred Debits</t>
  </si>
  <si>
    <t>Labor Expenses (Continued)</t>
  </si>
  <si>
    <t>LBPP</t>
  </si>
  <si>
    <t>LB557</t>
  </si>
  <si>
    <t>LB561</t>
  </si>
  <si>
    <t>LB562</t>
  </si>
  <si>
    <t>LB563</t>
  </si>
  <si>
    <t>LB568</t>
  </si>
  <si>
    <t>LB570</t>
  </si>
  <si>
    <t>LB571</t>
  </si>
  <si>
    <t>LB580</t>
  </si>
  <si>
    <t>LB581</t>
  </si>
  <si>
    <t>LB582</t>
  </si>
  <si>
    <t>LB583</t>
  </si>
  <si>
    <t>LB584</t>
  </si>
  <si>
    <t>LB585</t>
  </si>
  <si>
    <t>LB586</t>
  </si>
  <si>
    <t>LB586x</t>
  </si>
  <si>
    <t>LB587</t>
  </si>
  <si>
    <t>LB588</t>
  </si>
  <si>
    <t>LB589</t>
  </si>
  <si>
    <t>LBDO</t>
  </si>
  <si>
    <t>LB590</t>
  </si>
  <si>
    <t>LB592</t>
  </si>
  <si>
    <t>LB593</t>
  </si>
  <si>
    <t>LB594</t>
  </si>
  <si>
    <t>LB595</t>
  </si>
  <si>
    <t>LB596</t>
  </si>
  <si>
    <t>LB597</t>
  </si>
  <si>
    <t>LB598</t>
  </si>
  <si>
    <t>LBDM</t>
  </si>
  <si>
    <t>LBSUB</t>
  </si>
  <si>
    <t>LB901</t>
  </si>
  <si>
    <t>LB902</t>
  </si>
  <si>
    <t>LB903</t>
  </si>
  <si>
    <t>LB904</t>
  </si>
  <si>
    <t>LBCA</t>
  </si>
  <si>
    <t>LB907</t>
  </si>
  <si>
    <t>LB908</t>
  </si>
  <si>
    <t>LB908x</t>
  </si>
  <si>
    <t>LB909</t>
  </si>
  <si>
    <t>LB909x</t>
  </si>
  <si>
    <t>LB910</t>
  </si>
  <si>
    <t>LBCS</t>
  </si>
  <si>
    <t>LBSUB2</t>
  </si>
  <si>
    <t>LB920</t>
  </si>
  <si>
    <t>LB921</t>
  </si>
  <si>
    <t>LB923</t>
  </si>
  <si>
    <t>LB924</t>
  </si>
  <si>
    <t>LB925</t>
  </si>
  <si>
    <t>LB926</t>
  </si>
  <si>
    <t>LB928</t>
  </si>
  <si>
    <t>LB929</t>
  </si>
  <si>
    <t>LB930</t>
  </si>
  <si>
    <t>LB931</t>
  </si>
  <si>
    <t>LBAG</t>
  </si>
  <si>
    <t>TLB</t>
  </si>
  <si>
    <t>LBLPP</t>
  </si>
  <si>
    <t>LB555</t>
  </si>
  <si>
    <t>LB560</t>
  </si>
  <si>
    <t>Total Purchased Power Labor</t>
  </si>
  <si>
    <t>Total Transmission Labor Expenses</t>
  </si>
  <si>
    <t>Transmission Labor Expenses</t>
  </si>
  <si>
    <t>Distribution Operation Labor Expense</t>
  </si>
  <si>
    <t>Total Distribution Operation Labor Expense</t>
  </si>
  <si>
    <t>Distribution Maintenance Labor Expense</t>
  </si>
  <si>
    <t>Total Distribution Maintenance Labor Expense</t>
  </si>
  <si>
    <t>Total Distribution Operation and Maintenance Labor Expenses</t>
  </si>
  <si>
    <t>Transmission and Distribution Labor Expenses</t>
  </si>
  <si>
    <t>Total Customer Accounts Labor Expense</t>
  </si>
  <si>
    <t>Total Customer Service Labor Expense</t>
  </si>
  <si>
    <t>F013</t>
  </si>
  <si>
    <t>F014</t>
  </si>
  <si>
    <t>Intallations on Customer Premises - Accum Depr</t>
  </si>
  <si>
    <t>OM588x</t>
  </si>
  <si>
    <t>F015</t>
  </si>
  <si>
    <t>Generators -Energy</t>
  </si>
  <si>
    <t>CWIP1</t>
  </si>
  <si>
    <t>CWIP2</t>
  </si>
  <si>
    <t xml:space="preserve">      FERC 912</t>
  </si>
  <si>
    <t xml:space="preserve">      FERC 913</t>
  </si>
  <si>
    <t xml:space="preserve">      FERC 916</t>
  </si>
  <si>
    <t xml:space="preserve">     TOTAL DEDUCTIONS</t>
  </si>
  <si>
    <t>NET ORIGINAL COST RATE BASE</t>
  </si>
  <si>
    <t>DEVELOPMENT OF RETURN</t>
  </si>
  <si>
    <t>OPERATING REVENUES</t>
  </si>
  <si>
    <t>OPERATING EXPENSES</t>
  </si>
  <si>
    <t xml:space="preserve">    OPERATION &amp; MAINT EXPENSE</t>
  </si>
  <si>
    <t xml:space="preserve">    DEPRECIATION &amp; AMORT EXP</t>
  </si>
  <si>
    <t xml:space="preserve">    TAXES OTHER THAN INC TAX</t>
  </si>
  <si>
    <t xml:space="preserve">    INCOME TAXES</t>
  </si>
  <si>
    <t xml:space="preserve">    ACCRETION EXPENSE</t>
  </si>
  <si>
    <t xml:space="preserve">     TOTAL OPERATING EXPENSES</t>
  </si>
  <si>
    <t>RETURN</t>
  </si>
  <si>
    <t>RATE OF RETURN</t>
  </si>
  <si>
    <t>ELECTRIC PLANT IN SERVICE</t>
  </si>
  <si>
    <t>INTANGIBLE PLANT</t>
  </si>
  <si>
    <t>TOTAL INTANGIBLE PLANT</t>
  </si>
  <si>
    <t>PRODUCTION PLANT</t>
  </si>
  <si>
    <t xml:space="preserve">  FERC-AFUDC PRE</t>
  </si>
  <si>
    <t xml:space="preserve">  FERC-AFUDC POST</t>
  </si>
  <si>
    <t>Total steam plant</t>
  </si>
  <si>
    <t xml:space="preserve"> TOTAL HYDRAULIC PROD PLANT</t>
  </si>
  <si>
    <t>Total hydro plant</t>
  </si>
  <si>
    <t xml:space="preserve"> TOTAL OTHER PROD PLANT</t>
  </si>
  <si>
    <t>Total other production plant</t>
  </si>
  <si>
    <t>TRANSMISSION PLANT</t>
  </si>
  <si>
    <t>Input KY and TN transmission here:</t>
  </si>
  <si>
    <t xml:space="preserve">  KENTUCKY SYSTEM PROPERTY</t>
  </si>
  <si>
    <t xml:space="preserve">  VIRGINIA PROPERTY-500 KV LINE</t>
  </si>
  <si>
    <t>Input total VA transmission here:</t>
  </si>
  <si>
    <t xml:space="preserve">  VIRGINIA PROPERTY</t>
  </si>
  <si>
    <t>ELECTRIC PLANT IN SERVICE CON'T</t>
  </si>
  <si>
    <t>DISTRIBUTION PLANT</t>
  </si>
  <si>
    <t xml:space="preserve"> KENTUCKY DISTRIBUTION PLANT</t>
  </si>
  <si>
    <t xml:space="preserve">    TOTAL HYDRO MAINTENANCE</t>
  </si>
  <si>
    <t>TOTAL HYDRO GENERATION</t>
  </si>
  <si>
    <t>PRODUCTION EXPENSE-OTHER</t>
  </si>
  <si>
    <t xml:space="preserve">  546-SUPERV &amp; ENGINEERING</t>
  </si>
  <si>
    <t xml:space="preserve">  547-FUEL</t>
  </si>
  <si>
    <t xml:space="preserve">  548-GENERATION EXPENSES</t>
  </si>
  <si>
    <t xml:space="preserve">    TOTAL OTHER OPERATIONS</t>
  </si>
  <si>
    <t xml:space="preserve">  551-SUPERV &amp; ENGINEERING</t>
  </si>
  <si>
    <t xml:space="preserve">  552-STRUCTURES</t>
  </si>
  <si>
    <t xml:space="preserve">  553-GENERATING &amp; ELECT PLT</t>
  </si>
  <si>
    <t xml:space="preserve">  554-MISC OTH POWER GEN PLT</t>
  </si>
  <si>
    <t xml:space="preserve">    TOTAL OTHER MAINTENANCE</t>
  </si>
  <si>
    <t>TOTAL OTHER GENERATION</t>
  </si>
  <si>
    <t>555-PURCHASED POWER</t>
  </si>
  <si>
    <t xml:space="preserve">  CAPACITY COMPONENT</t>
  </si>
  <si>
    <t xml:space="preserve">  ENERGY COMPONENT</t>
  </si>
  <si>
    <t xml:space="preserve">    TOTAL ACCT 555</t>
  </si>
  <si>
    <t>556-SYSTEM CONTROL &amp; DISP</t>
  </si>
  <si>
    <t>557-OTHER EXPENSES</t>
  </si>
  <si>
    <t>TOTAL PRODUCTION EXPENSES</t>
  </si>
  <si>
    <t>OPERATION &amp; MAINT EXP CON'T</t>
  </si>
  <si>
    <t>TRANSMISSION EXPENSES</t>
  </si>
  <si>
    <t xml:space="preserve">  560-SUPERV &amp; ENGINEERING</t>
  </si>
  <si>
    <t xml:space="preserve">  561-LOAD DISPATCHING</t>
  </si>
  <si>
    <t xml:space="preserve">  562-STATION EXPENSES</t>
  </si>
  <si>
    <t xml:space="preserve">  563-OVERHEAD LINE EXPENSES</t>
  </si>
  <si>
    <t xml:space="preserve">  564-UNDERGROUND LINE EXP</t>
  </si>
  <si>
    <t xml:space="preserve">  565-TRANSM OF ELECT BY OTH</t>
  </si>
  <si>
    <t xml:space="preserve">  566-MISC TRANSMISSION EXP</t>
  </si>
  <si>
    <t xml:space="preserve">  567-RENTS</t>
  </si>
  <si>
    <t xml:space="preserve">    TOTAL TRANSM OPERATIONS</t>
  </si>
  <si>
    <t xml:space="preserve">  568-SUPERV &amp; ENGINEERING</t>
  </si>
  <si>
    <t xml:space="preserve">  569-MAINT OF STRUCTURES</t>
  </si>
  <si>
    <t xml:space="preserve">  570-MAINT OF STATION EQUIP</t>
  </si>
  <si>
    <t xml:space="preserve">  571-MAINT OF OH LINES</t>
  </si>
  <si>
    <t xml:space="preserve">  572-MAINT OF UG LINES</t>
  </si>
  <si>
    <t xml:space="preserve">  573-MAINT OF MISC TRAN PLT</t>
  </si>
  <si>
    <t xml:space="preserve">    TOTAL TRANSM MAINTENANCE</t>
  </si>
  <si>
    <t>TOTAL TRANSMISSION EXPENSES</t>
  </si>
  <si>
    <t>CONSTRUCTION WORK IN PROGRESS</t>
  </si>
  <si>
    <t xml:space="preserve">   SYSTEM</t>
  </si>
  <si>
    <t xml:space="preserve">   FERC-AFUDC PRE</t>
  </si>
  <si>
    <t xml:space="preserve">   FERC-AFUDC POST</t>
  </si>
  <si>
    <t xml:space="preserve">    TOTAL PRODUCTION PLANT</t>
  </si>
  <si>
    <t xml:space="preserve">   TRANS VIRGINIA-KY SYSTEM</t>
  </si>
  <si>
    <t xml:space="preserve">   TRANS VIRGINIA</t>
  </si>
  <si>
    <t xml:space="preserve">    TOTAL TRANSMISSION PLT</t>
  </si>
  <si>
    <t xml:space="preserve"> DISTRIBUTION - VA &amp; TN </t>
  </si>
  <si>
    <t xml:space="preserve">    TOTAL DISTRIBUTION PLT</t>
  </si>
  <si>
    <t xml:space="preserve"> GENERAL</t>
  </si>
  <si>
    <t>TOTAL CWIP</t>
  </si>
  <si>
    <t>WORKING CAPITAL</t>
  </si>
  <si>
    <t>Taxable Income Unadjusted</t>
  </si>
  <si>
    <t>Total Operating Revenue</t>
  </si>
  <si>
    <t>Interest Expense</t>
  </si>
  <si>
    <t>INTEXP</t>
  </si>
  <si>
    <t>Taxable Income</t>
  </si>
  <si>
    <t>TAXINC</t>
  </si>
  <si>
    <t>Interest</t>
  </si>
  <si>
    <t>INTPPDB</t>
  </si>
  <si>
    <t>INTPPDI</t>
  </si>
  <si>
    <t>INTPPDP</t>
  </si>
  <si>
    <t>INTPPEB</t>
  </si>
  <si>
    <t>INTPPEI</t>
  </si>
  <si>
    <t>INTPPEP</t>
  </si>
  <si>
    <t>INTPPT</t>
  </si>
  <si>
    <t>INTTRB</t>
  </si>
  <si>
    <t>INTTRI</t>
  </si>
  <si>
    <t>INTTRP</t>
  </si>
  <si>
    <t>INTTRT</t>
  </si>
  <si>
    <t>INTDPS</t>
  </si>
  <si>
    <t>INTDSG</t>
  </si>
  <si>
    <t>INTDPLS</t>
  </si>
  <si>
    <t>INTDPLD</t>
  </si>
  <si>
    <t>INTDPLC</t>
  </si>
  <si>
    <t>INTDSLD</t>
  </si>
  <si>
    <t>INTDSLC</t>
  </si>
  <si>
    <t>INTDLT</t>
  </si>
  <si>
    <t>INTDLTD</t>
  </si>
  <si>
    <t>INTDLTC</t>
  </si>
  <si>
    <t>INTDLTT</t>
  </si>
  <si>
    <t>INTDSC</t>
  </si>
  <si>
    <t>INTDMC</t>
  </si>
  <si>
    <t>INTDSCL</t>
  </si>
  <si>
    <t>INTCAE</t>
  </si>
  <si>
    <t>INTCSI</t>
  </si>
  <si>
    <t>INTSEC</t>
  </si>
  <si>
    <t>INTT</t>
  </si>
  <si>
    <t>Taxable Income Pro-Forma</t>
  </si>
  <si>
    <t>Interest Syncronization Adjustment</t>
  </si>
  <si>
    <t>TXINCPF</t>
  </si>
  <si>
    <t>INJURIES AND DAMAGES - INSURAN</t>
  </si>
  <si>
    <t>OM925</t>
  </si>
  <si>
    <t>EMPLOYEE BENEFITS</t>
  </si>
  <si>
    <t>DEPRECIATION &amp; AMORT EXPENSE</t>
  </si>
  <si>
    <t>DEPRECIATION EXPENSE</t>
  </si>
  <si>
    <t>AFUDC expense per Prop Acct spreadsheet</t>
  </si>
  <si>
    <t>12 month ending functional depr expense</t>
  </si>
  <si>
    <t>12 month ending KY, PP, TN depr expense</t>
  </si>
  <si>
    <t>F010</t>
  </si>
  <si>
    <t>CUSTOMER ASSISTANCE EXPENSES</t>
  </si>
  <si>
    <t>OM908</t>
  </si>
  <si>
    <t>INFORMATIONAL AND INSTRUCTIONA</t>
  </si>
  <si>
    <t>OM909</t>
  </si>
  <si>
    <t>MISCELLANEOUS CUSTOMER SERVICE</t>
  </si>
  <si>
    <t>OM910</t>
  </si>
  <si>
    <t>Total Customer Service Expense</t>
  </si>
  <si>
    <t>OMCS</t>
  </si>
  <si>
    <t>Administrative and General Expense</t>
  </si>
  <si>
    <t>ADMIN. &amp; GEN. SALARIES-</t>
  </si>
  <si>
    <t>OM920</t>
  </si>
  <si>
    <t>OFFICE SUPPLIES AND EXPENSES</t>
  </si>
  <si>
    <t>OM921</t>
  </si>
  <si>
    <t>OUTSIDE SERVICES EMPLOYED</t>
  </si>
  <si>
    <t>OM923</t>
  </si>
  <si>
    <t>PROPERTY INSURANCE</t>
  </si>
  <si>
    <t>OM924</t>
  </si>
  <si>
    <t xml:space="preserve">   FERC 535</t>
  </si>
  <si>
    <t xml:space="preserve">   FERC 538</t>
  </si>
  <si>
    <t xml:space="preserve">   FERC 539</t>
  </si>
  <si>
    <t xml:space="preserve">   FERC 541</t>
  </si>
  <si>
    <t xml:space="preserve">   FERC 542</t>
  </si>
  <si>
    <t xml:space="preserve">   FERC 544</t>
  </si>
  <si>
    <t xml:space="preserve">   FERC 545</t>
  </si>
  <si>
    <t xml:space="preserve">   FERC 546</t>
  </si>
  <si>
    <t xml:space="preserve">   FERC 548</t>
  </si>
  <si>
    <t xml:space="preserve">   FERC 549</t>
  </si>
  <si>
    <t xml:space="preserve">   FERC 550</t>
  </si>
  <si>
    <t xml:space="preserve">   FERC 551</t>
  </si>
  <si>
    <t xml:space="preserve">   FERC 552</t>
  </si>
  <si>
    <t xml:space="preserve">   FERC 553</t>
  </si>
  <si>
    <t xml:space="preserve">   FERC 554</t>
  </si>
  <si>
    <t xml:space="preserve">   FERC 555</t>
  </si>
  <si>
    <t xml:space="preserve">   FERC 556</t>
  </si>
  <si>
    <t xml:space="preserve">   FERC 557</t>
  </si>
  <si>
    <t xml:space="preserve">     TOTAL DEMAND</t>
  </si>
  <si>
    <t xml:space="preserve">     TOTAL PRODUCTION</t>
  </si>
  <si>
    <t xml:space="preserve"> TRANSMISSION LABOR</t>
  </si>
  <si>
    <t xml:space="preserve">      FERC 560</t>
  </si>
  <si>
    <t xml:space="preserve">      FERC 561</t>
  </si>
  <si>
    <t xml:space="preserve">      FERC 562</t>
  </si>
  <si>
    <t xml:space="preserve">      FERC 563</t>
  </si>
  <si>
    <t xml:space="preserve">      FERC 565</t>
  </si>
  <si>
    <t xml:space="preserve">      FERC 566</t>
  </si>
  <si>
    <t xml:space="preserve">      FERC 567</t>
  </si>
  <si>
    <t xml:space="preserve">      FERC 569</t>
  </si>
  <si>
    <t xml:space="preserve">      FERC 570</t>
  </si>
  <si>
    <t xml:space="preserve">      FERC 571</t>
  </si>
  <si>
    <t xml:space="preserve">      FERC 572</t>
  </si>
  <si>
    <t xml:space="preserve">      FERC 573</t>
  </si>
  <si>
    <t xml:space="preserve"> TOTAL TRANSMISSION LABOR</t>
  </si>
  <si>
    <t xml:space="preserve">      FERC 580</t>
  </si>
  <si>
    <t xml:space="preserve">      FERC 581</t>
  </si>
  <si>
    <t xml:space="preserve">      FERC 582</t>
  </si>
  <si>
    <t xml:space="preserve">      FERC 583</t>
  </si>
  <si>
    <t xml:space="preserve">      FERC 584</t>
  </si>
  <si>
    <t xml:space="preserve">      FERC 585</t>
  </si>
  <si>
    <t xml:space="preserve">      FERC 586</t>
  </si>
  <si>
    <t xml:space="preserve">      FERC 587</t>
  </si>
  <si>
    <t xml:space="preserve">      FERC 588</t>
  </si>
  <si>
    <t xml:space="preserve">      FERC 589</t>
  </si>
  <si>
    <t xml:space="preserve">      FERC 590</t>
  </si>
  <si>
    <t xml:space="preserve">      FERC 592</t>
  </si>
  <si>
    <t xml:space="preserve">      FERC 593</t>
  </si>
  <si>
    <t xml:space="preserve">      FERC 594</t>
  </si>
  <si>
    <t xml:space="preserve">      FERC 595</t>
  </si>
  <si>
    <t xml:space="preserve">      FERC 596</t>
  </si>
  <si>
    <t xml:space="preserve">      FERC 597</t>
  </si>
  <si>
    <t>Less: Customer Advances</t>
  </si>
  <si>
    <t xml:space="preserve">         KENTUCKY UTILITIES COMPANY</t>
  </si>
  <si>
    <t xml:space="preserve">    ELECTRIC COST OF SERVICE STUDY</t>
  </si>
  <si>
    <t xml:space="preserve">          JURISDICTIONAL SEPARATION</t>
  </si>
  <si>
    <t>TOTAL</t>
  </si>
  <si>
    <t>KENTUCKY</t>
  </si>
  <si>
    <t>VIRGINIA</t>
  </si>
  <si>
    <t>FERC &amp;</t>
  </si>
  <si>
    <t>TENNESSEE</t>
  </si>
  <si>
    <t>INPUT COL</t>
  </si>
  <si>
    <t>STATE</t>
  </si>
  <si>
    <t>FERC</t>
  </si>
  <si>
    <t>ALLOC</t>
  </si>
  <si>
    <t>UTILITIES</t>
  </si>
  <si>
    <t>JURISDICTION</t>
  </si>
  <si>
    <t>PRIMARY</t>
  </si>
  <si>
    <t>TRANSMISSION</t>
  </si>
  <si>
    <t>PARIS</t>
  </si>
  <si>
    <t>(1)-1</t>
  </si>
  <si>
    <t>(2)</t>
  </si>
  <si>
    <t>(6)</t>
  </si>
  <si>
    <t>(7)</t>
  </si>
  <si>
    <t>(8)</t>
  </si>
  <si>
    <t>(9)</t>
  </si>
  <si>
    <t>ALLOCATION FACTOR TABLE</t>
  </si>
  <si>
    <t>DEMAND RELATED</t>
  </si>
  <si>
    <t>-</t>
  </si>
  <si>
    <t>PRODUCTION ALLOCATORS</t>
  </si>
  <si>
    <t>DEMAND (12 CP GEN LEV)-PROD</t>
  </si>
  <si>
    <t>DEMPROD</t>
  </si>
  <si>
    <t>DEMAND (12 CP GEN LEV)-FERC</t>
  </si>
  <si>
    <t>DEMFERC</t>
  </si>
  <si>
    <t>DEMAND (12 CP GEN)-PROD VA</t>
  </si>
  <si>
    <t>DPRODVA</t>
  </si>
  <si>
    <t>DEMAND (12 CP GEN)-PROD KY</t>
  </si>
  <si>
    <t>DPRODKY</t>
  </si>
  <si>
    <t>DEM (12 CP GEN LV)-FERC POST</t>
  </si>
  <si>
    <t>DEMFERCP</t>
  </si>
  <si>
    <t>DEM (12 CP GEN LV)-NON VA</t>
  </si>
  <si>
    <t>DEMPRODNV</t>
  </si>
  <si>
    <t>TRANSMISSION ALLOCATORS</t>
  </si>
  <si>
    <t>DEMAND (12 CP GEN LEV)-TRAN</t>
  </si>
  <si>
    <t>DEMTRAN</t>
  </si>
  <si>
    <t>DEMAND (12 CP GEN LEV)-VA</t>
  </si>
  <si>
    <t>DEMVA</t>
  </si>
  <si>
    <t>DEM (12 CP GN LEV)-TRAN FERC</t>
  </si>
  <si>
    <t>DEMFERCT</t>
  </si>
  <si>
    <t>DISTRIBUTION ALLOCATORS</t>
  </si>
  <si>
    <t>OM568</t>
  </si>
  <si>
    <t>OM570</t>
  </si>
  <si>
    <t>OM571</t>
  </si>
  <si>
    <t>OMSUB2</t>
  </si>
  <si>
    <t>Operation and Maintenance Expenses Less Purchase Power</t>
  </si>
  <si>
    <t>Cash Working Capital - Operation and Maintenance Expenses</t>
  </si>
  <si>
    <t>DEPRTP</t>
  </si>
  <si>
    <t>P352</t>
  </si>
  <si>
    <t>OTHER</t>
  </si>
  <si>
    <t xml:space="preserve">  CWIP Transmission</t>
  </si>
  <si>
    <t>ADEPRD1</t>
  </si>
  <si>
    <t>ADEPRD11</t>
  </si>
  <si>
    <t>ADEPRD12</t>
  </si>
  <si>
    <t xml:space="preserve">  CWIP General Plant</t>
  </si>
  <si>
    <t xml:space="preserve">  CWIP Distribution Plant</t>
  </si>
  <si>
    <t xml:space="preserve">  RWIP</t>
  </si>
  <si>
    <t>METER EXPENSES - LOAD MANAGEMENT</t>
  </si>
  <si>
    <t>OM586x</t>
  </si>
  <si>
    <t>RECORDS AND COLLECTION</t>
  </si>
  <si>
    <t>MISC CUST ACCOUNTS</t>
  </si>
  <si>
    <t>CUSTOMER ASSISTANCE EXP-LOAD MGMT</t>
  </si>
  <si>
    <t>OM908x</t>
  </si>
  <si>
    <t>INFORM AND INSTRUC -LOAD MGMT</t>
  </si>
  <si>
    <t>OM909x</t>
  </si>
  <si>
    <t xml:space="preserve">    AFUDC-INTEREST POST FERC</t>
  </si>
  <si>
    <t xml:space="preserve"> TOTAL DEDUCTIONS</t>
  </si>
  <si>
    <t xml:space="preserve"> PLUS: ABOVE THE LINE DIFF:</t>
  </si>
  <si>
    <t xml:space="preserve">  OTHER</t>
  </si>
  <si>
    <t>STATE TAX</t>
  </si>
  <si>
    <t>FS State Taxes</t>
  </si>
  <si>
    <t>STATE TAX TOTAL</t>
  </si>
  <si>
    <t>EXCESS DEFERRED TAXES</t>
  </si>
  <si>
    <t>FS Federal Taxes</t>
  </si>
  <si>
    <t xml:space="preserve"> FEDERAL TAX TOTAL</t>
  </si>
  <si>
    <t>STATE TAX RATE</t>
  </si>
  <si>
    <t>FEDERAL TAX RATE - CURRENT</t>
  </si>
  <si>
    <t>1 - EFFECTIVE TAX RATE</t>
  </si>
  <si>
    <t>EFFECTIVE TAX RATE</t>
  </si>
  <si>
    <t>FACTOR FOR TAXABLE BASIS</t>
  </si>
  <si>
    <t xml:space="preserve"> TOTAL CUSTOMER SERVICE AND SALES LABOR</t>
  </si>
  <si>
    <t>TOTAL PROD, TRAN, DIST, CUSTOMER LABOR</t>
  </si>
  <si>
    <t>ADMIN &amp; GENERAL LABOR</t>
  </si>
  <si>
    <t xml:space="preserve">      FERC 920</t>
  </si>
  <si>
    <t xml:space="preserve">      FERC 921</t>
  </si>
  <si>
    <t xml:space="preserve">      FERC 922</t>
  </si>
  <si>
    <t xml:space="preserve">      FERC 923</t>
  </si>
  <si>
    <t xml:space="preserve">      FERC 924</t>
  </si>
  <si>
    <t xml:space="preserve">      FERC 925</t>
  </si>
  <si>
    <t xml:space="preserve">      FERC 926</t>
  </si>
  <si>
    <t xml:space="preserve">      FERC 927</t>
  </si>
  <si>
    <t xml:space="preserve">      FERC 929</t>
  </si>
  <si>
    <t xml:space="preserve">      FERC 930</t>
  </si>
  <si>
    <t xml:space="preserve">      FERC 931</t>
  </si>
  <si>
    <t xml:space="preserve">      FERC 935</t>
  </si>
  <si>
    <t xml:space="preserve"> TOTAL ADMIN &amp; GENERAL  LABOR</t>
  </si>
  <si>
    <t>TOTAL LABOR EXPENSES</t>
  </si>
  <si>
    <t>TRANSM PLANT VA</t>
  </si>
  <si>
    <t>TRPLTVA</t>
  </si>
  <si>
    <t>TOT ACCT 364 &amp; 365-OVHD LINE</t>
  </si>
  <si>
    <t>TOTAL ELECTRIC PLANT</t>
  </si>
  <si>
    <t>PLANT</t>
  </si>
  <si>
    <t>TOTAL ELECTRIC PLANT KY</t>
  </si>
  <si>
    <t>PLANTKY</t>
  </si>
  <si>
    <t>TOTAL ELECTRIC PLANT KY &amp; FERC</t>
  </si>
  <si>
    <t>PLANTKF</t>
  </si>
  <si>
    <t>TOTAL ELECTRIC PLANT VA</t>
  </si>
  <si>
    <t>PLANTVA</t>
  </si>
  <si>
    <t>TOTAL STEAM PROD PLANT</t>
  </si>
  <si>
    <t>STMPLT</t>
  </si>
  <si>
    <t>TOTAL HYDRAULIC PROD PLANT</t>
  </si>
  <si>
    <t>HYDPLT</t>
  </si>
  <si>
    <t>TOTAL OTHER PROD PLANT</t>
  </si>
  <si>
    <t>OTHPLT</t>
  </si>
  <si>
    <t>DEM368K</t>
  </si>
  <si>
    <t>DEM368V</t>
  </si>
  <si>
    <t xml:space="preserve">DIR ASSIGN ACC.DEPRC.DIST.VA&amp;TN </t>
  </si>
  <si>
    <t>DIRACDEP</t>
  </si>
  <si>
    <t>DIR ASSIGN CWIP DIST VA &amp; TN</t>
  </si>
  <si>
    <t>DIRCWIP</t>
  </si>
  <si>
    <t>DIRACDFTX</t>
  </si>
  <si>
    <t>DIRACITC</t>
  </si>
  <si>
    <t>DIR ASSIGN 203(E) EXCESS</t>
  </si>
  <si>
    <t>DIR203E</t>
  </si>
  <si>
    <t>DIR ASSIGN ITC ADJ</t>
  </si>
  <si>
    <t>DIRITCADJ</t>
  </si>
  <si>
    <t>DIR ASSIGN DEFERRED FUEL-VIRGINIA</t>
  </si>
  <si>
    <t>DFUELVA</t>
  </si>
  <si>
    <t>ENERGY</t>
  </si>
  <si>
    <t>ENERGY (MWH AT GEN LEVEL)</t>
  </si>
  <si>
    <t>ENERGY (MWH RETAIL @ GEN LEVEL)</t>
  </si>
  <si>
    <t>ENERGY1</t>
  </si>
  <si>
    <t>CUSTOMER</t>
  </si>
  <si>
    <t>DIR ASSIGN ACCT 369-SERV KY</t>
  </si>
  <si>
    <t>CUST369K</t>
  </si>
  <si>
    <t>DIR ASSIGN ACCT 370 METERS KY</t>
  </si>
  <si>
    <t>CUST370K</t>
  </si>
  <si>
    <t>DIR ASN ACCT 371 CUST INST KY</t>
  </si>
  <si>
    <t>CUST371K</t>
  </si>
  <si>
    <t>DIR ASGN ACCT 373 ST LIGHT KY</t>
  </si>
  <si>
    <t>CUST373K</t>
  </si>
  <si>
    <t>CUSTOMER ADVANCES</t>
  </si>
  <si>
    <t>CUSTADV</t>
  </si>
  <si>
    <t>CUSTOMER DEPOSITS</t>
  </si>
  <si>
    <t>CUSTDEP</t>
  </si>
  <si>
    <t>DIR ASSIGN 902-METER READING</t>
  </si>
  <si>
    <t>CUST902</t>
  </si>
  <si>
    <t>DIR ASSIGN 903-CUSTOMER REC</t>
  </si>
  <si>
    <t>CUST903</t>
  </si>
  <si>
    <t>DIR ASSIGN 904-UNCOLL ACCTS</t>
  </si>
  <si>
    <t>CUST904</t>
  </si>
  <si>
    <t>DIR ASSIGN ACCT 369-SERV VA</t>
  </si>
  <si>
    <t>CUST369V</t>
  </si>
  <si>
    <t>DIR ASSIGN ACCT 370 METERS VA</t>
  </si>
  <si>
    <t>CUST370V</t>
  </si>
  <si>
    <t>DIR ASN ACCT 371 CUST INST VA</t>
  </si>
  <si>
    <t>CUST371V</t>
  </si>
  <si>
    <t>DIR ASGN ACCT 373 ST LIGHT VA</t>
  </si>
  <si>
    <t>CUST373V</t>
  </si>
  <si>
    <t>DIR ASSIGN 908-CUST ASSIST</t>
  </si>
  <si>
    <t>CUST908</t>
  </si>
  <si>
    <t>DIR ASSIGN 909-INFO &amp; INSTRCT</t>
  </si>
  <si>
    <t>CUST909</t>
  </si>
  <si>
    <t>DIR ASSIGN 912-DEM &amp; SELLING</t>
  </si>
  <si>
    <t>CUST912</t>
  </si>
  <si>
    <t>DIR ASSIGN 913-ADVERTISING</t>
  </si>
  <si>
    <t>CUST913</t>
  </si>
  <si>
    <t>CUSTOMER ANNUALIZATION</t>
  </si>
  <si>
    <t>CUSTANN</t>
  </si>
  <si>
    <t>CUSTOMER DEPOSITS INTEREST</t>
  </si>
  <si>
    <t>CUSTDEPI</t>
  </si>
  <si>
    <t>INTERNALLY DEVELOPED</t>
  </si>
  <si>
    <t>PROD-TRANSM-DISTR-GENL PLT</t>
  </si>
  <si>
    <t>PTDGPLT</t>
  </si>
  <si>
    <t>PROD-TRANSM-DISTR-GENL PLT KY</t>
  </si>
  <si>
    <t>KURETPLT</t>
  </si>
  <si>
    <t>ALLOCATED O&amp;M LABOR EXPENSE</t>
  </si>
  <si>
    <t>LABOR</t>
  </si>
  <si>
    <t>TOTAL STEAM PROD PLANT-SYSTEM</t>
  </si>
  <si>
    <t>STMSYS</t>
  </si>
  <si>
    <t>ALLOCATED NON A&amp;G LABOR EXPENSE</t>
  </si>
  <si>
    <t>PTDCUSTLABOR</t>
  </si>
  <si>
    <t>TOT HYDRAULIC PROD PLANT-SYS</t>
  </si>
  <si>
    <t>HYDSYS</t>
  </si>
  <si>
    <t>TOTAL OTHER PROD PLANT-SYS</t>
  </si>
  <si>
    <t>OTHSYS</t>
  </si>
  <si>
    <t>TRANSM KENTUCKY SYSTEM PROP</t>
  </si>
  <si>
    <t>KYTRPLT</t>
  </si>
  <si>
    <t>TRANSM VIRGINIA PROPERTY</t>
  </si>
  <si>
    <t>VATRPLT</t>
  </si>
  <si>
    <t>TRANSM VIRGINIA PROP TOTAL</t>
  </si>
  <si>
    <t>VATRPLTT</t>
  </si>
  <si>
    <t>TOTAL DISTRIBUTION PLANT</t>
  </si>
  <si>
    <t>DISTPLT</t>
  </si>
  <si>
    <t>TOTAL DIST PLANT KY &amp; FERC</t>
  </si>
  <si>
    <t>DISTPLTKF</t>
  </si>
  <si>
    <t>TOTAL GENERAL PLANT</t>
  </si>
  <si>
    <t>GENPLT</t>
  </si>
  <si>
    <t>ACCT 302-FRANCHISE</t>
  </si>
  <si>
    <t>Misc Service Revenue Allocator</t>
  </si>
  <si>
    <t>DIR ASSIGN ACC ITC VA</t>
  </si>
  <si>
    <t>TRANSM PLANT VA &amp; 500 KV</t>
  </si>
  <si>
    <t>TOTAL 201(E) EXCESS</t>
  </si>
  <si>
    <t>TOTAL STEAM OPERATIONS LABOR</t>
  </si>
  <si>
    <t>TOTAL STEAM MAINTENANCE LABOR</t>
  </si>
  <si>
    <t>TOTAL HYDRO OPERATIONS LABOR</t>
  </si>
  <si>
    <t>TOTAL HYDRO MAINTENANCE LABOR</t>
  </si>
  <si>
    <t>TOTAL OTHER OPERATIONS LABOR</t>
  </si>
  <si>
    <t>TOTAL OTHER MAINTENANCE LABOR</t>
  </si>
  <si>
    <t>CUST SERVICES EXP 908-910</t>
  </si>
  <si>
    <t>SUMMARY OF RESULTS AS ALLOCATED</t>
  </si>
  <si>
    <t>ELEMENTS OF RATE BASE</t>
  </si>
  <si>
    <t xml:space="preserve"> PLANT IN SERVICE</t>
  </si>
  <si>
    <t xml:space="preserve"> LESS RESERVE FOR DEPRECIATION</t>
  </si>
  <si>
    <t xml:space="preserve">     NET PLANT IN SERVICE</t>
  </si>
  <si>
    <t xml:space="preserve"> CONST WORK IN PROGRESS</t>
  </si>
  <si>
    <t xml:space="preserve">     NET PLANT</t>
  </si>
  <si>
    <t>ADD:</t>
  </si>
  <si>
    <t xml:space="preserve">      FERC 591</t>
  </si>
  <si>
    <t>Total Line Transformers</t>
  </si>
  <si>
    <t xml:space="preserve">    MATERIALS &amp; SUPPLIES</t>
  </si>
  <si>
    <t xml:space="preserve">    FUEL INVENTORY</t>
  </si>
  <si>
    <t>Customer Services -- Weighted cost of Services</t>
  </si>
  <si>
    <t>Steam Production Plant</t>
  </si>
  <si>
    <t>Total Steam Production Plant</t>
  </si>
  <si>
    <t>PSTPR</t>
  </si>
  <si>
    <t>Other Production Plant</t>
  </si>
  <si>
    <t>Total Other Production Plant</t>
  </si>
  <si>
    <t>POTPR</t>
  </si>
  <si>
    <t>Total Production Plant</t>
  </si>
  <si>
    <t>PPRTL</t>
  </si>
  <si>
    <t>TOTAL COMMON PLANT</t>
  </si>
  <si>
    <t>PCOM</t>
  </si>
  <si>
    <t>Residential</t>
  </si>
  <si>
    <t>General</t>
  </si>
  <si>
    <t xml:space="preserve">   State and Federal Income Taxes</t>
  </si>
  <si>
    <t>Adjustments to Operating Expenses:</t>
  </si>
  <si>
    <t>Cost of Service Summary -- Pro-Forma</t>
  </si>
  <si>
    <t>OPERATION SUPERVISION &amp; ENGINEERING</t>
  </si>
  <si>
    <t>OM500</t>
  </si>
  <si>
    <t>FUEL</t>
  </si>
  <si>
    <t>OM501</t>
  </si>
  <si>
    <t>STEAM EXPENSES</t>
  </si>
  <si>
    <t>OM502</t>
  </si>
  <si>
    <t>ELECTRIC EXPENSES</t>
  </si>
  <si>
    <t>OM505</t>
  </si>
  <si>
    <t>Steam Power Generation Operation Expenses</t>
  </si>
  <si>
    <t>MISC. STEAM POWER EXPENSES</t>
  </si>
  <si>
    <t>OM506</t>
  </si>
  <si>
    <t>Total Steam Power Operation Expenses</t>
  </si>
  <si>
    <t>Steam Power Generation Maintenance Expenses</t>
  </si>
  <si>
    <t>OM510</t>
  </si>
  <si>
    <t>OM511</t>
  </si>
  <si>
    <t>MAINTENANCE OF BOILER PLANT</t>
  </si>
  <si>
    <t>MAINTENANCE OF ELECTRIC PLANT</t>
  </si>
  <si>
    <t>OM512</t>
  </si>
  <si>
    <t>OM513</t>
  </si>
  <si>
    <t>MAINTENANCE OF MISC STEAM PLANT</t>
  </si>
  <si>
    <t>OM514</t>
  </si>
  <si>
    <t>Total Steam Power Generation Maintenance Expense</t>
  </si>
  <si>
    <t>Total Steam Power Generation Expense</t>
  </si>
  <si>
    <t>Other Power Generation Operation Expense</t>
  </si>
  <si>
    <t>OM546</t>
  </si>
  <si>
    <t>OM547</t>
  </si>
  <si>
    <t>GENERATION EXPENSE</t>
  </si>
  <si>
    <t>OM548</t>
  </si>
  <si>
    <t xml:space="preserve">MISC OTHER POWER GENERATION </t>
  </si>
  <si>
    <t>OM549</t>
  </si>
  <si>
    <t>OM550</t>
  </si>
  <si>
    <t>Total Other Power Generation Expenses</t>
  </si>
  <si>
    <t>Other Power Generation Maintenance Expense</t>
  </si>
  <si>
    <t>OM551</t>
  </si>
  <si>
    <t>OM552</t>
  </si>
  <si>
    <t>MAINTENANCE OF GENERATING &amp; ELEC PLANT</t>
  </si>
  <si>
    <t>OM553</t>
  </si>
  <si>
    <t>MAINTENANCE OF MISC OTHER POWER GEN PLT</t>
  </si>
  <si>
    <t>OM554</t>
  </si>
  <si>
    <t>Total Other Power Generation Expense</t>
  </si>
  <si>
    <t>Total Other Power Generation Maintenance Expense</t>
  </si>
  <si>
    <t>Total Station Expense</t>
  </si>
  <si>
    <t>Other Power Supply Expenses</t>
  </si>
  <si>
    <t>PURCHASED POWER OPTIONS</t>
  </si>
  <si>
    <t>OMO555</t>
  </si>
  <si>
    <t>BROKERAGE FEES</t>
  </si>
  <si>
    <t>OMB555</t>
  </si>
  <si>
    <t>MISO TRANSMISSION EXPENSES</t>
  </si>
  <si>
    <t>OMM555</t>
  </si>
  <si>
    <t>SYSTEM CONTROL AND LOAD DISPATCH</t>
  </si>
  <si>
    <t>OM556</t>
  </si>
  <si>
    <t>Total Electric Power Generation Expenses</t>
  </si>
  <si>
    <t>TRANSMISSION OF ELECTRICITY BY OTHERS</t>
  </si>
  <si>
    <t>OM565</t>
  </si>
  <si>
    <t>OM567</t>
  </si>
  <si>
    <t>STRUCTURES</t>
  </si>
  <si>
    <t>OM569</t>
  </si>
  <si>
    <t>UNDERGROUND LINES</t>
  </si>
  <si>
    <t>OM572</t>
  </si>
  <si>
    <t>MISC PLANT</t>
  </si>
  <si>
    <t>OM573</t>
  </si>
  <si>
    <t>OM591</t>
  </si>
  <si>
    <t>MISCELLANEOUS DISTRIBUTION EXPENSES</t>
  </si>
  <si>
    <t>OM598</t>
  </si>
  <si>
    <t>Total Other Power Supply Expenses</t>
  </si>
  <si>
    <t>Production, Transmission and Distribution Expenses</t>
  </si>
  <si>
    <t>Sub-Total Prod, Trans, Dist, Cust Acct and Cust Service</t>
  </si>
  <si>
    <t>ADMINISTRATIVE EXPENSES TRANSFERRED</t>
  </si>
  <si>
    <t>OM922</t>
  </si>
  <si>
    <t>OM935</t>
  </si>
  <si>
    <t>LB500</t>
  </si>
  <si>
    <t>LB501</t>
  </si>
  <si>
    <t>LB502</t>
  </si>
  <si>
    <t>LB505</t>
  </si>
  <si>
    <t>LB506</t>
  </si>
  <si>
    <t>LB510</t>
  </si>
  <si>
    <t>LB511</t>
  </si>
  <si>
    <t>LB512</t>
  </si>
  <si>
    <t>LB513</t>
  </si>
  <si>
    <t>LB514</t>
  </si>
  <si>
    <t>LB546</t>
  </si>
  <si>
    <t>LB547</t>
  </si>
  <si>
    <t>LB548</t>
  </si>
  <si>
    <t>LB549</t>
  </si>
  <si>
    <t>LB550</t>
  </si>
  <si>
    <t>LB551</t>
  </si>
  <si>
    <t>LB552</t>
  </si>
  <si>
    <t>LB553</t>
  </si>
  <si>
    <t>LB554</t>
  </si>
  <si>
    <t>SOFTWARE</t>
  </si>
  <si>
    <t>Hydraulic Production Plant</t>
  </si>
  <si>
    <t>Total Hydraulic Production Plant</t>
  </si>
  <si>
    <t>PHDPR</t>
  </si>
  <si>
    <t>KENTUCKY SYSTEM PROPERTY</t>
  </si>
  <si>
    <t>VIRGINIA PROPERTY - 500 KV LINE</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</si>
  <si>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</si>
  <si>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</si>
  <si>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</si>
  <si>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</si>
  <si>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</si>
  <si>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</si>
  <si>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</si>
  <si>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</si>
  <si>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</si>
  <si>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 xml:space="preserve">  Other Production</t>
  </si>
  <si>
    <t xml:space="preserve">  Hydraulic Production</t>
  </si>
  <si>
    <t xml:space="preserve">  Steam Production</t>
  </si>
  <si>
    <t xml:space="preserve">  Transmission - Kentucky System Property</t>
  </si>
  <si>
    <t xml:space="preserve">  Transmission - Virginia Property</t>
  </si>
  <si>
    <t xml:space="preserve">  Intangible Plant</t>
  </si>
  <si>
    <t xml:space="preserve">  Distribution</t>
  </si>
  <si>
    <t xml:space="preserve">  CWIP Production</t>
  </si>
  <si>
    <t>Hydraulic Power Generation Operation Expenses</t>
  </si>
  <si>
    <t>Hydraulic Power Generation Maintenance Expenses</t>
  </si>
  <si>
    <t>MAINT. OF RESERVES, DAMS, AND WATERWAYS</t>
  </si>
  <si>
    <t>Total Hydraulic Power Operation Expenses</t>
  </si>
  <si>
    <t>Total Hydraulic Power Generation Expense</t>
  </si>
  <si>
    <t>Total Hydraulic Power Generation Maint. Expense</t>
  </si>
  <si>
    <t>HYDRAULIC EXPENSES</t>
  </si>
  <si>
    <t>WATER FOR POWER</t>
  </si>
  <si>
    <t>MAINTENANCE OF MISC HYDRAULIC PLANT</t>
  </si>
  <si>
    <t>OM535</t>
  </si>
  <si>
    <t>OM536</t>
  </si>
  <si>
    <t>OM537</t>
  </si>
  <si>
    <t>OM538</t>
  </si>
  <si>
    <t>OM539</t>
  </si>
  <si>
    <t>OM541</t>
  </si>
  <si>
    <t>OM542</t>
  </si>
  <si>
    <t>OM543</t>
  </si>
  <si>
    <t>OM544</t>
  </si>
  <si>
    <t>OM545</t>
  </si>
  <si>
    <t>Production, Transmission and Distribution Labor Expenses</t>
  </si>
  <si>
    <t>Total Production Expense</t>
  </si>
  <si>
    <t>P368a</t>
  </si>
  <si>
    <t>LPREX</t>
  </si>
  <si>
    <t>OM507</t>
  </si>
  <si>
    <t>Ref</t>
  </si>
  <si>
    <t>Production Demand</t>
  </si>
  <si>
    <t>Production Energy</t>
  </si>
  <si>
    <t>Specific</t>
  </si>
  <si>
    <t>Distribution Poles</t>
  </si>
  <si>
    <t>Distribution Substation</t>
  </si>
  <si>
    <t>Sales Expense</t>
  </si>
  <si>
    <t>Customer Service &amp; Info.</t>
  </si>
  <si>
    <t>Distribution St. &amp; Cust. Lighting</t>
  </si>
  <si>
    <t>LBPPEB</t>
  </si>
  <si>
    <t>LBPPEI</t>
  </si>
  <si>
    <t>LBPPEP</t>
  </si>
  <si>
    <t>LBTRB</t>
  </si>
  <si>
    <t>LBTRI</t>
  </si>
  <si>
    <t>LBTRP</t>
  </si>
  <si>
    <t>LBTRT</t>
  </si>
  <si>
    <t>LBDPS</t>
  </si>
  <si>
    <t>LBDSG</t>
  </si>
  <si>
    <t>LBDPLS</t>
  </si>
  <si>
    <t>LBDPLD</t>
  </si>
  <si>
    <t>LBDPLC</t>
  </si>
  <si>
    <t>LBDSLD</t>
  </si>
  <si>
    <t>LBDSLC</t>
  </si>
  <si>
    <t>LBDLT</t>
  </si>
  <si>
    <t>LBDLTD</t>
  </si>
  <si>
    <t>LBDLTC</t>
  </si>
  <si>
    <t>LBDLTT</t>
  </si>
  <si>
    <t>LBDSC</t>
  </si>
  <si>
    <t>LBDMC</t>
  </si>
  <si>
    <t>LBDSCL</t>
  </si>
  <si>
    <t>LBCAE</t>
  </si>
  <si>
    <t>LBCSI</t>
  </si>
  <si>
    <t>LBSEC</t>
  </si>
  <si>
    <t>DEPPDB</t>
  </si>
  <si>
    <t>DEPPDI</t>
  </si>
  <si>
    <t>DEPPDP</t>
  </si>
  <si>
    <t>DEPPEB</t>
  </si>
  <si>
    <t>DEPPEI</t>
  </si>
  <si>
    <t>DEPPEP</t>
  </si>
  <si>
    <t>DEPPT</t>
  </si>
  <si>
    <t>DETRB</t>
  </si>
  <si>
    <t>DETRI</t>
  </si>
  <si>
    <t>DETRP</t>
  </si>
  <si>
    <t>DETRT</t>
  </si>
  <si>
    <t>DEDPS</t>
  </si>
  <si>
    <t>DEDSG</t>
  </si>
  <si>
    <t>DEDPLS</t>
  </si>
  <si>
    <t>DEDPLD</t>
  </si>
  <si>
    <t>DEDPLC</t>
  </si>
  <si>
    <t>DEDSLD</t>
  </si>
  <si>
    <t>DEDSLC</t>
  </si>
  <si>
    <t>DEDLT</t>
  </si>
  <si>
    <t>DEDLTD</t>
  </si>
  <si>
    <t>DEDLTC</t>
  </si>
  <si>
    <t>DEDLTT</t>
  </si>
  <si>
    <t>DEDSC</t>
  </si>
  <si>
    <t>DEDMC</t>
  </si>
  <si>
    <t>DEDSCL</t>
  </si>
  <si>
    <t>DECAE</t>
  </si>
  <si>
    <t>DECSI</t>
  </si>
  <si>
    <t>DESEC</t>
  </si>
  <si>
    <t>DET</t>
  </si>
  <si>
    <t>OTAX</t>
  </si>
  <si>
    <t>PTPPDB</t>
  </si>
  <si>
    <t>PTPPDI</t>
  </si>
  <si>
    <t>PTPPDP</t>
  </si>
  <si>
    <t>PTPPEB</t>
  </si>
  <si>
    <t>PTPPEI</t>
  </si>
  <si>
    <t>PTPPEP</t>
  </si>
  <si>
    <t>PTPPT</t>
  </si>
  <si>
    <t>PTTRB</t>
  </si>
  <si>
    <t>PTTRI</t>
  </si>
  <si>
    <t>PTTRP</t>
  </si>
  <si>
    <t>PTTRT</t>
  </si>
  <si>
    <t>PTDPS</t>
  </si>
  <si>
    <t>PTDSG</t>
  </si>
  <si>
    <t>PTDPLS</t>
  </si>
  <si>
    <t>PTDPLD</t>
  </si>
  <si>
    <t>PTDPLC</t>
  </si>
  <si>
    <t>PTDSLD</t>
  </si>
  <si>
    <t>PTDSLC</t>
  </si>
  <si>
    <t>PTDLT</t>
  </si>
  <si>
    <t>PTDLTD</t>
  </si>
  <si>
    <t>PTDLTC</t>
  </si>
  <si>
    <t>PTDLTT</t>
  </si>
  <si>
    <t>PTDSC</t>
  </si>
  <si>
    <t>PTDMC</t>
  </si>
  <si>
    <t>PTDSCL</t>
  </si>
  <si>
    <t>PTCAE</t>
  </si>
  <si>
    <t>PTCSI</t>
  </si>
  <si>
    <t>PTSEC</t>
  </si>
  <si>
    <t>OTPPDB</t>
  </si>
  <si>
    <t>OTPPDI</t>
  </si>
  <si>
    <t>OTPPDP</t>
  </si>
  <si>
    <t>OTPPEB</t>
  </si>
  <si>
    <t>OTPPEI</t>
  </si>
  <si>
    <t>OTPPEP</t>
  </si>
  <si>
    <t>OTTRB</t>
  </si>
  <si>
    <t>OTTRI</t>
  </si>
  <si>
    <t>OTTRP</t>
  </si>
  <si>
    <t>OTTRT</t>
  </si>
  <si>
    <t>OTDPS</t>
  </si>
  <si>
    <t>OTDSG</t>
  </si>
  <si>
    <t>OTDPLS</t>
  </si>
  <si>
    <t>OTDPLD</t>
  </si>
  <si>
    <t>OTDPLC</t>
  </si>
  <si>
    <t>OTDSLD</t>
  </si>
  <si>
    <t>OTDSLC</t>
  </si>
  <si>
    <t>OTDLT</t>
  </si>
  <si>
    <t>OTDLTD</t>
  </si>
  <si>
    <t>OTDLTC</t>
  </si>
  <si>
    <t>OTDLTT</t>
  </si>
  <si>
    <t>OTDSC</t>
  </si>
  <si>
    <t>OTDMC</t>
  </si>
  <si>
    <t>OTDSCL</t>
  </si>
  <si>
    <t>OTCAE</t>
  </si>
  <si>
    <t>OTCSI</t>
  </si>
  <si>
    <t>OTSEC</t>
  </si>
  <si>
    <t>Rate RS</t>
  </si>
  <si>
    <t>LB556</t>
  </si>
  <si>
    <t>LB922</t>
  </si>
  <si>
    <t>LB935</t>
  </si>
  <si>
    <t>LB535</t>
  </si>
  <si>
    <t>LB536</t>
  </si>
  <si>
    <t>LB537</t>
  </si>
  <si>
    <t>LB538</t>
  </si>
  <si>
    <t>LB539</t>
  </si>
  <si>
    <t>LB540</t>
  </si>
  <si>
    <t>LB541</t>
  </si>
  <si>
    <t>LB542</t>
  </si>
  <si>
    <t>LB543</t>
  </si>
  <si>
    <t>LB544</t>
  </si>
  <si>
    <t>LB545</t>
  </si>
  <si>
    <t>LB572</t>
  </si>
  <si>
    <t>LB573</t>
  </si>
  <si>
    <t>Emission Allowance</t>
  </si>
  <si>
    <t>EMALL</t>
  </si>
  <si>
    <t>ADITPP</t>
  </si>
  <si>
    <t>ADITTP</t>
  </si>
  <si>
    <t>DIR ASSIGN LATE PAYMENT REVENUE</t>
  </si>
  <si>
    <t>LATE PAYMENT REVENUES</t>
  </si>
  <si>
    <t xml:space="preserve">    (GAIN) / LOSS DISPOSITION ALLOWANCES</t>
  </si>
  <si>
    <t xml:space="preserve">    (GAIN) / LOSS DISPOSITION PROPERTY-VA</t>
  </si>
  <si>
    <t xml:space="preserve">    CHARITABLE CONTRIBUTIONS-VA</t>
  </si>
  <si>
    <t xml:space="preserve">    INTEREST ON CUSTOMER DEPOSITS-VA</t>
  </si>
  <si>
    <t>Financial Statements Net Operating Income</t>
  </si>
  <si>
    <t>M&amp;S worksheet</t>
  </si>
  <si>
    <t>Virginia 0 (zero) Cash Working Capital (No formula allowed only Lead/Lag Study or Zero)</t>
  </si>
  <si>
    <t>Total 928</t>
  </si>
  <si>
    <t>KY Cases</t>
  </si>
  <si>
    <t>VA Cases</t>
  </si>
  <si>
    <t>TN Cases</t>
  </si>
  <si>
    <t>GAIN/LOSS PROP DISPOSITION (NET)</t>
  </si>
  <si>
    <t>CHARITABLE CONTRIBUTIONS-VA ONLY</t>
  </si>
  <si>
    <t>Virginia</t>
  </si>
  <si>
    <t>Donations Workpaper</t>
  </si>
  <si>
    <t>50% Limitation</t>
  </si>
  <si>
    <t>Total Co Int on Cust Dep; Interest deduct for Virginia only</t>
  </si>
  <si>
    <t>STATE TAX ADJUSTS FOR FEDERAL</t>
  </si>
  <si>
    <t>Direct Labor plus Burdens</t>
  </si>
  <si>
    <t xml:space="preserve"> 374-ARO COST KY ELEC DISTRIB</t>
  </si>
  <si>
    <t>DEM374K</t>
  </si>
  <si>
    <t>Less: Asset Retirement Obligations</t>
  </si>
  <si>
    <t>Federal &amp; State Income Tax Adjustment</t>
  </si>
  <si>
    <t>Federal &amp; State Income Tax Interest Adjustment</t>
  </si>
  <si>
    <t>Power Service</t>
  </si>
  <si>
    <t>PS-Secondary</t>
  </si>
  <si>
    <t>PS-Primary</t>
  </si>
  <si>
    <t>Time of Day</t>
  </si>
  <si>
    <t>TOD-Secondary</t>
  </si>
  <si>
    <t>Retail Transmission Service</t>
  </si>
  <si>
    <t>Check</t>
  </si>
  <si>
    <t>LPAY</t>
  </si>
  <si>
    <t>Late Payment Revenue</t>
  </si>
  <si>
    <t>Energy (Loss Adjusted)(at Source)</t>
  </si>
  <si>
    <t>Energy (at the Meter)</t>
  </si>
  <si>
    <t>Cost of Service Summary  -- Adjusted for Proposed Increase</t>
  </si>
  <si>
    <t>ALLOCATION METHOD: AVG 12 CP (COMBINED CO SYS)</t>
  </si>
  <si>
    <t>DEM (12 CP GEN LEV)-NON FERC</t>
  </si>
  <si>
    <t>DEMTRANNF</t>
  </si>
  <si>
    <t>DIRECT ASSIGN 360 KY</t>
  </si>
  <si>
    <t>DEM360K</t>
  </si>
  <si>
    <t>DIRECT ASSIGN 361 KY</t>
  </si>
  <si>
    <t>DEM361K</t>
  </si>
  <si>
    <t>DIRECT ASSIGN 362 KY</t>
  </si>
  <si>
    <t>DEM362K</t>
  </si>
  <si>
    <t>DIRECT ASSIGN 364 KY</t>
  </si>
  <si>
    <t>DEM364K</t>
  </si>
  <si>
    <t>DIRECT ASSIGN 365 KY</t>
  </si>
  <si>
    <t>DEM365K</t>
  </si>
  <si>
    <t>DIRECT ASSIGN 366 KY</t>
  </si>
  <si>
    <t>DEM366K</t>
  </si>
  <si>
    <t>DIRECT ASSIGN 367 KY</t>
  </si>
  <si>
    <t>DEM367K</t>
  </si>
  <si>
    <t>DIRECT ASSIGN 368 KY</t>
  </si>
  <si>
    <t>DIRECT ASSIGN 374 KY</t>
  </si>
  <si>
    <t>DIRECT ASSIGN 360-VA</t>
  </si>
  <si>
    <t>DEM360V</t>
  </si>
  <si>
    <t>DIRECT ASSIGN 361-VA</t>
  </si>
  <si>
    <t>DEM361V</t>
  </si>
  <si>
    <t>DIRECT ASSIGN 362-VA</t>
  </si>
  <si>
    <t>DEM362V</t>
  </si>
  <si>
    <t>DIRECT ASSIGN 364-VA</t>
  </si>
  <si>
    <t>DEM364V</t>
  </si>
  <si>
    <t>DIRECT ASSIGN 365-VA</t>
  </si>
  <si>
    <t>DEM365V</t>
  </si>
  <si>
    <t>DIRECT ASSIGN 367-VA</t>
  </si>
  <si>
    <t>DEM367V</t>
  </si>
  <si>
    <t>DIRECT ASSIGN 368-VA</t>
  </si>
  <si>
    <t>DIRECT ASSIGN 360-TN</t>
  </si>
  <si>
    <t>DEM360T</t>
  </si>
  <si>
    <t>DIRECT ASSIGN 361-TN</t>
  </si>
  <si>
    <t>DEM361T</t>
  </si>
  <si>
    <t>DIRECT ASSIGN 362-TN</t>
  </si>
  <si>
    <t>DEM362T</t>
  </si>
  <si>
    <t>DIRECT ASSIGN 364-TN</t>
  </si>
  <si>
    <t>DEM364T</t>
  </si>
  <si>
    <t>DIRECT ASSIGN 365-TN</t>
  </si>
  <si>
    <t>DEM365T</t>
  </si>
  <si>
    <t>DIRECT ASSIGN 368-TN</t>
  </si>
  <si>
    <t>DEM368T</t>
  </si>
  <si>
    <t>DIRECT ASSIGN 369-TN</t>
  </si>
  <si>
    <t>CUST369T</t>
  </si>
  <si>
    <t>DIRECT ASSIGN 370-TN</t>
  </si>
  <si>
    <t>CUST370T</t>
  </si>
  <si>
    <t>DIRECT ASSIGN 371-TN</t>
  </si>
  <si>
    <t>CUST371T</t>
  </si>
  <si>
    <t>DIR ASSIGN RENT REVENUE</t>
  </si>
  <si>
    <t>DIR454REV</t>
  </si>
  <si>
    <t>DIR ASSIGN EXCESS FACILITIES REV.</t>
  </si>
  <si>
    <t>DIR456FAC</t>
  </si>
  <si>
    <t>DIR ASSIGN OTHER MISC REV.</t>
  </si>
  <si>
    <t>DIR456OTH</t>
  </si>
  <si>
    <t>DIR ASSIGN RECONNECT REV</t>
  </si>
  <si>
    <t>DIR451REC</t>
  </si>
  <si>
    <t>DIR ASSIGN OTHER SERVICE REV</t>
  </si>
  <si>
    <t>DIR451OTH</t>
  </si>
  <si>
    <t>DIR ASSIGN RETURN CHECK REV</t>
  </si>
  <si>
    <t>DIR456CHK</t>
  </si>
  <si>
    <t>DIRECT ASSIGN 369-SERV KY</t>
  </si>
  <si>
    <t>DIRECT ASSIGN 370 METERS KY</t>
  </si>
  <si>
    <t>DIRECT ASSIGN 371 CUST INST KY</t>
  </si>
  <si>
    <t>DIRECT ASSIGN 373 ST LIGHT KY</t>
  </si>
  <si>
    <t>DIR ASSIGN ACCT 371 CUST INST VA</t>
  </si>
  <si>
    <t>DIR450REV</t>
  </si>
  <si>
    <t>PLT302TOT</t>
  </si>
  <si>
    <t>PLT303TOT</t>
  </si>
  <si>
    <t>EXP9245TOT</t>
  </si>
  <si>
    <t>REVKY</t>
  </si>
  <si>
    <t>PLT3645TOT</t>
  </si>
  <si>
    <t>PLT3602TOT</t>
  </si>
  <si>
    <t>PLT3667TOT</t>
  </si>
  <si>
    <t>PLT373TOT</t>
  </si>
  <si>
    <t>PLT370TOT</t>
  </si>
  <si>
    <t>PLT371TOT</t>
  </si>
  <si>
    <t>PLT368TOT</t>
  </si>
  <si>
    <t>EXP9024CA</t>
  </si>
  <si>
    <t>EXP9089CS</t>
  </si>
  <si>
    <t>EXP9123SA</t>
  </si>
  <si>
    <t>EXP5017STM</t>
  </si>
  <si>
    <t>EXP5114STM</t>
  </si>
  <si>
    <t>EXP5360HYD</t>
  </si>
  <si>
    <t>EXP5425HYD</t>
  </si>
  <si>
    <t>EXP5479OTH</t>
  </si>
  <si>
    <t>EXP5524OTH</t>
  </si>
  <si>
    <t>EXP5627TX</t>
  </si>
  <si>
    <t>EXP5693TX</t>
  </si>
  <si>
    <t>EXP5829DIS</t>
  </si>
  <si>
    <t>EXP5918DIS</t>
  </si>
  <si>
    <t>EXP9025CA</t>
  </si>
  <si>
    <t>EXP9080CS</t>
  </si>
  <si>
    <t>EXP9126SA</t>
  </si>
  <si>
    <t>440-RESIDENTIAL</t>
  </si>
  <si>
    <t>442-LARGE COMMERCIAL</t>
  </si>
  <si>
    <t>442-INDUSTRIAL</t>
  </si>
  <si>
    <t>442-MINE POWER</t>
  </si>
  <si>
    <t>444-PUBLIC ST &amp; HWY LIGHTING</t>
  </si>
  <si>
    <t>445-OTHER PUBLIC AUTHORITIES</t>
  </si>
  <si>
    <t>445-MUNICIPAL PUMPING</t>
  </si>
  <si>
    <t>447-SALES FOR RESALE-MUNICIPAL WHOLESALE</t>
  </si>
  <si>
    <t>449-PROVISION FOR RATE REFUND</t>
  </si>
  <si>
    <t>DIR ASSIGN RECONNECT REV.</t>
  </si>
  <si>
    <t>DIR ASSIGN OTHER SERVICE REV.</t>
  </si>
  <si>
    <t>DIR ASSIGN RETURN CHECK REV.</t>
  </si>
  <si>
    <t xml:space="preserve">    CUSTOMER DEPOSITS-VIRGINIA</t>
  </si>
  <si>
    <t xml:space="preserve">    OPEB UNFUNDED-VIRGINIA</t>
  </si>
  <si>
    <t xml:space="preserve"> 301-ORGANIZATION</t>
  </si>
  <si>
    <t xml:space="preserve"> 302-FRANCHISE</t>
  </si>
  <si>
    <t xml:space="preserve"> 303-SOFTWARE</t>
  </si>
  <si>
    <t>STEAM PRODUCTION PLANT</t>
  </si>
  <si>
    <t xml:space="preserve"> 310-LAND</t>
  </si>
  <si>
    <t xml:space="preserve"> 311-STRUCTURES AND IMPROVEMENTS</t>
  </si>
  <si>
    <t xml:space="preserve"> 312-BOILER PLANT EQUIPMENT</t>
  </si>
  <si>
    <t xml:space="preserve"> 314-TURBOGENERATOR UNITS</t>
  </si>
  <si>
    <t xml:space="preserve"> 315-ACCESSORY ELECTRIC EQUIP</t>
  </si>
  <si>
    <t xml:space="preserve"> 316-MISC POWER PLANT EQUIP</t>
  </si>
  <si>
    <t xml:space="preserve"> 317-ARO COST STEAM EQUIP</t>
  </si>
  <si>
    <t xml:space="preserve"> FERC-AFUDC PRE</t>
  </si>
  <si>
    <t xml:space="preserve"> FERC-AFUDC POST</t>
  </si>
  <si>
    <t>HYDRAULIC PRODUCTION PLANT</t>
  </si>
  <si>
    <t xml:space="preserve"> 330-LAND RIGHTS</t>
  </si>
  <si>
    <t xml:space="preserve"> 331-STRUCTURES AND IMPROVEMENTS</t>
  </si>
  <si>
    <t xml:space="preserve"> 332-RESERVOIRS, DAMS, AND WATER</t>
  </si>
  <si>
    <t xml:space="preserve"> 333-WATER WHEEL, TURBINES, GEN</t>
  </si>
  <si>
    <t xml:space="preserve"> 334-ACCESSORY ELECTRIC EQUIP</t>
  </si>
  <si>
    <t xml:space="preserve"> 335-MISC POWER PLANT EQUIP</t>
  </si>
  <si>
    <t xml:space="preserve"> 336-ROADS, RAILROADS, AND BRIDGES</t>
  </si>
  <si>
    <t xml:space="preserve"> 337-ARO COST HYDRO PROD EQUIP</t>
  </si>
  <si>
    <t>OTHER PRODUCTION PLANT</t>
  </si>
  <si>
    <t xml:space="preserve"> 340-LAND &amp; LAND RIGHTS</t>
  </si>
  <si>
    <t xml:space="preserve"> 341-STRUCTURES AND IMPROVEMENTS</t>
  </si>
  <si>
    <t xml:space="preserve"> 342-FUEL HOLDERS, PRODUCERS, ACC</t>
  </si>
  <si>
    <t xml:space="preserve"> 343-PRIME MOVERS</t>
  </si>
  <si>
    <t xml:space="preserve"> 344-GENERATORS</t>
  </si>
  <si>
    <t xml:space="preserve"> 345-ACCESSORY ELECTRIC EQUIP</t>
  </si>
  <si>
    <t xml:space="preserve"> 346-MISC POWER PLANT EQUIP</t>
  </si>
  <si>
    <t xml:space="preserve"> 347-ARO COST OTHER PROD EQUIP</t>
  </si>
  <si>
    <t>AFUDC component of plant</t>
  </si>
  <si>
    <t xml:space="preserve"> 350-LAND &amp; LAND RIGHTS</t>
  </si>
  <si>
    <t xml:space="preserve"> 352-STRUCTURES AND IMPROVEMENTS</t>
  </si>
  <si>
    <t xml:space="preserve"> 353-STATION EQUIPMENT</t>
  </si>
  <si>
    <t xml:space="preserve"> 354-TOWERS AND FIXTURES</t>
  </si>
  <si>
    <t xml:space="preserve"> 355-POLES AND FIXTURES</t>
  </si>
  <si>
    <t xml:space="preserve"> 356-OH CONDUCTORS AND DEVICES</t>
  </si>
  <si>
    <t xml:space="preserve"> 357-UNDERGROUND CONDUIT</t>
  </si>
  <si>
    <t xml:space="preserve"> 358-UG CONDUCTORS AND DEVICES</t>
  </si>
  <si>
    <t xml:space="preserve"> 359-ARO COST KY TRANS</t>
  </si>
  <si>
    <t>TOTAL KENTUCKY SYSTEM PROPERTY</t>
  </si>
  <si>
    <t>VIRGINIA PROPERTY</t>
  </si>
  <si>
    <t>TOTAL VIRGINIA PROPERTY</t>
  </si>
  <si>
    <t>VIRGINIA PROPERTY-500 KV LINE</t>
  </si>
  <si>
    <t>TOTAL VIRGINIA PROPERTY-500 KV LINE</t>
  </si>
  <si>
    <t xml:space="preserve"> 360-LAND &amp; LAND RIGHTS</t>
  </si>
  <si>
    <t xml:space="preserve"> 361-STRUCTURES AND IMPROVEMENTS</t>
  </si>
  <si>
    <t xml:space="preserve"> 362-STATION EQUIPMENT</t>
  </si>
  <si>
    <t xml:space="preserve"> 364-POLES, TOWERS, AND FIXTURES</t>
  </si>
  <si>
    <t xml:space="preserve"> 365-OH CONDUCTORS AND DEVICES</t>
  </si>
  <si>
    <t xml:space="preserve"> 366-UNDERGROUND CONDUIT</t>
  </si>
  <si>
    <t xml:space="preserve"> 367-UG CONDUCTORS AND DEVICES</t>
  </si>
  <si>
    <t xml:space="preserve"> 368-LINE TRANSFORMERS</t>
  </si>
  <si>
    <t xml:space="preserve"> TOTAL 368-LINE TRANSFORMERS</t>
  </si>
  <si>
    <t xml:space="preserve"> 369-SERVICES</t>
  </si>
  <si>
    <t xml:space="preserve"> 370-METERS</t>
  </si>
  <si>
    <t xml:space="preserve"> 371-INSTALL ON CUSTOMER PREMISES</t>
  </si>
  <si>
    <t xml:space="preserve"> 373-STREET LIGHTING</t>
  </si>
  <si>
    <t xml:space="preserve"> TENNESSEE DISTRIBUTION PLANT</t>
  </si>
  <si>
    <t xml:space="preserve"> TOTAL TENNESSEE DISTRIB PLANT</t>
  </si>
  <si>
    <t xml:space="preserve"> 389-LAND &amp; LAND RIGHTS</t>
  </si>
  <si>
    <t xml:space="preserve"> 390-STRUCTURES AND IMPROVEMENTS</t>
  </si>
  <si>
    <t xml:space="preserve"> 391-OFFICE EQUIPMENT</t>
  </si>
  <si>
    <t xml:space="preserve"> 392-TRANSPORTATION EQUIPMENT</t>
  </si>
  <si>
    <t xml:space="preserve"> 393-STORES EQUIPMENT</t>
  </si>
  <si>
    <t xml:space="preserve"> 394-TOOLS, SHOP, AND GARAGE EQUIP</t>
  </si>
  <si>
    <t xml:space="preserve"> 395-LABORATORY EQUIPMENT</t>
  </si>
  <si>
    <t xml:space="preserve"> 396-POWER OPERATED EQUIPMENT</t>
  </si>
  <si>
    <t xml:space="preserve"> 397-COMMUNICATION EQUIPMENT</t>
  </si>
  <si>
    <t xml:space="preserve"> 398-MISC EQUIPMENT</t>
  </si>
  <si>
    <t xml:space="preserve"> TOTAL GENERAL PLANT</t>
  </si>
  <si>
    <t xml:space="preserve"> PLANT HELD FOR FUTURE USE</t>
  </si>
  <si>
    <t xml:space="preserve"> PRODUCTION</t>
  </si>
  <si>
    <t xml:space="preserve"> TRANSMISSION</t>
  </si>
  <si>
    <t xml:space="preserve"> DISTRIBUTION</t>
  </si>
  <si>
    <t xml:space="preserve"> TOTAL PLANT HELD FOR FUTURE USE</t>
  </si>
  <si>
    <t>Total plant held for future use</t>
  </si>
  <si>
    <t xml:space="preserve"> DISTRIBUTION PLANT-VA &amp; TN </t>
  </si>
  <si>
    <t xml:space="preserve"> DISTRIBUTION PLANT-KY &amp; FERC</t>
  </si>
  <si>
    <t xml:space="preserve">Use franchises and consents balance only; leasehold is part of General Plant reserve </t>
  </si>
  <si>
    <t xml:space="preserve"> DISTRIBUTION - KY &amp; FERC</t>
  </si>
  <si>
    <t xml:space="preserve">  PREPAYMENTS OTHER THAN TAXES</t>
  </si>
  <si>
    <t xml:space="preserve">  TRANSMISSION - VA</t>
  </si>
  <si>
    <t>CUSTOMER DEPOSITS-VIRGINIA</t>
  </si>
  <si>
    <t>OPEB UNFUNDED-VIRGINIA</t>
  </si>
  <si>
    <t xml:space="preserve">  440-RESIDENTIAL</t>
  </si>
  <si>
    <t xml:space="preserve">  442-INDUSTRIAL</t>
  </si>
  <si>
    <t xml:space="preserve">  444-PUBLIC ST &amp; HWY LIGHTING</t>
  </si>
  <si>
    <t xml:space="preserve">  445-OTHER PUBLIC AUTHORITIES</t>
  </si>
  <si>
    <t xml:space="preserve">  447-SALES FOR RESALE-MUNICIPALS</t>
  </si>
  <si>
    <t xml:space="preserve">  447-SALES FOR RESALE-OFF SYSTEM:</t>
  </si>
  <si>
    <t xml:space="preserve">              DEMAND</t>
  </si>
  <si>
    <t xml:space="preserve">              ENERGY</t>
  </si>
  <si>
    <t xml:space="preserve">  TOTAL 447-OFF SYSTEM</t>
  </si>
  <si>
    <t xml:space="preserve">  449-PROVISION FOR RATE REFUND</t>
  </si>
  <si>
    <t>TOTAL ELECTRIC SALES REVENUES</t>
  </si>
  <si>
    <t xml:space="preserve">  450-LATE PAYMENT CHARGES</t>
  </si>
  <si>
    <t xml:space="preserve">  451-RECONNECT CHARGES</t>
  </si>
  <si>
    <t xml:space="preserve">  451-OTHER SERVICE CHARGES</t>
  </si>
  <si>
    <t xml:space="preserve">  454-RENT FROM ELEC PROPERTY</t>
  </si>
  <si>
    <t>Primary</t>
  </si>
  <si>
    <t xml:space="preserve">  456-TRANSMISSION SERVICE</t>
  </si>
  <si>
    <t xml:space="preserve">  456-TAX REMITTANCE COMPENSATION</t>
  </si>
  <si>
    <t xml:space="preserve">  456-RETURN CHECK CHARGES</t>
  </si>
  <si>
    <t xml:space="preserve">  456-OTHER MISC REVENUES</t>
  </si>
  <si>
    <t xml:space="preserve">  456-EXCESS FACILITIES CHARGES</t>
  </si>
  <si>
    <t xml:space="preserve">  575-MISO DAY 1 &amp;2 EXP</t>
  </si>
  <si>
    <t>DIRECT</t>
  </si>
  <si>
    <t xml:space="preserve">   DISTRIBUTION-KENTUCKY</t>
  </si>
  <si>
    <t xml:space="preserve">   DISTRIBUTION-VIRGINIA</t>
  </si>
  <si>
    <t xml:space="preserve">   DISTRIBUTION-TENNESSEE</t>
  </si>
  <si>
    <t>Other</t>
  </si>
  <si>
    <t xml:space="preserve">  SEC. 199 DEDUCTION-STATE</t>
  </si>
  <si>
    <t>Tax acct workpapers-STATE amount</t>
  </si>
  <si>
    <t xml:space="preserve">  DEPREC-EQUITY AFUDC PRE</t>
  </si>
  <si>
    <t xml:space="preserve">  DEPREC-EQUITY AFUDC POST</t>
  </si>
  <si>
    <t>STATE TAXABLE INCOME</t>
  </si>
  <si>
    <t>Tax acct workpapers-203(E) STATE amount</t>
  </si>
  <si>
    <t>SEC. 199 DEDUCTION-FEDERAL INCREMENT</t>
  </si>
  <si>
    <t>Tax acct workpapers-SEC199 FEDERAL LESS STATE amount</t>
  </si>
  <si>
    <t xml:space="preserve">  LATE PAYMENT CHARGES</t>
  </si>
  <si>
    <t xml:space="preserve">  RECONNECT CHARGES</t>
  </si>
  <si>
    <t xml:space="preserve">  OTHER SERVICE CHARGES</t>
  </si>
  <si>
    <t xml:space="preserve">  RENT FROM ELEC PROPERTY</t>
  </si>
  <si>
    <t xml:space="preserve">  TRANSMISSION SERVICE</t>
  </si>
  <si>
    <t xml:space="preserve">  TAX REMITTANCE COMPENSATION</t>
  </si>
  <si>
    <t xml:space="preserve">  RETURN CHECK CHARGES</t>
  </si>
  <si>
    <t xml:space="preserve">  OTHER MISC REVENUES</t>
  </si>
  <si>
    <t xml:space="preserve">  EXCESS FACILITIES CHARGES</t>
  </si>
  <si>
    <t>Fluctuating Load Service</t>
  </si>
  <si>
    <t>LE</t>
  </si>
  <si>
    <t>FLS - Transmission</t>
  </si>
  <si>
    <t>Outdoor Lighting</t>
  </si>
  <si>
    <t>Lighting Energy</t>
  </si>
  <si>
    <t>MISCSERV</t>
  </si>
  <si>
    <t>Adjustment for tax basis depreciation reduction</t>
  </si>
  <si>
    <t>TOD-Primary</t>
  </si>
  <si>
    <t>Traffic Energy</t>
  </si>
  <si>
    <t>TE</t>
  </si>
  <si>
    <t xml:space="preserve">    WORKMANS COMPENSATION-FERC</t>
  </si>
  <si>
    <t xml:space="preserve">    VESTED VACATION-FERC</t>
  </si>
  <si>
    <t xml:space="preserve">    MEDICAL AND DENTAL RESERVE-FERC</t>
  </si>
  <si>
    <t>DEM (12 CP GEN LEV)-NON VA&amp;FERC</t>
  </si>
  <si>
    <t>DEMTRANNVF</t>
  </si>
  <si>
    <t>TOTAL TRANSMISSION PLANT EXCL FERC</t>
  </si>
  <si>
    <t>TRANPLTXF</t>
  </si>
  <si>
    <t>TAX203E</t>
  </si>
  <si>
    <t>203(E) EXCESS DEF TAXES EXCL VA</t>
  </si>
  <si>
    <t>STATE203E</t>
  </si>
  <si>
    <t>ALLOC O&amp;M LABOR EXPENSE EXCL FERC</t>
  </si>
  <si>
    <t>LABORXF</t>
  </si>
  <si>
    <t>TRANSM KENTUCKY SYS PROP XFERC</t>
  </si>
  <si>
    <t>KYTRPLTXF</t>
  </si>
  <si>
    <t>442-COMMERCIAL</t>
  </si>
  <si>
    <t xml:space="preserve">    DEMAND SIDE MANAGEMENT</t>
  </si>
  <si>
    <t xml:space="preserve"> TOTAL 397-COMMUNICATION EQUIPMENT</t>
  </si>
  <si>
    <t>FERC MUNIS Direct Assign DISTRIBUTION CWIP</t>
  </si>
  <si>
    <t>WORKMANS COMPENSATION-FERC</t>
  </si>
  <si>
    <t>13mo avg-Workmans Compensation 228201,228202 (FERC Only)</t>
  </si>
  <si>
    <t>VESTED VACATION-FERC</t>
  </si>
  <si>
    <t>13mo avg-Vested Vacation 242002 (FERC Only)</t>
  </si>
  <si>
    <t>MEDICAL AND DENTAL RESERVE-FERC</t>
  </si>
  <si>
    <t>13mo avg-IBNP Medical and Dental Reserve 242102 (FERC Only)</t>
  </si>
  <si>
    <t xml:space="preserve">  442-COMMERCIAL</t>
  </si>
  <si>
    <t xml:space="preserve">  456-ANCILLARY SERVICES</t>
  </si>
  <si>
    <t>Kentucky Portion Customer Deposits Interest</t>
  </si>
  <si>
    <t>Tax acct workpapers and Direct input to Virginia Jurisdiction-Kentucky Portion Customer Deposits Interest</t>
  </si>
  <si>
    <t>STATE TAX ADJUSTMENTS</t>
  </si>
  <si>
    <t>KENTUCKY TAX CREDITS</t>
  </si>
  <si>
    <t>Direct input to Virginia Jurisdiction-Kentucky Portion Customer Deposits Interest</t>
  </si>
  <si>
    <t>FEDERAL TAX ADJUSTMENTS</t>
  </si>
  <si>
    <t>Total Income Taxes</t>
  </si>
  <si>
    <t>IS Total Income Tas Expense</t>
  </si>
  <si>
    <t>Reconciliation for BTL</t>
  </si>
  <si>
    <t>General Service</t>
  </si>
  <si>
    <t xml:space="preserve">  ANCILLARY SERVICES</t>
  </si>
  <si>
    <t>Adj to reflect Additional Redundant Capacity Revenue</t>
  </si>
  <si>
    <t>Adj to reflect Lost Lighting Revenue</t>
  </si>
  <si>
    <t>Adj to reflect new Standby Service Customer</t>
  </si>
  <si>
    <t>Adj to reflect Revenue due to Metering changes</t>
  </si>
  <si>
    <t>Average Transformer Customers</t>
  </si>
  <si>
    <t>Cust09</t>
  </si>
  <si>
    <t>SICDT</t>
  </si>
  <si>
    <t>Increase in Uncollectible Expense</t>
  </si>
  <si>
    <t>Increase in PSC Fees</t>
  </si>
  <si>
    <t>GS</t>
  </si>
  <si>
    <t>Not Used</t>
  </si>
  <si>
    <t>All Electric Schools</t>
  </si>
  <si>
    <t>AES</t>
  </si>
  <si>
    <t>DIRECT ASSIGN 360-PHFU</t>
  </si>
  <si>
    <t>DIR360FU</t>
  </si>
  <si>
    <t>DIR ASSIGN ACC.DFDTX.DIST.VA</t>
  </si>
  <si>
    <t>DIR ASSIGN ACC.ITC.DIST.VA</t>
  </si>
  <si>
    <t>ACCT 930-GEN MISC &amp; ADVERTISING</t>
  </si>
  <si>
    <t xml:space="preserve">    REGULATORY DEBITS</t>
  </si>
  <si>
    <t>Excluded from Rate Base per KPSC</t>
  </si>
  <si>
    <t xml:space="preserve">  447-SALES FOR RESALE-BORDERLINE</t>
  </si>
  <si>
    <t xml:space="preserve">  502-STEAM EXPENSES</t>
  </si>
  <si>
    <t xml:space="preserve">  504-STEAM TRANSFERRED-CREDIT</t>
  </si>
  <si>
    <t xml:space="preserve">  507-RENTS</t>
  </si>
  <si>
    <t xml:space="preserve">  509-ALLOWANCES</t>
  </si>
  <si>
    <t xml:space="preserve">  539-MISC HYDRO POWER GENER</t>
  </si>
  <si>
    <t xml:space="preserve">  549-MISC OTH POWER GENER</t>
  </si>
  <si>
    <t xml:space="preserve">  550-RENTS</t>
  </si>
  <si>
    <t xml:space="preserve">  926-PENSIONS EXP-DIR KY</t>
  </si>
  <si>
    <t xml:space="preserve">  926-PENSIONS EXP-DIR VA</t>
  </si>
  <si>
    <t xml:space="preserve">  926-PENSIONS EXP-DIR VNJ</t>
  </si>
  <si>
    <t xml:space="preserve">  926-PENSIONS EXP-DIR FERC/TN</t>
  </si>
  <si>
    <t xml:space="preserve">  930.1-GEN ADVERTISING EXPENSE</t>
  </si>
  <si>
    <t xml:space="preserve">  930.2-MISC GENERAL EXPENSE</t>
  </si>
  <si>
    <t xml:space="preserve">    KENTUCKY JURISDICTION</t>
  </si>
  <si>
    <t>ARO REGULATORY DEBITS AND ACCRETION</t>
  </si>
  <si>
    <t>REGULATORY DEBITS</t>
  </si>
  <si>
    <t>TOTAL REGULATORY DEBITS</t>
  </si>
  <si>
    <t xml:space="preserve">  SEC. 199 DEDUCTION-FEDERAL</t>
  </si>
  <si>
    <t>APPORTIONED STATE TAXABLE INCOME (LINE 14-9)</t>
  </si>
  <si>
    <t>FEDERAL TAXABLE INCOME</t>
  </si>
  <si>
    <t xml:space="preserve">   FERC 543</t>
  </si>
  <si>
    <t>PLANT HELD FOR FUTURE USE - PRODUCTION</t>
  </si>
  <si>
    <t>PLANT HELD FOR FUTURE USE - DISTRIBUTION</t>
  </si>
  <si>
    <t>OM509</t>
  </si>
  <si>
    <t>ALLOWANCES</t>
  </si>
  <si>
    <t>RATE BASE: THIRTEEN MONTH AVERAGE</t>
  </si>
  <si>
    <t>FERC JURIS</t>
  </si>
  <si>
    <t>Direct Assign</t>
  </si>
  <si>
    <t>Allocated on Revenues</t>
  </si>
  <si>
    <t>Capacitors from Prop Acct Plant Detail Report Acct 368 (UOP 444-496)</t>
  </si>
  <si>
    <t>Capacitors from Prop Acct Plant Detail Report Acct 368 (UOP 461-496)</t>
  </si>
  <si>
    <t>Virginia 0 (zero) Prepayments (No prepayments allowed in working capital)</t>
  </si>
  <si>
    <t>Account 252-Balance Sheet</t>
  </si>
  <si>
    <t>Deferred Fuel 13mo avg workpaper (Virginia Only) (Reg Asset input as negative balance)</t>
  </si>
  <si>
    <t>Balance Sheet-Accum Prov Post Ret Benefits 228301,228307 (Virginia Only)</t>
  </si>
  <si>
    <t>AEP Borderline High Knob-Direct to Virginia</t>
  </si>
  <si>
    <t>F/S Total OP Revenues</t>
  </si>
  <si>
    <t>Pension Direct Assignments:</t>
  </si>
  <si>
    <t>Total Labor (KY,VA,TN,FERC)</t>
  </si>
  <si>
    <t>Ky Only portion of 930.2:</t>
  </si>
  <si>
    <t>Amortization of CMRG-Ky Only (END JUL20)</t>
  </si>
  <si>
    <t>Total 407.3</t>
  </si>
  <si>
    <t>Pulled off Trial Balance - Acct 407.3</t>
  </si>
  <si>
    <t>Pulled off Trial Balance - Acct 411</t>
  </si>
  <si>
    <t>Regulatory Debits FS</t>
  </si>
  <si>
    <t>Financials pg 21=</t>
  </si>
  <si>
    <t>Financials pg 21</t>
  </si>
  <si>
    <t>Tax acct workpapers-FEDERAL amount</t>
  </si>
  <si>
    <t>(VA Tax workpaper)</t>
  </si>
  <si>
    <t>Tax acct workpapers-203(E) FEDERAL amount</t>
  </si>
  <si>
    <t xml:space="preserve">  Transmission Demand - Not Used</t>
  </si>
  <si>
    <t xml:space="preserve">  Transmission Demand</t>
  </si>
  <si>
    <t>NCPT</t>
  </si>
  <si>
    <t>Sum of the Individual Customer Demands (Transformer)</t>
  </si>
  <si>
    <t>Maximum Class Non-Coincident Peak Demands (Primary)</t>
  </si>
  <si>
    <t>Maximum Class Non-Coincident Peak Demands (Transmission)</t>
  </si>
  <si>
    <t>NCPP</t>
  </si>
  <si>
    <t xml:space="preserve">  Curtailable Service Rider</t>
  </si>
  <si>
    <t>ECRREV</t>
  </si>
  <si>
    <t>LOLP</t>
  </si>
  <si>
    <t xml:space="preserve">  Production Demand - LOLP</t>
  </si>
  <si>
    <t xml:space="preserve">  Production Demand - Not Used</t>
  </si>
  <si>
    <t xml:space="preserve">  Production Energy - Not Used</t>
  </si>
  <si>
    <t xml:space="preserve">  Production Energy</t>
  </si>
  <si>
    <t xml:space="preserve">    12 MONTHS ENDING APRIL 30, 2020</t>
  </si>
  <si>
    <t>454 Facilities Chrgs</t>
  </si>
  <si>
    <t xml:space="preserve">    UNAMORTIZED CLOSURE COSTS</t>
  </si>
  <si>
    <t>Direct Assign per DIR360FU Allocator</t>
  </si>
  <si>
    <t>04/30/20 balances</t>
  </si>
  <si>
    <t>KY and VA Lead/Lag</t>
  </si>
  <si>
    <t>1/9 formula (Total O&amp;M less fuel and purchase power)</t>
  </si>
  <si>
    <t>1/8 formula (Total O&amp;M less purchase power)</t>
  </si>
  <si>
    <t>UNAMORTIZED CLOSURE COSTS</t>
  </si>
  <si>
    <t>VA Juris Accum Amort</t>
  </si>
  <si>
    <t>FERC Juris Accum Amort</t>
  </si>
  <si>
    <t>.</t>
  </si>
  <si>
    <t>Account 235-Revenue Acctg COS Info (Virginia Only)</t>
  </si>
  <si>
    <t xml:space="preserve">  454-EV CHARGING STATION RENTAL</t>
  </si>
  <si>
    <t>KY</t>
  </si>
  <si>
    <t>VA</t>
  </si>
  <si>
    <t xml:space="preserve">  454-REFINED COAL LICENSE FEE</t>
  </si>
  <si>
    <t>454 Refined Coal</t>
  </si>
  <si>
    <t xml:space="preserve">  456-REFINED COAL EXCLUSIVITY FEE</t>
  </si>
  <si>
    <t>456 Refined Coal</t>
  </si>
  <si>
    <t>REFINED COAL</t>
  </si>
  <si>
    <t>501019 501027 COAL YARD SERVICE FEES</t>
  </si>
  <si>
    <t>OUTAGE MAINTENANCE</t>
  </si>
  <si>
    <t>510 - MTCE SUPER/ENG - STEAM - in KPSC Rate</t>
  </si>
  <si>
    <t>511 - MTCE-STRUCTURES STEAM - in KPSC Rate</t>
  </si>
  <si>
    <t>512 - MTCE-BOILER PLANT STEAM - in KPSC Rate</t>
  </si>
  <si>
    <t>BROWN 1 AND 2</t>
  </si>
  <si>
    <t>513 - MTCE-ELECTRIC PLANT STEAM - in KPSC Rate</t>
  </si>
  <si>
    <t>ACCT 514 BR REG ASSET AMORT-Direct Assign to KY</t>
  </si>
  <si>
    <t>514 - MTCE-MISC/STM PLANT - in KPSC Rate</t>
  </si>
  <si>
    <t>549 - MISC OTH PWR GEN EXP - in KPSC Rate</t>
  </si>
  <si>
    <t>551 - MTCE-SUPER/ENG - TURB PWR GEN - in KPSC Rate</t>
  </si>
  <si>
    <t>552 - MTCE-STRUCTURES - OTH PWR GEN - in KPSC Rate</t>
  </si>
  <si>
    <t>553 - MTCE-GEN/ELECT EQ PWR GEN - in KPSC Rate</t>
  </si>
  <si>
    <t>554 - MTCE-MISC OTH PWR GEN - in KPSC Rate</t>
  </si>
  <si>
    <t>2009 Winter Storm Reg Asset Amort Direct Assign to KY (Ice storm)(END JUN21)</t>
  </si>
  <si>
    <t>2008 Wind Storm Reg Asset Amort Direct Assign to KY (Ike)(END JUN21)</t>
  </si>
  <si>
    <t>TN</t>
  </si>
  <si>
    <t>END JUL20</t>
  </si>
  <si>
    <t>Amort Rate Case Expenses</t>
  </si>
  <si>
    <t>Other Cases</t>
  </si>
  <si>
    <t>Total O&amp;M</t>
  </si>
  <si>
    <t>Total Depreciation &amp; Amort Exp</t>
  </si>
  <si>
    <t xml:space="preserve">  UNEMPLOYMENT</t>
  </si>
  <si>
    <t xml:space="preserve">  FICA</t>
  </si>
  <si>
    <t>GAINS/LOSSES-NET OF TAXES (1-.2574)</t>
  </si>
  <si>
    <t>Net of Tax (1-.2574)</t>
  </si>
  <si>
    <t>err</t>
  </si>
  <si>
    <t>Virginia Apportionment Factor</t>
  </si>
  <si>
    <t>&gt;Page 3 Financials</t>
  </si>
  <si>
    <t>$10450 Investment Tax Credit for Brown Solar</t>
  </si>
  <si>
    <t>PLANT HELD FOR FUTURE USE - GENERAL</t>
  </si>
  <si>
    <t xml:space="preserve">  Transmission - FERC</t>
  </si>
  <si>
    <t>ADEPRD10</t>
  </si>
  <si>
    <t>Fuel Stock</t>
  </si>
  <si>
    <t>DEPRDP7</t>
  </si>
  <si>
    <t>DEPRDP8</t>
  </si>
  <si>
    <t>Electric Vehicle Charging</t>
  </si>
  <si>
    <t>Solar Share</t>
  </si>
  <si>
    <t>RTS - Transmission</t>
  </si>
  <si>
    <t>LS &amp; RLS</t>
  </si>
  <si>
    <t>OSL</t>
  </si>
  <si>
    <t>Outdoor Sports Lighting</t>
  </si>
  <si>
    <t>EV</t>
  </si>
  <si>
    <t>SSP</t>
  </si>
  <si>
    <t>LOLP Demand Allocator</t>
  </si>
  <si>
    <t xml:space="preserve">  EV CHARGING STATION RENTAL</t>
  </si>
  <si>
    <t xml:space="preserve">  Sales for Resale</t>
  </si>
  <si>
    <t>Reconnect Charges</t>
  </si>
  <si>
    <t>RECON</t>
  </si>
  <si>
    <t>Return Check Charges</t>
  </si>
  <si>
    <t>Rent From Electric Property</t>
  </si>
  <si>
    <t>RFEP</t>
  </si>
  <si>
    <t>CSR Avoided Cost</t>
  </si>
  <si>
    <t>Interruptible Demand</t>
  </si>
  <si>
    <t>Avoided Cost per kW</t>
  </si>
  <si>
    <t>Avoided Cost</t>
  </si>
  <si>
    <t>GPPLOLPDRA</t>
  </si>
  <si>
    <t>GPPLOLPDT</t>
  </si>
  <si>
    <t>GPLOLPDA</t>
  </si>
  <si>
    <t>Net Production Residual LOLP Demand Allocator</t>
  </si>
  <si>
    <t xml:space="preserve">Net Production LOLP Demand Costs </t>
  </si>
  <si>
    <t>Net Production LOLP Demand Residual</t>
  </si>
  <si>
    <t>Net Production LOLP Demand Total</t>
  </si>
  <si>
    <t>Net Production LOLP Demand Allocator</t>
  </si>
  <si>
    <t>Gross Plant Production Residual LOLP Demand Allocator</t>
  </si>
  <si>
    <t xml:space="preserve">Gross Plant Production LOLP Demand Costs </t>
  </si>
  <si>
    <t>Gross Plant Production LOLP Demand Residual</t>
  </si>
  <si>
    <t>Gross Plant Production LOLP Demand Total</t>
  </si>
  <si>
    <t>Gross Plant Production LOLP Demand Allocator</t>
  </si>
  <si>
    <t>NPPLOLPDRA</t>
  </si>
  <si>
    <t>NPPLOLPDT</t>
  </si>
  <si>
    <t>NPLOLPDA</t>
  </si>
  <si>
    <t>Rate Base Production Residual LOLP Demand Allocator</t>
  </si>
  <si>
    <t xml:space="preserve">Rate Base Production LOLP Demand Costs </t>
  </si>
  <si>
    <t>Rate Base Production LOLP Demand Residual</t>
  </si>
  <si>
    <t>Rate Base Production LOLP Demand Total</t>
  </si>
  <si>
    <t>Rate Base Production LOLP Demand Allocator</t>
  </si>
  <si>
    <t>RBLOLPDRA</t>
  </si>
  <si>
    <t>RBLOLPDT</t>
  </si>
  <si>
    <t>RBLOLPDA</t>
  </si>
  <si>
    <t>Production O&amp;M Residual LOLP Demand Allocator</t>
  </si>
  <si>
    <t xml:space="preserve">Production O&amp;M LOLP Demand Costs </t>
  </si>
  <si>
    <t>Production O&amp;M LOLP Demand Residual</t>
  </si>
  <si>
    <t>Production O&amp;M LOLP Demand Total</t>
  </si>
  <si>
    <t>Production O&amp;M LOLP Demand Allocator</t>
  </si>
  <si>
    <t>Production Depreciation Residual LOLP Demand Allocator</t>
  </si>
  <si>
    <t xml:space="preserve">Production Depreciation LOLP Demand Costs </t>
  </si>
  <si>
    <t>Production Depreciation LOLP Demand Residual</t>
  </si>
  <si>
    <t>Production Depreciation LOLP Demand Total</t>
  </si>
  <si>
    <t>Production Depreciation LOLP Demand Allocator</t>
  </si>
  <si>
    <t>Production Prop Tax Residual LOLP Demand Allocator</t>
  </si>
  <si>
    <t xml:space="preserve">Production Prop Tax LOLP Demand Costs </t>
  </si>
  <si>
    <t>Production Prop Tax LOLP Demand Residual</t>
  </si>
  <si>
    <t>Production Prop Tax LOLP Demand Total</t>
  </si>
  <si>
    <t>Production Prop Tax LOLP Demand Allocator</t>
  </si>
  <si>
    <t>POMLOLPDRA</t>
  </si>
  <si>
    <t>POMLOLPDT</t>
  </si>
  <si>
    <t>POMLOLPDA</t>
  </si>
  <si>
    <t>PDEPLOLPDRA</t>
  </si>
  <si>
    <t>PDEPLOLPDT</t>
  </si>
  <si>
    <t>PDEPLOLPDA</t>
  </si>
  <si>
    <t>PPTLOLPDRA</t>
  </si>
  <si>
    <t>PPTLOLPDT</t>
  </si>
  <si>
    <t>PPTLOLPDA</t>
  </si>
  <si>
    <t>Meters Gross Plant Residual Allocator</t>
  </si>
  <si>
    <t xml:space="preserve">Meters Gross Plant Costs </t>
  </si>
  <si>
    <t>Meters Gross Plant Residual</t>
  </si>
  <si>
    <t>Meters Gross Plant Total</t>
  </si>
  <si>
    <t>Meters Gross Plant Allocator</t>
  </si>
  <si>
    <t>Meter Cost Allocation</t>
  </si>
  <si>
    <t>Production Demand Cost Allocation</t>
  </si>
  <si>
    <t>MGPRA</t>
  </si>
  <si>
    <t>MGPT</t>
  </si>
  <si>
    <t>MGPA</t>
  </si>
  <si>
    <t>Meters Net Plant Residual Allocator</t>
  </si>
  <si>
    <t xml:space="preserve">Meters Net Plant Costs </t>
  </si>
  <si>
    <t>Meters Net Plant Residual</t>
  </si>
  <si>
    <t>Meters Net Plant Total</t>
  </si>
  <si>
    <t>Meters Net Plant Allocator</t>
  </si>
  <si>
    <t>Meters Rate Base Residual Allocator</t>
  </si>
  <si>
    <t xml:space="preserve">Meters Rate Base Costs </t>
  </si>
  <si>
    <t>Meters Rate Base Residual</t>
  </si>
  <si>
    <t>Meters Rate Base Total</t>
  </si>
  <si>
    <t>Meters Rate Base Allocator</t>
  </si>
  <si>
    <t>MNPRA</t>
  </si>
  <si>
    <t>MNPT</t>
  </si>
  <si>
    <t>MNPA</t>
  </si>
  <si>
    <t>MRBRA</t>
  </si>
  <si>
    <t>MRBT</t>
  </si>
  <si>
    <t>MRBA</t>
  </si>
  <si>
    <t>Meters O&amp;M Residual Allocator</t>
  </si>
  <si>
    <t xml:space="preserve">Meters O&amp;M Costs </t>
  </si>
  <si>
    <t>Meters O&amp;M Residual</t>
  </si>
  <si>
    <t>Meters O&amp;M Total</t>
  </si>
  <si>
    <t>Meters O&amp;M Allocator</t>
  </si>
  <si>
    <t>Meters Depreciation Residual Allocator</t>
  </si>
  <si>
    <t xml:space="preserve">Meters Depreciation Costs </t>
  </si>
  <si>
    <t>Meters Depreciation Residual</t>
  </si>
  <si>
    <t>Meters Depreciation Total</t>
  </si>
  <si>
    <t>Meters Depreciation Allocator</t>
  </si>
  <si>
    <t>PCust05</t>
  </si>
  <si>
    <t>PCust04</t>
  </si>
  <si>
    <t>PCust01</t>
  </si>
  <si>
    <t>PCust06</t>
  </si>
  <si>
    <t>PCust07</t>
  </si>
  <si>
    <t>PCust08</t>
  </si>
  <si>
    <t>PCust09</t>
  </si>
  <si>
    <t>Average Customers</t>
  </si>
  <si>
    <t>MOMRA</t>
  </si>
  <si>
    <t>MOMT</t>
  </si>
  <si>
    <t>MOMA</t>
  </si>
  <si>
    <t>MDRA</t>
  </si>
  <si>
    <t>MDT</t>
  </si>
  <si>
    <t>MDA</t>
  </si>
  <si>
    <t>Meters Prop Tax Residual Allocator</t>
  </si>
  <si>
    <t xml:space="preserve">Meters Prop Tax Costs </t>
  </si>
  <si>
    <t>Meters Prop Tax Residual</t>
  </si>
  <si>
    <t>Meters Prop Tax Total</t>
  </si>
  <si>
    <t>Meters Prop Tax Allocator</t>
  </si>
  <si>
    <t>MPTRA</t>
  </si>
  <si>
    <t>MPTT</t>
  </si>
  <si>
    <t>MPTA</t>
  </si>
  <si>
    <t>KY Juris Unamort Balance</t>
  </si>
  <si>
    <t>DIRECT ASSIGN</t>
  </si>
  <si>
    <t>13mo avg</t>
  </si>
  <si>
    <t>2018 July Storm Reg Asset Amort Direct Assign to KY (END APR24)</t>
  </si>
  <si>
    <t>AFUDC_FERC</t>
  </si>
  <si>
    <t>FEDERAL TAXES @ 21%</t>
  </si>
  <si>
    <t xml:space="preserve"> DISTRIBUTION LABOR</t>
  </si>
  <si>
    <t xml:space="preserve">  REFINED COAL LICENSE FEES</t>
  </si>
  <si>
    <t>Revenue Adjustment for Solar Share and EV</t>
  </si>
  <si>
    <t>Changes in Miscellaneous Charges</t>
  </si>
  <si>
    <t>Changes in Late Payment Fees</t>
  </si>
  <si>
    <t>Changes in Return Check Charges</t>
  </si>
  <si>
    <t>Changes to EVSE-R</t>
  </si>
  <si>
    <t>Index</t>
  </si>
  <si>
    <t>Subsidy</t>
  </si>
  <si>
    <t>Tax Factor</t>
  </si>
  <si>
    <t>At Pro-Forma</t>
  </si>
  <si>
    <t>At Proposed</t>
  </si>
  <si>
    <t>Line</t>
  </si>
  <si>
    <t>Rate of</t>
  </si>
  <si>
    <t>Return</t>
  </si>
  <si>
    <t>Total System</t>
  </si>
  <si>
    <t>RS</t>
  </si>
  <si>
    <t xml:space="preserve">                 Present                  </t>
  </si>
  <si>
    <t xml:space="preserve">                Proposed                </t>
  </si>
  <si>
    <t>KENTUCKY UTILITIES COMPANY</t>
  </si>
  <si>
    <t>Electric Cost of Service Study Results</t>
  </si>
  <si>
    <t>Twelve Months Ended April 30, 2020</t>
  </si>
  <si>
    <t xml:space="preserve">    (000)    </t>
  </si>
  <si>
    <t xml:space="preserve">                               Rate Class                               </t>
  </si>
  <si>
    <t>Schedule H-1</t>
  </si>
  <si>
    <t>General Service - Rate GS</t>
  </si>
  <si>
    <t>All Electric Schools - Rate AES</t>
  </si>
  <si>
    <t>Power Service - Rate PS - Secondary</t>
  </si>
  <si>
    <t>Power Service - Rate PS - Primary</t>
  </si>
  <si>
    <t>Time of Day Secondary - Rate TODS</t>
  </si>
  <si>
    <t>Time of Day Primary - Rate TODP</t>
  </si>
  <si>
    <t>Retail Transmission Service - Rate RTS</t>
  </si>
  <si>
    <t>Fluctuating Load Service - Rate FLS</t>
  </si>
  <si>
    <t>Lighting Energy Service - Rate LE</t>
  </si>
  <si>
    <t>Traffic Energy Service - Rate TE</t>
  </si>
  <si>
    <t>Electric Vehicle Charging - Rate EV</t>
  </si>
  <si>
    <t>Solar Share - Rate SSP</t>
  </si>
  <si>
    <t>Outdoor Sports Lighting Service - Rate OSL</t>
  </si>
  <si>
    <t>Residential - Rates RS, RTOD &amp; VFD</t>
  </si>
  <si>
    <t>Lighting and Restricted Lighting - Rates LS &amp; RLS</t>
  </si>
  <si>
    <t>Company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</si>
</sst>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000"/>
    <numFmt numFmtId="168" formatCode="0.000000"/>
    <numFmt numFmtId="169" formatCode="_(* #,##0.0000_);_(* \(#,##0.0000\);_(* &quot;-&quot;??_);_(@_)"/>
    <numFmt numFmtId="170" formatCode="_(* #,##0.00000_);_(* \(#,##0.00000\);_(* &quot;-&quot;??_);_(@_)"/>
    <numFmt numFmtId="171" formatCode="_(* #,##0.000000_);_(* \(#,##0.000000\);_(* &quot;-&quot;??_);_(@_)"/>
    <numFmt numFmtId="172" formatCode="_(* #,##0.0000000_);_(* \(#,##0.0000000\);_(* &quot;-&quot;??_);_(@_)"/>
    <numFmt numFmtId="173" formatCode="_(&quot;$&quot;* #,##0.00000_);_(&quot;$&quot;* \(#,##0.00000\);_(&quot;$&quot;* &quot;-&quot;??_);_(@_)"/>
    <numFmt numFmtId="174" formatCode="_(&quot;$&quot;* #,##0.000000_);_(&quot;$&quot;* \(#,##0.000000\);_(&quot;$&quot;* &quot;-&quot;??_);_(@_)"/>
    <numFmt numFmtId="175" formatCode="0.000%"/>
    <numFmt numFmtId="176" formatCode="_([$€-2]* #,##0.00_);_([$€-2]* \(#,##0.00\);_([$€-2]* &quot;-&quot;??_)"/>
    <numFmt numFmtId="177" formatCode="&quot;$&quot;#,##0\ ;\(&quot;$&quot;#,##0\)"/>
    <numFmt numFmtId="178" formatCode="0.00000_)"/>
    <numFmt numFmtId="179" formatCode="0.0%"/>
    <numFmt numFmtId="180" formatCode="0.00000%"/>
    <numFmt numFmtId="181" formatCode="[$-409]d\-mmm\-yy;@"/>
    <numFmt numFmtId="182" formatCode=";;;"/>
    <numFmt numFmtId="183" formatCode="dd\-mmm\-yy_)"/>
    <numFmt numFmtId="184" formatCode="hh:mm\ AM/PM_)"/>
    <numFmt numFmtId="185" formatCode="0.0000%"/>
    <numFmt numFmtId="186" formatCode="#,##0.00000_);\(#,##0.00000\)"/>
    <numFmt numFmtId="187" formatCode="0.000_)"/>
    <numFmt numFmtId="188" formatCode="#,##0.0_);\(#,##0.0\)"/>
    <numFmt numFmtId="189" formatCode="#,##0.0000_);\(#,##0.0000\)"/>
    <numFmt numFmtId="190" formatCode="0_);\(0\)"/>
  </numFmts>
  <fonts count="57" x14ac:knownFonts="1">
    <font>
      <sz val="11"/>
      <name val="Times New Roman"/>
    </font>
    <font>
      <b/>
      <sz val="11"/>
      <name val="Times New Roman"/>
      <family val="1"/>
    </font>
    <font>
      <sz val="11"/>
      <name val="Times New Roman"/>
      <family val="1"/>
    </font>
    <font>
      <u/>
      <sz val="11"/>
      <name val="Times New Roman"/>
      <family val="1"/>
    </font>
    <font>
      <b/>
      <sz val="11"/>
      <name val="Times New Roman"/>
      <family val="1"/>
    </font>
    <font>
      <b/>
      <u/>
      <sz val="11"/>
      <name val="Times New Roman"/>
      <family val="1"/>
    </font>
    <font>
      <sz val="10"/>
      <name val="Arial"/>
      <family val="2"/>
    </font>
    <font>
      <sz val="10"/>
      <name val="Times New Roman"/>
      <family val="1"/>
    </font>
    <font>
      <b/>
      <sz val="10"/>
      <name val="Times New Roman"/>
      <family val="1"/>
    </font>
    <font>
      <sz val="12"/>
      <name val="Times New Roman"/>
      <family val="1"/>
    </font>
    <font>
      <sz val="8"/>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i/>
      <sz val="11"/>
      <color indexed="23"/>
      <name val="Calibri"/>
      <family val="2"/>
    </font>
    <font>
      <b/>
      <sz val="10"/>
      <name val="Arial"/>
      <family val="2"/>
    </font>
    <font>
      <b/>
      <sz val="14"/>
      <name val="Arial"/>
      <family val="2"/>
    </font>
    <font>
      <sz val="8"/>
      <name val="Arial"/>
      <family val="2"/>
    </font>
    <font>
      <sz val="6"/>
      <name val="Arial"/>
      <family val="2"/>
    </font>
    <font>
      <sz val="11"/>
      <color indexed="17"/>
      <name val="Calibri"/>
      <family val="2"/>
    </font>
    <font>
      <b/>
      <sz val="18"/>
      <name val="Arial"/>
      <family val="2"/>
    </font>
    <font>
      <b/>
      <sz val="12"/>
      <name val="Arial"/>
      <family val="2"/>
    </font>
    <font>
      <b/>
      <sz val="11"/>
      <color indexed="62"/>
      <name val="Calibri"/>
      <family val="2"/>
    </font>
    <font>
      <sz val="11"/>
      <color indexed="62"/>
      <name val="Calibri"/>
      <family val="2"/>
    </font>
    <font>
      <b/>
      <sz val="10"/>
      <color indexed="8"/>
      <name val="Arial"/>
      <family val="2"/>
    </font>
    <font>
      <sz val="11"/>
      <color indexed="10"/>
      <name val="Calibri"/>
      <family val="2"/>
    </font>
    <font>
      <sz val="11"/>
      <color indexed="19"/>
      <name val="Calibri"/>
      <family val="2"/>
    </font>
    <font>
      <sz val="12"/>
      <name val="Times New Roman"/>
      <family val="1"/>
    </font>
    <font>
      <b/>
      <sz val="11"/>
      <color indexed="63"/>
      <name val="Calibri"/>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b/>
      <sz val="18"/>
      <color indexed="62"/>
      <name val="Cambria"/>
      <family val="2"/>
    </font>
    <font>
      <sz val="8"/>
      <color indexed="8"/>
      <name val="Wingdings"/>
      <charset val="2"/>
    </font>
    <font>
      <sz val="11"/>
      <name val="Arial"/>
      <family val="2"/>
    </font>
    <font>
      <i/>
      <sz val="11"/>
      <name val="Times New Roman"/>
      <family val="1"/>
    </font>
    <font>
      <sz val="10"/>
      <color rgb="FF000000"/>
      <name val="Times New Roman"/>
      <family val="1"/>
    </font>
    <font>
      <sz val="9"/>
      <color theme="1"/>
      <name val="Times New Roman"/>
      <family val="2"/>
    </font>
    <font>
      <sz val="10"/>
      <color indexed="12"/>
      <name val="Times New Roman"/>
      <family val="1"/>
    </font>
    <font>
      <sz val="10"/>
      <color rgb="FFFF0000"/>
      <name val="Times New Roman"/>
      <family val="1"/>
    </font>
    <font>
      <sz val="10"/>
      <color indexed="53"/>
      <name val="Times New Roman"/>
      <family val="1"/>
    </font>
    <font>
      <u/>
      <sz val="10"/>
      <name val="Times New Roman"/>
      <family val="1"/>
    </font>
    <font>
      <sz val="11"/>
      <color rgb="FF0000FF"/>
      <name val="Times New Roman"/>
      <family val="1"/>
    </font>
    <font>
      <b/>
      <sz val="14"/>
      <name val="Times New Roman"/>
      <family val="1"/>
    </font>
    <font>
      <b/>
      <u/>
      <sz val="12"/>
      <name val="Times New Roman"/>
      <family val="1"/>
    </font>
    <font>
      <u val="singleAccounting"/>
      <sz val="11"/>
      <name val="Times New Roman"/>
      <family val="1"/>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12"/>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double">
        <color indexed="64"/>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9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18" borderId="0">
      <alignment horizontal="left"/>
    </xf>
    <xf numFmtId="0" fontId="19" fillId="18" borderId="0">
      <alignment horizontal="right"/>
    </xf>
    <xf numFmtId="0" fontId="20" fillId="16" borderId="0">
      <alignment horizontal="center"/>
    </xf>
    <xf numFmtId="0" fontId="19" fillId="18" borderId="0">
      <alignment horizontal="right"/>
    </xf>
    <xf numFmtId="0" fontId="21" fillId="16" borderId="0">
      <alignment horizontal="left"/>
    </xf>
    <xf numFmtId="43" fontId="2" fillId="0" borderId="0" applyFont="0" applyFill="0" applyBorder="0" applyAlignment="0" applyProtection="0"/>
    <xf numFmtId="43" fontId="47" fillId="0" borderId="0" applyFont="0" applyFill="0" applyBorder="0" applyAlignment="0" applyProtection="0"/>
    <xf numFmtId="3" fontId="6" fillId="0" borderId="0" applyFont="0" applyFill="0" applyBorder="0" applyAlignment="0" applyProtection="0"/>
    <xf numFmtId="44" fontId="2"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176" fontId="6" fillId="0" borderId="0" applyFont="0" applyFill="0" applyBorder="0" applyAlignment="0" applyProtection="0"/>
    <xf numFmtId="0" fontId="22" fillId="0" borderId="0" applyNumberFormat="0" applyFill="0" applyBorder="0" applyAlignment="0" applyProtection="0"/>
    <xf numFmtId="0" fontId="23" fillId="0" borderId="0" applyProtection="0"/>
    <xf numFmtId="0" fontId="12" fillId="0" borderId="0" applyProtection="0"/>
    <xf numFmtId="0" fontId="24" fillId="0" borderId="0" applyProtection="0"/>
    <xf numFmtId="0" fontId="25" fillId="0" borderId="0" applyProtection="0"/>
    <xf numFmtId="0" fontId="6" fillId="0" borderId="0" applyProtection="0"/>
    <xf numFmtId="0" fontId="23" fillId="0" borderId="0" applyProtection="0"/>
    <xf numFmtId="0" fontId="26" fillId="0" borderId="0" applyProtection="0"/>
    <xf numFmtId="2" fontId="6"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18" fillId="18" borderId="0">
      <alignment horizontal="left"/>
    </xf>
    <xf numFmtId="0" fontId="32" fillId="16" borderId="0">
      <alignment horizontal="left"/>
    </xf>
    <xf numFmtId="0" fontId="33" fillId="0" borderId="4" applyNumberFormat="0" applyFill="0" applyAlignment="0" applyProtection="0"/>
    <xf numFmtId="0" fontId="34" fillId="7" borderId="0" applyNumberFormat="0" applyBorder="0" applyAlignment="0" applyProtection="0"/>
    <xf numFmtId="0" fontId="48" fillId="0" borderId="0"/>
    <xf numFmtId="0" fontId="35" fillId="4" borderId="5" applyNumberFormat="0" applyFont="0" applyAlignment="0" applyProtection="0"/>
    <xf numFmtId="0" fontId="36" fillId="16" borderId="6" applyNumberFormat="0" applyAlignment="0" applyProtection="0"/>
    <xf numFmtId="4" fontId="37" fillId="19" borderId="0">
      <alignment horizontal="right"/>
    </xf>
    <xf numFmtId="0" fontId="38" fillId="19" borderId="0">
      <alignment horizontal="center" vertical="center"/>
    </xf>
    <xf numFmtId="0" fontId="32" fillId="19" borderId="7"/>
    <xf numFmtId="0" fontId="38" fillId="19" borderId="0" applyBorder="0">
      <alignment horizontal="centerContinuous"/>
    </xf>
    <xf numFmtId="0" fontId="39" fillId="19" borderId="0" applyBorder="0">
      <alignment horizontal="centerContinuous"/>
    </xf>
    <xf numFmtId="9" fontId="2" fillId="0" borderId="0" applyFont="0" applyFill="0" applyBorder="0" applyAlignment="0" applyProtection="0"/>
    <xf numFmtId="0" fontId="32" fillId="7" borderId="0">
      <alignment horizontal="center"/>
    </xf>
    <xf numFmtId="49" fontId="40" fillId="16" borderId="0">
      <alignment horizontal="center"/>
    </xf>
    <xf numFmtId="0" fontId="19" fillId="18" borderId="0">
      <alignment horizontal="center"/>
    </xf>
    <xf numFmtId="0" fontId="19" fillId="18" borderId="0">
      <alignment horizontal="centerContinuous"/>
    </xf>
    <xf numFmtId="0" fontId="41" fillId="16" borderId="0">
      <alignment horizontal="left"/>
    </xf>
    <xf numFmtId="49" fontId="41" fillId="16" borderId="0">
      <alignment horizontal="center"/>
    </xf>
    <xf numFmtId="0" fontId="18" fillId="18" borderId="0">
      <alignment horizontal="left"/>
    </xf>
    <xf numFmtId="49" fontId="41" fillId="16" borderId="0">
      <alignment horizontal="left"/>
    </xf>
    <xf numFmtId="0" fontId="18" fillId="18" borderId="0">
      <alignment horizontal="centerContinuous"/>
    </xf>
    <xf numFmtId="0" fontId="18" fillId="18" borderId="0">
      <alignment horizontal="right"/>
    </xf>
    <xf numFmtId="49" fontId="32" fillId="16" borderId="0">
      <alignment horizontal="left"/>
    </xf>
    <xf numFmtId="0" fontId="19" fillId="18" borderId="0">
      <alignment horizontal="right"/>
    </xf>
    <xf numFmtId="0" fontId="41" fillId="5" borderId="0">
      <alignment horizontal="center"/>
    </xf>
    <xf numFmtId="0" fontId="42" fillId="5"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xf numFmtId="0" fontId="6" fillId="0" borderId="8" applyNumberFormat="0" applyFont="0" applyFill="0" applyAlignment="0" applyProtection="0"/>
    <xf numFmtId="0" fontId="44" fillId="16" borderId="0">
      <alignment horizontal="center"/>
    </xf>
    <xf numFmtId="0" fontId="33" fillId="0" borderId="0" applyNumberFormat="0" applyFill="0" applyBorder="0" applyAlignment="0" applyProtection="0"/>
    <xf numFmtId="9" fontId="6" fillId="0" borderId="0" applyFont="0" applyFill="0" applyBorder="0" applyAlignment="0" applyProtection="0"/>
  </cellStyleXfs>
  <cellXfs count="243">
    <xf numFmtId="0" fontId="0" fillId="0" borderId="0" xfId="0"/>
    <xf numFmtId="0" fontId="4" fillId="0" borderId="0" xfId="0" applyFont="1" applyFill="1" applyAlignment="1">
      <alignment horizontal="left"/>
    </xf>
    <xf numFmtId="0" fontId="4" fillId="0" borderId="9" xfId="0" applyFont="1" applyFill="1" applyBorder="1" applyAlignment="1">
      <alignment horizontal="right"/>
    </xf>
    <xf numFmtId="0" fontId="5" fillId="0" borderId="0" xfId="0" applyFont="1" applyFill="1"/>
    <xf numFmtId="0" fontId="4" fillId="0" borderId="0" xfId="0" applyFont="1" applyFill="1"/>
    <xf numFmtId="0" fontId="4" fillId="0" borderId="0" xfId="0" applyFont="1" applyFill="1" applyBorder="1" applyAlignment="1">
      <alignment horizontal="right" wrapText="1"/>
    </xf>
    <xf numFmtId="0" fontId="4" fillId="0" borderId="9" xfId="0" applyFont="1" applyFill="1" applyBorder="1"/>
    <xf numFmtId="0" fontId="4" fillId="0" borderId="9" xfId="0" applyFont="1" applyFill="1" applyBorder="1" applyAlignment="1">
      <alignment horizontal="center"/>
    </xf>
    <xf numFmtId="0" fontId="4" fillId="0" borderId="9" xfId="0" applyFont="1" applyFill="1" applyBorder="1" applyAlignment="1">
      <alignment horizontal="left"/>
    </xf>
    <xf numFmtId="0" fontId="9" fillId="0" borderId="0" xfId="0" applyFont="1" applyFill="1" applyAlignment="1" applyProtection="1">
      <alignment horizontal="left"/>
    </xf>
    <xf numFmtId="0" fontId="9" fillId="0" borderId="0" xfId="0" applyFont="1" applyFill="1"/>
    <xf numFmtId="0" fontId="4" fillId="0" borderId="0" xfId="0" applyFont="1" applyFill="1" applyAlignment="1">
      <alignment horizontal="right"/>
    </xf>
    <xf numFmtId="0" fontId="3" fillId="0" borderId="0" xfId="0" applyFont="1" applyFill="1" applyAlignment="1">
      <alignment horizontal="right"/>
    </xf>
    <xf numFmtId="0" fontId="7" fillId="0" borderId="0" xfId="0" applyFont="1"/>
    <xf numFmtId="166" fontId="7" fillId="0" borderId="0" xfId="33" applyNumberFormat="1" applyFont="1"/>
    <xf numFmtId="0" fontId="7" fillId="0" borderId="0" xfId="0" applyFont="1" applyFill="1"/>
    <xf numFmtId="0" fontId="7" fillId="0" borderId="0" xfId="0" applyFont="1" applyFill="1" applyAlignment="1">
      <alignment horizontal="center"/>
    </xf>
    <xf numFmtId="166" fontId="7" fillId="0" borderId="0" xfId="33" applyNumberFormat="1" applyFont="1" applyFill="1"/>
    <xf numFmtId="0" fontId="4" fillId="0" borderId="0" xfId="0" applyFont="1" applyFill="1" applyBorder="1" applyAlignment="1">
      <alignment horizontal="centerContinuous"/>
    </xf>
    <xf numFmtId="0" fontId="4" fillId="0" borderId="0" xfId="0" applyFont="1" applyFill="1" applyBorder="1" applyAlignment="1"/>
    <xf numFmtId="0" fontId="4" fillId="0" borderId="11" xfId="0" applyFont="1" applyFill="1" applyBorder="1" applyAlignment="1">
      <alignment horizontal="right" wrapText="1"/>
    </xf>
    <xf numFmtId="0" fontId="4" fillId="0" borderId="0" xfId="0" applyFont="1" applyFill="1" applyBorder="1" applyAlignment="1">
      <alignment horizontal="right"/>
    </xf>
    <xf numFmtId="0" fontId="5" fillId="0" borderId="9" xfId="0" applyFont="1" applyFill="1" applyBorder="1" applyAlignment="1">
      <alignment horizontal="right"/>
    </xf>
    <xf numFmtId="0" fontId="3" fillId="0" borderId="0" xfId="0" applyFont="1" applyFill="1" applyAlignment="1">
      <alignment horizontal="centerContinuous"/>
    </xf>
    <xf numFmtId="0" fontId="5" fillId="0" borderId="0" xfId="0" applyFont="1" applyFill="1" applyBorder="1"/>
    <xf numFmtId="0" fontId="4" fillId="0" borderId="0" xfId="0" quotePrefix="1" applyFont="1" applyFill="1"/>
    <xf numFmtId="0" fontId="11" fillId="0" borderId="0" xfId="0" applyFont="1" applyFill="1" applyAlignment="1" applyProtection="1">
      <alignment horizontal="left"/>
    </xf>
    <xf numFmtId="0" fontId="2" fillId="0" borderId="0" xfId="0" applyFont="1" applyFill="1" applyAlignment="1">
      <alignment horizontal="centerContinuous"/>
    </xf>
    <xf numFmtId="0" fontId="2" fillId="0" borderId="0" xfId="0" applyFont="1" applyFill="1" applyAlignment="1"/>
    <xf numFmtId="0" fontId="2" fillId="0" borderId="0" xfId="0" applyFont="1" applyFill="1"/>
    <xf numFmtId="0" fontId="2" fillId="0" borderId="0" xfId="0" applyFont="1" applyFill="1" applyAlignment="1">
      <alignment horizontal="center"/>
    </xf>
    <xf numFmtId="2" fontId="2" fillId="0" borderId="0" xfId="0" applyNumberFormat="1" applyFont="1" applyFill="1"/>
    <xf numFmtId="164" fontId="2" fillId="0" borderId="0" xfId="36" applyNumberFormat="1" applyFont="1" applyFill="1"/>
    <xf numFmtId="166" fontId="2" fillId="0" borderId="0" xfId="33" applyNumberFormat="1" applyFont="1" applyFill="1"/>
    <xf numFmtId="164" fontId="2" fillId="0" borderId="0" xfId="0" applyNumberFormat="1" applyFont="1" applyFill="1"/>
    <xf numFmtId="2" fontId="2" fillId="0" borderId="0" xfId="0" applyNumberFormat="1" applyFont="1" applyFill="1" applyAlignment="1">
      <alignment horizontal="center"/>
    </xf>
    <xf numFmtId="0" fontId="2" fillId="0" borderId="0" xfId="0" applyFont="1" applyFill="1" applyAlignment="1" applyProtection="1">
      <alignment horizontal="left"/>
    </xf>
    <xf numFmtId="166" fontId="2" fillId="0" borderId="0" xfId="0" applyNumberFormat="1" applyFont="1" applyFill="1"/>
    <xf numFmtId="43" fontId="2" fillId="0" borderId="0" xfId="33" applyFont="1" applyFill="1"/>
    <xf numFmtId="0" fontId="2" fillId="0" borderId="0" xfId="0" quotePrefix="1" applyFont="1" applyFill="1"/>
    <xf numFmtId="0" fontId="2" fillId="0" borderId="0" xfId="0" quotePrefix="1" applyFont="1" applyFill="1" applyBorder="1"/>
    <xf numFmtId="43" fontId="2" fillId="0" borderId="0" xfId="0" applyNumberFormat="1" applyFont="1" applyFill="1"/>
    <xf numFmtId="0" fontId="9" fillId="0" borderId="0" xfId="0" applyFont="1" applyFill="1" applyProtection="1">
      <protection locked="0"/>
    </xf>
    <xf numFmtId="0" fontId="2" fillId="0" borderId="0" xfId="33" applyNumberFormat="1" applyFont="1" applyFill="1"/>
    <xf numFmtId="0" fontId="2" fillId="0" borderId="0" xfId="0" applyFont="1" applyFill="1" applyBorder="1"/>
    <xf numFmtId="0" fontId="2" fillId="0" borderId="0" xfId="33" applyNumberFormat="1" applyFont="1" applyFill="1" applyBorder="1"/>
    <xf numFmtId="168" fontId="2" fillId="0" borderId="0" xfId="0" applyNumberFormat="1" applyFont="1" applyFill="1"/>
    <xf numFmtId="168" fontId="2" fillId="0" borderId="0" xfId="33" applyNumberFormat="1" applyFont="1" applyFill="1"/>
    <xf numFmtId="166" fontId="2" fillId="0" borderId="0" xfId="33" applyNumberFormat="1" applyFont="1" applyFill="1" applyAlignment="1">
      <alignment horizontal="right"/>
    </xf>
    <xf numFmtId="170" fontId="2" fillId="0" borderId="0" xfId="33" applyNumberFormat="1" applyFont="1" applyFill="1"/>
    <xf numFmtId="171" fontId="2" fillId="0" borderId="0" xfId="33" applyNumberFormat="1" applyFont="1" applyFill="1"/>
    <xf numFmtId="172" fontId="2" fillId="0" borderId="0" xfId="33" applyNumberFormat="1" applyFont="1" applyFill="1"/>
    <xf numFmtId="0" fontId="2" fillId="0" borderId="0" xfId="0" applyFont="1"/>
    <xf numFmtId="164" fontId="2" fillId="0" borderId="0" xfId="0" applyNumberFormat="1" applyFont="1"/>
    <xf numFmtId="0" fontId="8" fillId="0" borderId="0" xfId="0" applyFont="1" applyFill="1"/>
    <xf numFmtId="0" fontId="7" fillId="0" borderId="0" xfId="0" applyFont="1" applyFill="1" applyBorder="1"/>
    <xf numFmtId="0" fontId="1" fillId="0" borderId="9" xfId="0" applyFont="1" applyFill="1" applyBorder="1" applyAlignment="1">
      <alignment horizontal="right"/>
    </xf>
    <xf numFmtId="164" fontId="2" fillId="0" borderId="0" xfId="0" applyNumberFormat="1" applyFont="1" applyFill="1" applyBorder="1"/>
    <xf numFmtId="166" fontId="2" fillId="0" borderId="0" xfId="0" applyNumberFormat="1" applyFont="1" applyFill="1" applyBorder="1"/>
    <xf numFmtId="10" fontId="2" fillId="0" borderId="0" xfId="67" applyNumberFormat="1" applyFont="1" applyFill="1"/>
    <xf numFmtId="0" fontId="46" fillId="0" borderId="0" xfId="0" applyFont="1" applyFill="1"/>
    <xf numFmtId="0" fontId="4" fillId="0" borderId="0" xfId="0" applyFont="1" applyFill="1" applyAlignment="1">
      <alignment wrapText="1"/>
    </xf>
    <xf numFmtId="0" fontId="4" fillId="0" borderId="0" xfId="0" applyFont="1" applyFill="1" applyAlignment="1">
      <alignment horizontal="right" wrapText="1"/>
    </xf>
    <xf numFmtId="0" fontId="4" fillId="0" borderId="0" xfId="0" applyFont="1" applyFill="1" applyAlignment="1">
      <alignment horizontal="left" wrapText="1"/>
    </xf>
    <xf numFmtId="0" fontId="4" fillId="0" borderId="0" xfId="0" applyFont="1" applyFill="1" applyAlignment="1">
      <alignment horizontal="center" wrapText="1"/>
    </xf>
    <xf numFmtId="0" fontId="2" fillId="0" borderId="0" xfId="0" applyFont="1" applyFill="1" applyAlignment="1">
      <alignment wrapText="1"/>
    </xf>
    <xf numFmtId="44" fontId="2" fillId="0" borderId="0" xfId="0" applyNumberFormat="1" applyFont="1" applyFill="1"/>
    <xf numFmtId="179" fontId="2" fillId="0" borderId="0" xfId="67" applyNumberFormat="1" applyFont="1" applyFill="1"/>
    <xf numFmtId="0" fontId="2" fillId="0" borderId="0" xfId="0" quotePrefix="1" applyFont="1" applyFill="1" applyAlignment="1">
      <alignment horizontal="left"/>
    </xf>
    <xf numFmtId="0" fontId="2" fillId="0" borderId="0" xfId="0" applyFont="1" applyFill="1" applyAlignment="1">
      <alignment horizontal="left"/>
    </xf>
    <xf numFmtId="0" fontId="2" fillId="0" borderId="0" xfId="0" applyFont="1" applyFill="1" applyBorder="1" applyAlignment="1">
      <alignment horizontal="center"/>
    </xf>
    <xf numFmtId="169" fontId="2" fillId="0" borderId="0" xfId="33" applyNumberFormat="1" applyFont="1" applyFill="1"/>
    <xf numFmtId="43" fontId="2" fillId="0" borderId="0" xfId="0" applyNumberFormat="1" applyFont="1" applyFill="1" applyAlignment="1">
      <alignment horizontal="right"/>
    </xf>
    <xf numFmtId="167" fontId="2" fillId="0" borderId="0" xfId="0" applyNumberFormat="1" applyFont="1" applyFill="1"/>
    <xf numFmtId="164" fontId="2" fillId="0" borderId="10" xfId="0" applyNumberFormat="1" applyFont="1" applyFill="1" applyBorder="1"/>
    <xf numFmtId="164" fontId="2" fillId="0" borderId="10" xfId="36" applyNumberFormat="1" applyFont="1" applyFill="1" applyBorder="1"/>
    <xf numFmtId="0" fontId="2" fillId="0" borderId="0" xfId="0" applyFont="1" applyFill="1" applyAlignment="1">
      <alignment horizontal="right"/>
    </xf>
    <xf numFmtId="164" fontId="2" fillId="0" borderId="0" xfId="0" applyNumberFormat="1" applyFont="1" applyFill="1" applyAlignment="1">
      <alignment horizontal="right"/>
    </xf>
    <xf numFmtId="173" fontId="2" fillId="0" borderId="0" xfId="0" applyNumberFormat="1" applyFont="1" applyFill="1"/>
    <xf numFmtId="44" fontId="2" fillId="0" borderId="0" xfId="36" applyFont="1" applyFill="1"/>
    <xf numFmtId="164" fontId="2" fillId="0" borderId="0" xfId="0" applyNumberFormat="1" applyFont="1" applyFill="1" applyAlignment="1">
      <alignment horizontal="center"/>
    </xf>
    <xf numFmtId="175" fontId="2" fillId="0" borderId="0" xfId="67" applyNumberFormat="1" applyFont="1" applyFill="1"/>
    <xf numFmtId="175" fontId="2" fillId="0" borderId="0" xfId="0" applyNumberFormat="1" applyFont="1" applyFill="1"/>
    <xf numFmtId="166" fontId="2" fillId="0" borderId="0" xfId="33" quotePrefix="1" applyNumberFormat="1" applyFont="1" applyFill="1"/>
    <xf numFmtId="43" fontId="2" fillId="0" borderId="0" xfId="33" applyNumberFormat="1" applyFont="1" applyFill="1"/>
    <xf numFmtId="43" fontId="2" fillId="0" borderId="0" xfId="0" applyNumberFormat="1" applyFont="1" applyFill="1" applyAlignment="1">
      <alignment horizontal="center"/>
    </xf>
    <xf numFmtId="166" fontId="2" fillId="0" borderId="0" xfId="0" applyNumberFormat="1" applyFont="1" applyFill="1" applyAlignment="1">
      <alignment horizontal="center"/>
    </xf>
    <xf numFmtId="174" fontId="2" fillId="0" borderId="0" xfId="0" applyNumberFormat="1" applyFont="1" applyFill="1"/>
    <xf numFmtId="0" fontId="4" fillId="0" borderId="9" xfId="0" quotePrefix="1" applyFont="1" applyFill="1" applyBorder="1" applyAlignment="1">
      <alignment horizontal="center"/>
    </xf>
    <xf numFmtId="0" fontId="4" fillId="0" borderId="0" xfId="0" quotePrefix="1" applyFont="1" applyFill="1" applyAlignment="1">
      <alignment horizontal="center" wrapText="1"/>
    </xf>
    <xf numFmtId="37" fontId="7" fillId="0" borderId="0" xfId="0" applyNumberFormat="1" applyFont="1" applyFill="1"/>
    <xf numFmtId="168" fontId="2" fillId="20" borderId="0" xfId="33" applyNumberFormat="1" applyFont="1" applyFill="1"/>
    <xf numFmtId="0" fontId="2" fillId="0" borderId="0" xfId="0" applyFont="1" applyFill="1" applyBorder="1" applyAlignment="1"/>
    <xf numFmtId="0" fontId="1" fillId="0" borderId="0" xfId="0" applyFont="1" applyFill="1"/>
    <xf numFmtId="164" fontId="2" fillId="0" borderId="0" xfId="67" applyNumberFormat="1" applyFont="1" applyFill="1" applyBorder="1"/>
    <xf numFmtId="0" fontId="7" fillId="0" borderId="0" xfId="0" applyFont="1" applyFill="1" applyBorder="1" applyAlignment="1">
      <alignment horizontal="center"/>
    </xf>
    <xf numFmtId="0" fontId="4" fillId="0" borderId="13" xfId="0" applyFont="1" applyFill="1" applyBorder="1" applyAlignment="1"/>
    <xf numFmtId="0" fontId="4" fillId="0" borderId="14" xfId="0" applyFont="1" applyFill="1" applyBorder="1" applyAlignment="1"/>
    <xf numFmtId="0" fontId="4" fillId="0" borderId="11" xfId="0" applyFont="1" applyFill="1" applyBorder="1" applyAlignment="1">
      <alignment horizontal="right"/>
    </xf>
    <xf numFmtId="0" fontId="7" fillId="0" borderId="0" xfId="0" applyFont="1" applyFill="1" applyAlignment="1" applyProtection="1">
      <alignment horizontal="left"/>
    </xf>
    <xf numFmtId="0" fontId="49" fillId="0" borderId="0" xfId="0" applyFont="1" applyFill="1" applyProtection="1">
      <protection locked="0"/>
    </xf>
    <xf numFmtId="0" fontId="7" fillId="0" borderId="0" xfId="0" applyNumberFormat="1" applyFont="1" applyFill="1"/>
    <xf numFmtId="0" fontId="7" fillId="0" borderId="0" xfId="0" applyFont="1" applyFill="1" applyProtection="1"/>
    <xf numFmtId="0" fontId="49" fillId="0" borderId="0" xfId="0" applyFont="1" applyProtection="1">
      <protection locked="0"/>
    </xf>
    <xf numFmtId="0" fontId="7" fillId="0" borderId="0" xfId="0" applyFont="1" applyProtection="1"/>
    <xf numFmtId="37" fontId="7" fillId="0" borderId="0" xfId="0" applyNumberFormat="1" applyFont="1" applyProtection="1"/>
    <xf numFmtId="0" fontId="7" fillId="0" borderId="0" xfId="0" applyFont="1" applyProtection="1">
      <protection locked="0"/>
    </xf>
    <xf numFmtId="0" fontId="7" fillId="0" borderId="0" xfId="0" quotePrefix="1" applyFont="1" applyFill="1" applyAlignment="1" applyProtection="1">
      <alignment horizontal="left"/>
    </xf>
    <xf numFmtId="0" fontId="7" fillId="0" borderId="0" xfId="0" quotePrefix="1" applyFont="1" applyFill="1" applyAlignment="1">
      <alignment horizontal="left"/>
    </xf>
    <xf numFmtId="0" fontId="7" fillId="0" borderId="0" xfId="0" quotePrefix="1" applyFont="1" applyFill="1"/>
    <xf numFmtId="0" fontId="7" fillId="0" borderId="0" xfId="0" applyFont="1" applyFill="1" applyAlignment="1" applyProtection="1">
      <alignment horizontal="fill"/>
    </xf>
    <xf numFmtId="0" fontId="7" fillId="0" borderId="0" xfId="0" applyFont="1" applyFill="1" applyProtection="1">
      <protection locked="0"/>
    </xf>
    <xf numFmtId="37" fontId="7" fillId="0" borderId="0" xfId="0" applyNumberFormat="1" applyFont="1" applyFill="1" applyProtection="1"/>
    <xf numFmtId="178" fontId="7" fillId="0" borderId="0" xfId="0" applyNumberFormat="1" applyFont="1" applyProtection="1"/>
    <xf numFmtId="10" fontId="7" fillId="0" borderId="0" xfId="0" applyNumberFormat="1" applyFont="1" applyProtection="1"/>
    <xf numFmtId="187" fontId="7" fillId="0" borderId="0" xfId="0" applyNumberFormat="1" applyFont="1" applyProtection="1"/>
    <xf numFmtId="0" fontId="7" fillId="0" borderId="0" xfId="0" applyFont="1" applyFill="1" applyAlignment="1" applyProtection="1">
      <alignment horizontal="left"/>
      <protection locked="0"/>
    </xf>
    <xf numFmtId="0" fontId="51" fillId="0" borderId="0" xfId="0" applyFont="1"/>
    <xf numFmtId="0" fontId="7" fillId="0" borderId="0" xfId="0" applyFont="1" applyFill="1" applyAlignment="1" applyProtection="1">
      <alignment horizontal="center"/>
      <protection locked="0"/>
    </xf>
    <xf numFmtId="0" fontId="7" fillId="0" borderId="15" xfId="0" applyFont="1" applyFill="1" applyBorder="1" applyAlignment="1" applyProtection="1">
      <alignment horizontal="center"/>
      <protection locked="0"/>
    </xf>
    <xf numFmtId="0" fontId="7" fillId="0" borderId="0" xfId="0" applyFont="1" applyFill="1" applyAlignment="1">
      <alignment horizontal="right"/>
    </xf>
    <xf numFmtId="0" fontId="7" fillId="0" borderId="15" xfId="0" applyFont="1" applyFill="1" applyBorder="1" applyAlignment="1">
      <alignment horizontal="center"/>
    </xf>
    <xf numFmtId="43" fontId="7" fillId="0" borderId="0" xfId="33" applyFont="1" applyFill="1" applyProtection="1">
      <protection locked="0"/>
    </xf>
    <xf numFmtId="39" fontId="7" fillId="0" borderId="0" xfId="0" applyNumberFormat="1" applyFont="1" applyFill="1" applyProtection="1">
      <protection locked="0"/>
    </xf>
    <xf numFmtId="186" fontId="7" fillId="0" borderId="0" xfId="0" applyNumberFormat="1" applyFont="1" applyFill="1"/>
    <xf numFmtId="39" fontId="7" fillId="0" borderId="0" xfId="0" applyNumberFormat="1" applyFont="1" applyFill="1"/>
    <xf numFmtId="175" fontId="7" fillId="0" borderId="0" xfId="67" applyNumberFormat="1" applyFont="1" applyFill="1" applyAlignment="1">
      <alignment horizontal="center"/>
    </xf>
    <xf numFmtId="0" fontId="7" fillId="0" borderId="0" xfId="0" applyNumberFormat="1" applyFont="1" applyFill="1" applyAlignment="1">
      <alignment horizontal="left"/>
    </xf>
    <xf numFmtId="37" fontId="7" fillId="0" borderId="0" xfId="0" applyNumberFormat="1" applyFont="1" applyFill="1" applyAlignment="1">
      <alignment horizontal="center"/>
    </xf>
    <xf numFmtId="181" fontId="7" fillId="0" borderId="0" xfId="0" quotePrefix="1" applyNumberFormat="1" applyFont="1" applyFill="1" applyAlignment="1" applyProtection="1">
      <alignment horizontal="left"/>
      <protection locked="0"/>
    </xf>
    <xf numFmtId="0" fontId="52" fillId="0" borderId="0" xfId="0" quotePrefix="1" applyFont="1" applyFill="1" applyAlignment="1">
      <alignment horizontal="left"/>
    </xf>
    <xf numFmtId="189" fontId="7" fillId="0" borderId="0" xfId="0" applyNumberFormat="1" applyFont="1" applyFill="1"/>
    <xf numFmtId="2" fontId="7" fillId="0" borderId="0" xfId="33" applyNumberFormat="1" applyFont="1" applyFill="1"/>
    <xf numFmtId="0" fontId="7" fillId="0" borderId="0" xfId="0" applyFont="1" applyFill="1" applyBorder="1" applyAlignment="1" applyProtection="1">
      <alignment horizontal="center"/>
      <protection locked="0"/>
    </xf>
    <xf numFmtId="9" fontId="7" fillId="0" borderId="0" xfId="92" applyFont="1" applyFill="1"/>
    <xf numFmtId="0" fontId="7" fillId="0" borderId="0" xfId="0" applyFont="1" applyFill="1" applyAlignment="1" applyProtection="1">
      <alignment horizontal="right"/>
    </xf>
    <xf numFmtId="0" fontId="7" fillId="0" borderId="0" xfId="0" applyFont="1" applyFill="1" applyAlignment="1" applyProtection="1">
      <alignment horizontal="right"/>
      <protection locked="0"/>
    </xf>
    <xf numFmtId="180" fontId="7" fillId="0" borderId="0" xfId="67" applyNumberFormat="1" applyFont="1" applyFill="1"/>
    <xf numFmtId="10" fontId="7" fillId="0" borderId="0" xfId="67" applyNumberFormat="1" applyFont="1" applyFill="1"/>
    <xf numFmtId="166" fontId="7" fillId="0" borderId="0" xfId="33" applyNumberFormat="1" applyFont="1" applyProtection="1"/>
    <xf numFmtId="39" fontId="7" fillId="0" borderId="0" xfId="0" applyNumberFormat="1" applyFont="1" applyFill="1" applyAlignment="1">
      <alignment horizontal="center"/>
    </xf>
    <xf numFmtId="0" fontId="7" fillId="0" borderId="0" xfId="0" quotePrefix="1" applyFont="1" applyFill="1" applyAlignment="1">
      <alignment horizontal="right"/>
    </xf>
    <xf numFmtId="0" fontId="8" fillId="0" borderId="0" xfId="0" applyFont="1" applyFill="1" applyAlignment="1" applyProtection="1">
      <alignment horizontal="center"/>
      <protection locked="0"/>
    </xf>
    <xf numFmtId="39" fontId="8" fillId="0" borderId="15" xfId="0" applyNumberFormat="1" applyFont="1" applyFill="1" applyBorder="1" applyAlignment="1">
      <alignment horizontal="center"/>
    </xf>
    <xf numFmtId="10" fontId="7" fillId="0" borderId="0" xfId="0" applyNumberFormat="1" applyFont="1" applyProtection="1">
      <protection locked="0"/>
    </xf>
    <xf numFmtId="188" fontId="7" fillId="0" borderId="0" xfId="0" applyNumberFormat="1" applyFont="1" applyFill="1"/>
    <xf numFmtId="0" fontId="7" fillId="0" borderId="0" xfId="0" quotePrefix="1" applyFont="1" applyFill="1" applyAlignment="1" applyProtection="1">
      <alignment horizontal="left"/>
      <protection locked="0"/>
    </xf>
    <xf numFmtId="39" fontId="7" fillId="0" borderId="11" xfId="0" applyNumberFormat="1" applyFont="1" applyFill="1" applyBorder="1" applyAlignment="1">
      <alignment horizontal="center"/>
    </xf>
    <xf numFmtId="175" fontId="7" fillId="0" borderId="0" xfId="67" applyNumberFormat="1" applyFont="1" applyFill="1"/>
    <xf numFmtId="0" fontId="7" fillId="0" borderId="0" xfId="0" applyFont="1" applyFill="1" applyAlignment="1">
      <alignment horizontal="left"/>
    </xf>
    <xf numFmtId="165" fontId="7" fillId="0" borderId="0" xfId="33" applyNumberFormat="1" applyFont="1" applyFill="1" applyProtection="1">
      <protection locked="0"/>
    </xf>
    <xf numFmtId="37" fontId="7" fillId="0" borderId="0" xfId="0" applyNumberFormat="1" applyFont="1" applyFill="1" applyAlignment="1" applyProtection="1">
      <alignment horizontal="center"/>
      <protection locked="0"/>
    </xf>
    <xf numFmtId="0" fontId="7" fillId="0" borderId="0" xfId="0" quotePrefix="1" applyFont="1" applyFill="1" applyAlignment="1" applyProtection="1">
      <alignment horizontal="center"/>
      <protection locked="0"/>
    </xf>
    <xf numFmtId="188" fontId="7" fillId="0" borderId="0" xfId="0" applyNumberFormat="1" applyFont="1" applyFill="1" applyProtection="1">
      <protection locked="0"/>
    </xf>
    <xf numFmtId="0" fontId="7" fillId="0" borderId="0" xfId="0" quotePrefix="1" applyFont="1" applyFill="1" applyBorder="1" applyAlignment="1">
      <alignment horizontal="left"/>
    </xf>
    <xf numFmtId="0" fontId="7" fillId="0" borderId="0" xfId="0" applyFont="1" applyFill="1" applyBorder="1" applyProtection="1">
      <protection locked="0"/>
    </xf>
    <xf numFmtId="185" fontId="7" fillId="0" borderId="0" xfId="67" applyNumberFormat="1" applyFont="1" applyFill="1"/>
    <xf numFmtId="182" fontId="7" fillId="0" borderId="0" xfId="0" applyNumberFormat="1" applyFont="1" applyFill="1" applyProtection="1">
      <protection locked="0"/>
    </xf>
    <xf numFmtId="182" fontId="7" fillId="0" borderId="0" xfId="0" applyNumberFormat="1" applyFont="1" applyFill="1" applyAlignment="1" applyProtection="1">
      <alignment horizontal="left"/>
    </xf>
    <xf numFmtId="182" fontId="7" fillId="0" borderId="0" xfId="0" applyNumberFormat="1" applyFont="1" applyFill="1" applyProtection="1"/>
    <xf numFmtId="182" fontId="7" fillId="0" borderId="0" xfId="0" applyNumberFormat="1" applyFont="1" applyFill="1" applyAlignment="1" applyProtection="1">
      <alignment horizontal="left"/>
      <protection locked="0"/>
    </xf>
    <xf numFmtId="0" fontId="7" fillId="0" borderId="0" xfId="0" applyFont="1" applyFill="1" applyAlignment="1" applyProtection="1">
      <alignment horizontal="center"/>
    </xf>
    <xf numFmtId="183" fontId="7" fillId="0" borderId="0" xfId="0" applyNumberFormat="1" applyFont="1" applyFill="1" applyAlignment="1" applyProtection="1">
      <alignment horizontal="left"/>
    </xf>
    <xf numFmtId="184" fontId="7" fillId="0" borderId="0" xfId="0" applyNumberFormat="1" applyFont="1" applyFill="1" applyAlignment="1" applyProtection="1">
      <alignment horizontal="left"/>
    </xf>
    <xf numFmtId="166" fontId="7" fillId="0" borderId="0" xfId="33" applyNumberFormat="1" applyFont="1" applyFill="1" applyProtection="1"/>
    <xf numFmtId="0" fontId="8" fillId="0" borderId="10" xfId="0" applyFont="1" applyFill="1" applyBorder="1"/>
    <xf numFmtId="0" fontId="8" fillId="0" borderId="16" xfId="0" applyFont="1" applyFill="1" applyBorder="1"/>
    <xf numFmtId="0" fontId="7" fillId="0" borderId="0" xfId="0" quotePrefix="1" applyFont="1" applyFill="1" applyAlignment="1" applyProtection="1">
      <alignment horizontal="center"/>
    </xf>
    <xf numFmtId="166" fontId="49" fillId="21" borderId="0" xfId="33" applyNumberFormat="1" applyFont="1" applyFill="1" applyProtection="1">
      <protection locked="0"/>
    </xf>
    <xf numFmtId="166" fontId="49" fillId="0" borderId="0" xfId="33" applyNumberFormat="1" applyFont="1" applyFill="1" applyProtection="1">
      <protection locked="0"/>
    </xf>
    <xf numFmtId="166" fontId="7" fillId="0" borderId="0" xfId="33" applyNumberFormat="1" applyFont="1" applyProtection="1">
      <protection locked="0"/>
    </xf>
    <xf numFmtId="166" fontId="50" fillId="0" borderId="0" xfId="33" applyNumberFormat="1" applyFont="1" applyFill="1" applyProtection="1">
      <protection locked="0"/>
    </xf>
    <xf numFmtId="166" fontId="50" fillId="21" borderId="0" xfId="33" applyNumberFormat="1" applyFont="1" applyFill="1" applyProtection="1">
      <protection locked="0"/>
    </xf>
    <xf numFmtId="166" fontId="7" fillId="0" borderId="0" xfId="33" applyNumberFormat="1" applyFont="1" applyFill="1" applyProtection="1">
      <protection locked="0"/>
    </xf>
    <xf numFmtId="166" fontId="49" fillId="0" borderId="0" xfId="33" applyNumberFormat="1" applyFont="1" applyProtection="1">
      <protection locked="0"/>
    </xf>
    <xf numFmtId="166" fontId="50" fillId="0" borderId="0" xfId="33" applyNumberFormat="1" applyFont="1" applyFill="1"/>
    <xf numFmtId="166" fontId="49" fillId="0" borderId="0" xfId="33" applyNumberFormat="1" applyFont="1" applyFill="1" applyProtection="1"/>
    <xf numFmtId="166" fontId="49" fillId="0" borderId="0" xfId="33" applyNumberFormat="1" applyFont="1" applyFill="1"/>
    <xf numFmtId="166" fontId="50" fillId="0" borderId="0" xfId="33" applyNumberFormat="1" applyFont="1" applyFill="1" applyProtection="1"/>
    <xf numFmtId="166" fontId="49" fillId="21" borderId="0" xfId="33" applyNumberFormat="1" applyFont="1" applyFill="1" applyProtection="1"/>
    <xf numFmtId="166" fontId="7" fillId="0" borderId="0" xfId="33" applyNumberFormat="1" applyFont="1" applyFill="1" applyAlignment="1">
      <alignment horizontal="center"/>
    </xf>
    <xf numFmtId="168" fontId="45" fillId="0" borderId="0" xfId="33" applyNumberFormat="1" applyFont="1" applyFill="1"/>
    <xf numFmtId="0" fontId="1" fillId="0" borderId="0" xfId="0" applyFont="1" applyFill="1" applyBorder="1"/>
    <xf numFmtId="10" fontId="1" fillId="0" borderId="0" xfId="67" applyNumberFormat="1" applyFont="1" applyFill="1" applyBorder="1"/>
    <xf numFmtId="0" fontId="1" fillId="0" borderId="0" xfId="0" applyFont="1"/>
    <xf numFmtId="0" fontId="1" fillId="0" borderId="12" xfId="0" applyFont="1" applyFill="1" applyBorder="1"/>
    <xf numFmtId="0" fontId="1" fillId="0" borderId="13" xfId="0" applyFont="1" applyFill="1" applyBorder="1"/>
    <xf numFmtId="10" fontId="1" fillId="0" borderId="11" xfId="67" applyNumberFormat="1" applyFont="1" applyFill="1" applyBorder="1"/>
    <xf numFmtId="0" fontId="1" fillId="0" borderId="0" xfId="0" applyFont="1" applyFill="1" applyAlignment="1">
      <alignment horizontal="left"/>
    </xf>
    <xf numFmtId="0" fontId="1" fillId="0" borderId="9" xfId="0" applyFont="1" applyFill="1" applyBorder="1" applyAlignment="1">
      <alignment horizontal="center"/>
    </xf>
    <xf numFmtId="44" fontId="2" fillId="0" borderId="0" xfId="36" applyNumberFormat="1" applyFont="1" applyFill="1"/>
    <xf numFmtId="10" fontId="7" fillId="0" borderId="0" xfId="67" applyNumberFormat="1" applyFont="1" applyProtection="1"/>
    <xf numFmtId="0" fontId="49" fillId="0" borderId="0" xfId="0" applyFont="1" applyFill="1" applyAlignment="1" applyProtection="1">
      <alignment horizontal="left"/>
      <protection locked="0"/>
    </xf>
    <xf numFmtId="0" fontId="7" fillId="0" borderId="0" xfId="0" applyFont="1" applyAlignment="1" applyProtection="1">
      <alignment horizontal="left"/>
    </xf>
    <xf numFmtId="0" fontId="49" fillId="0" borderId="0" xfId="0" applyFont="1" applyAlignment="1" applyProtection="1">
      <alignment horizontal="left"/>
      <protection locked="0"/>
    </xf>
    <xf numFmtId="0" fontId="49" fillId="0" borderId="0" xfId="0" applyFont="1" applyAlignment="1" applyProtection="1">
      <alignment horizontal="center"/>
      <protection locked="0"/>
    </xf>
    <xf numFmtId="0" fontId="7" fillId="0" borderId="0" xfId="0" quotePrefix="1" applyFont="1" applyAlignment="1" applyProtection="1">
      <alignment horizontal="left"/>
    </xf>
    <xf numFmtId="0" fontId="49" fillId="0" borderId="0" xfId="0" quotePrefix="1" applyFont="1" applyAlignment="1" applyProtection="1">
      <alignment horizontal="left"/>
      <protection locked="0"/>
    </xf>
    <xf numFmtId="0" fontId="49" fillId="0" borderId="0" xfId="0" quotePrefix="1" applyFont="1" applyFill="1" applyAlignment="1" applyProtection="1">
      <alignment horizontal="left"/>
      <protection locked="0"/>
    </xf>
    <xf numFmtId="0" fontId="49" fillId="0" borderId="0" xfId="0" applyFont="1" applyFill="1" applyAlignment="1" applyProtection="1">
      <alignment horizontal="center"/>
      <protection locked="0"/>
    </xf>
    <xf numFmtId="0" fontId="7" fillId="0" borderId="0" xfId="0" applyFont="1" applyAlignment="1" applyProtection="1">
      <alignment horizontal="fill"/>
    </xf>
    <xf numFmtId="37" fontId="49" fillId="0" borderId="0" xfId="0" applyNumberFormat="1" applyFont="1" applyAlignment="1" applyProtection="1">
      <alignment horizontal="center"/>
      <protection locked="0"/>
    </xf>
    <xf numFmtId="0" fontId="7" fillId="0" borderId="0" xfId="0" quotePrefix="1" applyFont="1" applyAlignment="1">
      <alignment horizontal="left"/>
    </xf>
    <xf numFmtId="183" fontId="7" fillId="0" borderId="0" xfId="0" applyNumberFormat="1" applyFont="1" applyProtection="1"/>
    <xf numFmtId="0" fontId="7" fillId="0" borderId="0" xfId="0" applyFont="1" applyAlignment="1" applyProtection="1">
      <alignment horizontal="center"/>
    </xf>
    <xf numFmtId="0" fontId="49" fillId="0" borderId="0" xfId="0" quotePrefix="1" applyFont="1" applyAlignment="1" applyProtection="1">
      <alignment horizontal="center"/>
      <protection locked="0"/>
    </xf>
    <xf numFmtId="0" fontId="7" fillId="0" borderId="0" xfId="0" applyFont="1" applyAlignment="1" applyProtection="1">
      <alignment horizontal="left"/>
      <protection locked="0"/>
    </xf>
    <xf numFmtId="0" fontId="49" fillId="0" borderId="0" xfId="0" applyFont="1"/>
    <xf numFmtId="0" fontId="7" fillId="0" borderId="0" xfId="0" applyFont="1" applyAlignment="1">
      <alignment horizontal="left"/>
    </xf>
    <xf numFmtId="10" fontId="7" fillId="0" borderId="0" xfId="67" applyNumberFormat="1" applyFont="1"/>
    <xf numFmtId="10" fontId="49" fillId="0" borderId="0" xfId="67" applyNumberFormat="1" applyFont="1" applyProtection="1">
      <protection locked="0"/>
    </xf>
    <xf numFmtId="0" fontId="4" fillId="0" borderId="0" xfId="0" applyFont="1" applyFill="1" applyBorder="1" applyAlignment="1">
      <alignment horizontal="center" wrapText="1"/>
    </xf>
    <xf numFmtId="164" fontId="0" fillId="0" borderId="0" xfId="36" applyNumberFormat="1" applyFont="1"/>
    <xf numFmtId="10" fontId="0" fillId="0" borderId="0" xfId="67" applyNumberFormat="1" applyFont="1"/>
    <xf numFmtId="164" fontId="0" fillId="0" borderId="0" xfId="0" applyNumberFormat="1"/>
    <xf numFmtId="190" fontId="0" fillId="0" borderId="0" xfId="0" applyNumberFormat="1"/>
    <xf numFmtId="0" fontId="5" fillId="0" borderId="0" xfId="0" applyFont="1"/>
    <xf numFmtId="0" fontId="1" fillId="0" borderId="9" xfId="0" applyFont="1" applyFill="1" applyBorder="1" applyAlignment="1">
      <alignment horizontal="center" wrapText="1"/>
    </xf>
    <xf numFmtId="0" fontId="4" fillId="0" borderId="9" xfId="0" applyFont="1" applyFill="1" applyBorder="1" applyAlignment="1">
      <alignment horizontal="center" wrapText="1"/>
    </xf>
    <xf numFmtId="164" fontId="0" fillId="0" borderId="0" xfId="36" quotePrefix="1" applyNumberFormat="1" applyFont="1"/>
    <xf numFmtId="0" fontId="53" fillId="0" borderId="0" xfId="0" applyFont="1" applyFill="1"/>
    <xf numFmtId="0" fontId="4" fillId="0" borderId="12" xfId="0" applyFont="1" applyFill="1" applyBorder="1" applyAlignment="1">
      <alignment horizontal="center" wrapText="1"/>
    </xf>
    <xf numFmtId="0" fontId="2" fillId="0" borderId="14" xfId="0" applyFont="1" applyFill="1" applyBorder="1" applyAlignment="1">
      <alignment horizontal="center" wrapText="1"/>
    </xf>
    <xf numFmtId="0" fontId="4" fillId="0" borderId="12"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lignment horizontal="right"/>
    </xf>
    <xf numFmtId="0" fontId="4" fillId="0" borderId="12" xfId="0" applyFont="1" applyFill="1" applyBorder="1" applyAlignment="1">
      <alignment horizontal="center"/>
    </xf>
    <xf numFmtId="0" fontId="4" fillId="0" borderId="13" xfId="0" applyFont="1" applyFill="1" applyBorder="1" applyAlignment="1">
      <alignment horizontal="center"/>
    </xf>
    <xf numFmtId="0" fontId="2" fillId="0" borderId="14" xfId="0" applyFont="1" applyFill="1" applyBorder="1" applyAlignment="1">
      <alignment horizontal="center"/>
    </xf>
    <xf numFmtId="0" fontId="54" fillId="0" borderId="0" xfId="0" applyFont="1" applyAlignment="1">
      <alignment horizontal="center"/>
    </xf>
    <xf numFmtId="0" fontId="11" fillId="0" borderId="0" xfId="0" applyFont="1" applyAlignment="1">
      <alignment horizontal="center"/>
    </xf>
    <xf numFmtId="0" fontId="5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quotePrefix="1" applyFont="1" applyAlignment="1">
      <alignment horizontal="center"/>
    </xf>
    <xf numFmtId="190" fontId="2" fillId="0" borderId="0" xfId="0" applyNumberFormat="1" applyFont="1" applyAlignment="1">
      <alignment horizontal="center"/>
    </xf>
    <xf numFmtId="10" fontId="2" fillId="0" borderId="0" xfId="67" applyNumberFormat="1" applyFont="1"/>
    <xf numFmtId="190" fontId="2" fillId="0" borderId="0" xfId="0" applyNumberFormat="1" applyFont="1" applyAlignment="1"/>
    <xf numFmtId="42" fontId="2" fillId="0" borderId="0" xfId="36" applyNumberFormat="1" applyFont="1" applyAlignment="1"/>
    <xf numFmtId="41" fontId="2" fillId="0" borderId="0" xfId="36" applyNumberFormat="1" applyFont="1" applyAlignment="1"/>
    <xf numFmtId="41" fontId="56" fillId="0" borderId="0" xfId="36" applyNumberFormat="1" applyFont="1" applyAlignment="1"/>
    <xf numFmtId="0" fontId="3" fillId="0" borderId="0" xfId="0" applyFont="1" applyAlignment="1">
      <alignment horizontal="left"/>
    </xf>
  </cellXfs>
  <cellStyles count="9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AttributeAbovePrompt" xfId="28"/>
    <cellStyle name="ColumnAttributePrompt" xfId="29"/>
    <cellStyle name="ColumnAttributeValue" xfId="30"/>
    <cellStyle name="ColumnHeadingPrompt" xfId="31"/>
    <cellStyle name="ColumnHeadingValue" xfId="32"/>
    <cellStyle name="Comma" xfId="33" builtinId="3"/>
    <cellStyle name="Comma 86" xfId="34"/>
    <cellStyle name="Comma0" xfId="35"/>
    <cellStyle name="Currency" xfId="36" builtinId="4"/>
    <cellStyle name="Currency0" xfId="37"/>
    <cellStyle name="Date" xfId="38"/>
    <cellStyle name="Euro" xfId="39"/>
    <cellStyle name="Explanatory Text" xfId="40" builtinId="53" customBuiltin="1"/>
    <cellStyle name="F2" xfId="41"/>
    <cellStyle name="F3" xfId="42"/>
    <cellStyle name="F4" xfId="43"/>
    <cellStyle name="F5" xfId="44"/>
    <cellStyle name="F6" xfId="45"/>
    <cellStyle name="F7" xfId="46"/>
    <cellStyle name="F8" xfId="47"/>
    <cellStyle name="Fixed" xfId="48"/>
    <cellStyle name="Good" xfId="49"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4" builtinId="20" customBuiltin="1"/>
    <cellStyle name="LineItemPrompt" xfId="55"/>
    <cellStyle name="LineItemValue" xfId="56"/>
    <cellStyle name="Linked Cell" xfId="57" builtinId="24" customBuiltin="1"/>
    <cellStyle name="Neutral" xfId="58" builtinId="28" customBuiltin="1"/>
    <cellStyle name="Normal" xfId="0" builtinId="0"/>
    <cellStyle name="Normal 39" xfId="59"/>
    <cellStyle name="Note" xfId="60" builtinId="10" customBuiltin="1"/>
    <cellStyle name="Output" xfId="61" builtinId="21" customBuiltin="1"/>
    <cellStyle name="Output Amounts" xfId="62"/>
    <cellStyle name="Output Column Headings" xfId="63"/>
    <cellStyle name="Output Line Items" xfId="64"/>
    <cellStyle name="Output Report Heading" xfId="65"/>
    <cellStyle name="Output Report Title" xfId="66"/>
    <cellStyle name="Percent" xfId="67" builtinId="5"/>
    <cellStyle name="Percent 2" xfId="92"/>
    <cellStyle name="ReportTitlePrompt" xfId="68"/>
    <cellStyle name="ReportTitleValue" xfId="69"/>
    <cellStyle name="RowAcctAbovePrompt" xfId="70"/>
    <cellStyle name="RowAcctSOBAbovePrompt" xfId="71"/>
    <cellStyle name="RowAcctSOBValue" xfId="72"/>
    <cellStyle name="RowAcctValue" xfId="73"/>
    <cellStyle name="RowAttrAbovePrompt" xfId="74"/>
    <cellStyle name="RowAttrValue" xfId="75"/>
    <cellStyle name="RowColSetAbovePrompt" xfId="76"/>
    <cellStyle name="RowColSetLeftPrompt" xfId="77"/>
    <cellStyle name="RowColSetValue" xfId="78"/>
    <cellStyle name="RowLeftPrompt" xfId="79"/>
    <cellStyle name="SampleUsingFormatMask" xfId="80"/>
    <cellStyle name="SampleWithNoFormatMask" xfId="81"/>
    <cellStyle name="STYL5 - Style5" xfId="82"/>
    <cellStyle name="STYL6 - Style6" xfId="83"/>
    <cellStyle name="STYLE1 - Style1" xfId="84"/>
    <cellStyle name="STYLE2 - Style2" xfId="85"/>
    <cellStyle name="STYLE3 - Style3" xfId="86"/>
    <cellStyle name="STYLE4 - Style4" xfId="87"/>
    <cellStyle name="Title" xfId="88" builtinId="15" customBuiltin="1"/>
    <cellStyle name="Total" xfId="89" builtinId="25" customBuiltin="1"/>
    <cellStyle name="UploadThisRowValue" xfId="90"/>
    <cellStyle name="Warning Text" xfId="91" builtinId="11" customBuiltin="1"/>
  </cellStyles>
  <dxfs count="260">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megroupllc.sharepoint.com/DAVID/PSC/MA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rimegroupllc.sharepoint.com/WINNT/Profiles/e004977/Temporary%20Internet%20Files/OLK2D/Rate%20Case%20LGE%20La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primegroupllc.sharepoint.com/05Plan/Utility%20Plan/Margin/100504%20Version%20of%20GM%202005%20Plan/KU-Whsle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rimegroupllc.sharepoint.com/05Plan/Utility%20Plan/Margin/100504%20Version%20of%20GM%202005%20Plan/KU-Whsle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imegroupllc.sharepoint.com/WINDOWS/TEMP/1999/FACJAN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imegroupllc.sharepoint.com/Financials/LG&amp;E/2008/lge0308re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rimegroupllc.sharepoint.com/Users/Jeff/AppData/Local/Temp/eM%20Client%20temporary%20files/xsfgun54.yeh/KU%20Forecast%20Period%20Jul17-Jun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rimegroupllc.sharepoint.com/06Plan/Utility%20Plan/Supporting%20Schedules/Gross%20Margin/Gross%20Margin%202006-2008%20Pl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RevRptg\Reports\Databas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rimegroupllc.sharepoint.com/Monthly%20Reporting/Tax%20Report/LGE/LGELedger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primegroupllc.sharepoint.com/My%20Documents/BellarExhib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 List"/>
      <sheetName val="Support"/>
      <sheetName val="Report"/>
      <sheetName val="Cover"/>
      <sheetName val="dbase"/>
      <sheetName val="Invavg"/>
      <sheetName val="EGSplit"/>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omes"/>
      <sheetName val="LGE Electric"/>
      <sheetName val="LGE Gas"/>
      <sheetName val="Cap"/>
      <sheetName val="Ex 1"/>
      <sheetName val="Ex 2"/>
      <sheetName val="Ex 3"/>
      <sheetName val="Ex 4"/>
      <sheetName val="A"/>
      <sheetName val="B"/>
      <sheetName val="C"/>
      <sheetName val="D"/>
      <sheetName val="E"/>
      <sheetName val="G"/>
      <sheetName val="F"/>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AB"/>
      <sheetName val="AC"/>
      <sheetName val="AD"/>
      <sheetName val="AE"/>
      <sheetName val="AF"/>
      <sheetName val="AG"/>
      <sheetName val="AH"/>
      <sheetName val="AI"/>
      <sheetName val="AW"/>
      <sheetName val="Gross up Factor"/>
      <sheetName val="not used Ex 4"/>
      <sheetName val="not used Ex 5"/>
    </sheetNames>
    <sheetDataSet>
      <sheetData sheetId="0" refreshError="1"/>
      <sheetData sheetId="1"/>
      <sheetData sheetId="2"/>
      <sheetData sheetId="3" refreshError="1"/>
      <sheetData sheetId="4"/>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11">
          <cell r="K11">
            <v>13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5">
          <cell r="G5">
            <v>2004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C Fuel Calc. Adj (Past)"/>
      <sheetName val="OVEC Fuel Calc. Adj (Current)"/>
      <sheetName val="dbase"/>
      <sheetName val="Sheet1"/>
      <sheetName val="Rate"/>
      <sheetName val="Cost"/>
      <sheetName val="kwh"/>
      <sheetName val="ov-un"/>
      <sheetName val="FAC Recon "/>
      <sheetName val="Forced Out"/>
      <sheetName val="focrmc"/>
      <sheetName val="fotc"/>
    </sheetNames>
    <sheetDataSet>
      <sheetData sheetId="0" refreshError="1"/>
      <sheetData sheetId="1" refreshError="1"/>
      <sheetData sheetId="2"/>
      <sheetData sheetId="3" refreshError="1"/>
      <sheetData sheetId="4"/>
      <sheetData sheetId="5"/>
      <sheetData sheetId="6"/>
      <sheetData sheetId="7"/>
      <sheetData sheetId="8" refreshError="1"/>
      <sheetData sheetId="9" refreshError="1"/>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Index"/>
      <sheetName val="1"/>
      <sheetName val="2"/>
      <sheetName val="3"/>
      <sheetName val="4"/>
      <sheetName val="5"/>
      <sheetName val="6"/>
      <sheetName val="7-8"/>
      <sheetName val="9-10"/>
      <sheetName val="11"/>
      <sheetName val="12"/>
      <sheetName val="13"/>
      <sheetName val="14"/>
      <sheetName val="15"/>
      <sheetName val="16"/>
      <sheetName val="17"/>
      <sheetName val="18"/>
      <sheetName val="19"/>
      <sheetName val="20"/>
      <sheetName val="21"/>
      <sheetName val="CODE"/>
      <sheetName val="22"/>
      <sheetName val="23"/>
      <sheetName val="24"/>
      <sheetName val="25"/>
      <sheetName val="26"/>
      <sheetName val="27"/>
      <sheetName val="28"/>
      <sheetName val="28.1"/>
      <sheetName val="28.2"/>
      <sheetName val="29"/>
      <sheetName val="29.1"/>
      <sheetName val="29.2"/>
      <sheetName val="30"/>
      <sheetName val="31"/>
      <sheetName val="32"/>
      <sheetName val="33"/>
      <sheetName val="33.1"/>
      <sheetName val="33.2"/>
      <sheetName val="34"/>
      <sheetName val="34.1"/>
      <sheetName val="34.2"/>
      <sheetName val="34.3"/>
      <sheetName val="34.4"/>
      <sheetName val="35"/>
      <sheetName val="36"/>
      <sheetName val="37"/>
      <sheetName val="38"/>
      <sheetName val="39"/>
      <sheetName val="40"/>
      <sheetName val="41"/>
      <sheetName val="check"/>
      <sheetName val="units"/>
      <sheetName val="validations"/>
      <sheetName val="Index1"/>
      <sheetName val="d1"/>
      <sheetName val="d2"/>
      <sheetName val="d3"/>
      <sheetName val="d5"/>
      <sheetName val="d7-10"/>
      <sheetName val="d11"/>
      <sheetName val="d12-13"/>
      <sheetName val="d14-15"/>
      <sheetName val="d16"/>
      <sheetName val="d17"/>
      <sheetName val="d18"/>
      <sheetName val="d19"/>
      <sheetName val="d20"/>
      <sheetName val="d23-24"/>
      <sheetName val="d26"/>
      <sheetName val="d27"/>
      <sheetName val="d28"/>
      <sheetName val="d28.1"/>
      <sheetName val="d28.2"/>
      <sheetName val="d29"/>
      <sheetName val="d29.1"/>
      <sheetName val="d29.2"/>
      <sheetName val="d30"/>
      <sheetName val="d31"/>
      <sheetName val="d32"/>
      <sheetName val="d33a"/>
      <sheetName val="d33b"/>
      <sheetName val="d33.1"/>
      <sheetName val="d33.2"/>
      <sheetName val="d34a"/>
      <sheetName val="d34b"/>
      <sheetName val="d34.1"/>
      <sheetName val="d34.2"/>
      <sheetName val="d34.3"/>
      <sheetName val="d34.4"/>
      <sheetName val="d35a"/>
      <sheetName val="d35b"/>
      <sheetName val="d36"/>
      <sheetName val="d37"/>
      <sheetName val="d38"/>
      <sheetName val="d39"/>
      <sheetName val="d40"/>
      <sheetName val="d4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gt;"/>
      <sheetName val="Sch M-1.1"/>
      <sheetName val="Sch M-1.2"/>
      <sheetName val="Sch M-1.3-pg 14-18"/>
      <sheetName val="Conroy Exhibit P2"/>
      <sheetName val="Yr End Cust Adj"/>
      <sheetName val="Rate Switch"/>
      <sheetName val="Sch M-2.1"/>
      <sheetName val="Sch M-2.2"/>
      <sheetName val="Sch M-2.3 pg 1-2"/>
      <sheetName val="Sch M-1.3-pg2-13"/>
      <sheetName val="Sch M-2.3 pgs 3-15"/>
      <sheetName val="Sch M-2.3.1 pgs 16-20"/>
      <sheetName val="True-ups==&gt;"/>
      <sheetName val="A-F kwh"/>
      <sheetName val="A-F Demand"/>
      <sheetName val="A-F Revenue"/>
      <sheetName val="Sch M-1.3-pg 1"/>
      <sheetName val="Analyses ==&gt;"/>
      <sheetName val="Reconciliation"/>
      <sheetName val="Rate Summary"/>
      <sheetName val="Class Summary"/>
      <sheetName val="ECR Roll In==&gt;"/>
      <sheetName val="Summary"/>
      <sheetName val="Group1"/>
      <sheetName val="Group2"/>
      <sheetName val="ECR Rollin"/>
      <sheetName val="StLtTYRevenueNetOfBaseECR"/>
      <sheetName val="Data==&gt;"/>
      <sheetName val="12MonResults"/>
      <sheetName val="12MonLights"/>
      <sheetName val="FACResults"/>
      <sheetName val="FACLights"/>
      <sheetName val="ECR Adjustments"/>
      <sheetName val="BaseECR"/>
      <sheetName val="BaseECRLights"/>
      <sheetName val="ECRResults"/>
      <sheetName val="ECRLights"/>
      <sheetName val="Sources ==&gt;"/>
      <sheetName val="Rates"/>
      <sheetName val="KY Detail Electric Revenues 2"/>
      <sheetName val="Cal_Energy"/>
      <sheetName val="Billing Demand"/>
      <sheetName val="Customers"/>
      <sheetName val="Rates-Lights"/>
      <sheetName val="12 ME 08.2016 Billed Lights KU"/>
      <sheetName val="1022"/>
      <sheetName val="SBR"/>
      <sheetName val="1055"/>
      <sheetName val="MiscData"/>
      <sheetName val="GranVille"/>
      <sheetName val="KY Detail Electric Revenues"/>
      <sheetName val="Rate Case Constants"/>
      <sheetName val="Reconciliation==&gt;"/>
      <sheetName val="January"/>
      <sheetName val="February"/>
      <sheetName val="March"/>
      <sheetName val="April"/>
      <sheetName val="May"/>
      <sheetName val="June"/>
      <sheetName val="July"/>
      <sheetName val="August"/>
      <sheetName val="Sept"/>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4">
          <cell r="C4" t="str">
            <v>GS</v>
          </cell>
        </row>
        <row r="5">
          <cell r="C5" t="str">
            <v>PSP</v>
          </cell>
        </row>
        <row r="6">
          <cell r="C6" t="str">
            <v>PSS</v>
          </cell>
        </row>
        <row r="7">
          <cell r="C7" t="str">
            <v>PSS</v>
          </cell>
        </row>
        <row r="8">
          <cell r="C8" t="str">
            <v>PSP</v>
          </cell>
        </row>
        <row r="9">
          <cell r="C9" t="str">
            <v>PSP</v>
          </cell>
        </row>
        <row r="10">
          <cell r="C10" t="str">
            <v>GS</v>
          </cell>
        </row>
        <row r="11">
          <cell r="C11" t="str">
            <v>RS</v>
          </cell>
        </row>
        <row r="12">
          <cell r="C12" t="str">
            <v>RS</v>
          </cell>
        </row>
        <row r="13">
          <cell r="C13" t="str">
            <v>GS</v>
          </cell>
          <cell r="K13">
            <v>79580535.01830551</v>
          </cell>
        </row>
        <row r="14">
          <cell r="C14" t="str">
            <v>GS</v>
          </cell>
        </row>
        <row r="15">
          <cell r="C15" t="str">
            <v>GS3</v>
          </cell>
          <cell r="K15">
            <v>92981338.809229434</v>
          </cell>
        </row>
        <row r="16">
          <cell r="C16" t="str">
            <v>AES</v>
          </cell>
          <cell r="K16">
            <v>728000</v>
          </cell>
        </row>
        <row r="17">
          <cell r="C17" t="str">
            <v>AES</v>
          </cell>
        </row>
        <row r="18">
          <cell r="C18" t="str">
            <v>AES3</v>
          </cell>
          <cell r="K18">
            <v>14787000</v>
          </cell>
        </row>
        <row r="19">
          <cell r="C19" t="str">
            <v>AES3</v>
          </cell>
        </row>
        <row r="20">
          <cell r="C20" t="str">
            <v>AES3</v>
          </cell>
        </row>
        <row r="21">
          <cell r="C21" t="str">
            <v>AES3</v>
          </cell>
        </row>
        <row r="22">
          <cell r="C22" t="str">
            <v>AES3</v>
          </cell>
        </row>
        <row r="23">
          <cell r="C23" t="str">
            <v>AES</v>
          </cell>
        </row>
        <row r="24">
          <cell r="C24" t="str">
            <v>LE</v>
          </cell>
          <cell r="K24">
            <v>20623.858594947502</v>
          </cell>
        </row>
        <row r="25">
          <cell r="C25" t="str">
            <v>LE</v>
          </cell>
        </row>
        <row r="26">
          <cell r="C26" t="str">
            <v>LE</v>
          </cell>
        </row>
        <row r="27">
          <cell r="C27" t="str">
            <v>TE</v>
          </cell>
          <cell r="K27">
            <v>137015.53325663053</v>
          </cell>
        </row>
        <row r="28">
          <cell r="C28" t="str">
            <v>TE</v>
          </cell>
        </row>
        <row r="29">
          <cell r="C29" t="str">
            <v>TE</v>
          </cell>
        </row>
        <row r="30">
          <cell r="C30" t="str">
            <v>RTS</v>
          </cell>
        </row>
        <row r="31">
          <cell r="C31" t="str">
            <v>PSP</v>
          </cell>
        </row>
        <row r="32">
          <cell r="C32" t="str">
            <v>PSS</v>
          </cell>
          <cell r="K32">
            <v>188646754.93011254</v>
          </cell>
        </row>
        <row r="33">
          <cell r="C33" t="str">
            <v>PSP</v>
          </cell>
        </row>
        <row r="34">
          <cell r="C34" t="str">
            <v>PSS</v>
          </cell>
        </row>
        <row r="35">
          <cell r="C35" t="str">
            <v>TODP</v>
          </cell>
          <cell r="K35">
            <v>328030195.22457445</v>
          </cell>
        </row>
        <row r="36">
          <cell r="C36" t="str">
            <v>TODS</v>
          </cell>
        </row>
        <row r="37">
          <cell r="C37" t="str">
            <v>SQF</v>
          </cell>
        </row>
        <row r="38">
          <cell r="C38" t="str">
            <v>SQF</v>
          </cell>
        </row>
        <row r="39">
          <cell r="C39" t="str">
            <v>LQF</v>
          </cell>
        </row>
        <row r="40">
          <cell r="C40" t="str">
            <v>GS</v>
          </cell>
        </row>
        <row r="41">
          <cell r="C41" t="str">
            <v>GS3</v>
          </cell>
        </row>
        <row r="42">
          <cell r="C42" t="str">
            <v>RS</v>
          </cell>
        </row>
        <row r="43">
          <cell r="C43" t="str">
            <v>RS</v>
          </cell>
        </row>
        <row r="44">
          <cell r="C44" t="str">
            <v>CSR</v>
          </cell>
        </row>
        <row r="45">
          <cell r="C45" t="str">
            <v>CSR</v>
          </cell>
        </row>
        <row r="46">
          <cell r="C46" t="str">
            <v>CSR</v>
          </cell>
        </row>
        <row r="47">
          <cell r="C47" t="str">
            <v>CSR</v>
          </cell>
        </row>
        <row r="48">
          <cell r="C48" t="str">
            <v>CSR</v>
          </cell>
        </row>
        <row r="49">
          <cell r="C49" t="str">
            <v>GS</v>
          </cell>
        </row>
        <row r="50">
          <cell r="C50" t="str">
            <v>GS</v>
          </cell>
        </row>
        <row r="51">
          <cell r="C51" t="str">
            <v>GS</v>
          </cell>
        </row>
        <row r="52">
          <cell r="C52" t="str">
            <v>GS</v>
          </cell>
        </row>
        <row r="53">
          <cell r="C53" t="str">
            <v>GS</v>
          </cell>
        </row>
        <row r="54">
          <cell r="C54" t="str">
            <v>GS</v>
          </cell>
        </row>
        <row r="55">
          <cell r="C55" t="str">
            <v>GS</v>
          </cell>
        </row>
        <row r="56">
          <cell r="C56" t="str">
            <v>GS</v>
          </cell>
        </row>
        <row r="57">
          <cell r="C57" t="str">
            <v>GS</v>
          </cell>
        </row>
        <row r="58">
          <cell r="C58" t="str">
            <v>GS</v>
          </cell>
        </row>
        <row r="59">
          <cell r="C59" t="str">
            <v>GS</v>
          </cell>
        </row>
        <row r="60">
          <cell r="C60" t="str">
            <v>GS3</v>
          </cell>
        </row>
        <row r="61">
          <cell r="C61" t="str">
            <v>GS3</v>
          </cell>
        </row>
        <row r="62">
          <cell r="C62" t="str">
            <v>RTS</v>
          </cell>
        </row>
        <row r="63">
          <cell r="C63" t="str">
            <v>RTS</v>
          </cell>
          <cell r="K63">
            <v>128588318.04509391</v>
          </cell>
        </row>
        <row r="64">
          <cell r="C64" t="str">
            <v>PSP</v>
          </cell>
        </row>
        <row r="65">
          <cell r="C65" t="str">
            <v>PSP</v>
          </cell>
        </row>
        <row r="66">
          <cell r="C66" t="str">
            <v>PSS</v>
          </cell>
        </row>
        <row r="67">
          <cell r="C67" t="str">
            <v>PSS</v>
          </cell>
        </row>
        <row r="68">
          <cell r="C68" t="str">
            <v>PSP</v>
          </cell>
        </row>
        <row r="69">
          <cell r="C69" t="str">
            <v>PSP</v>
          </cell>
        </row>
        <row r="70">
          <cell r="C70" t="str">
            <v>PSS</v>
          </cell>
        </row>
        <row r="71">
          <cell r="C71" t="str">
            <v>PSS</v>
          </cell>
        </row>
        <row r="72">
          <cell r="C72" t="str">
            <v>TODP</v>
          </cell>
        </row>
        <row r="73">
          <cell r="C73" t="str">
            <v>TODP</v>
          </cell>
        </row>
        <row r="74">
          <cell r="C74" t="str">
            <v>TODS</v>
          </cell>
        </row>
        <row r="75">
          <cell r="C75" t="str">
            <v>TODS</v>
          </cell>
        </row>
        <row r="76">
          <cell r="C76" t="str">
            <v>GS3</v>
          </cell>
        </row>
        <row r="77">
          <cell r="C77" t="str">
            <v>GS3</v>
          </cell>
        </row>
        <row r="78">
          <cell r="C78" t="str">
            <v>FLS</v>
          </cell>
          <cell r="K78">
            <v>47150802.677865498</v>
          </cell>
        </row>
        <row r="79">
          <cell r="C79" t="str">
            <v>FLS</v>
          </cell>
        </row>
        <row r="85">
          <cell r="C85" t="str">
            <v>RS</v>
          </cell>
        </row>
        <row r="86">
          <cell r="C86" t="str">
            <v>RS</v>
          </cell>
          <cell r="K86">
            <v>736904932.73229086</v>
          </cell>
        </row>
        <row r="87">
          <cell r="C87" t="str">
            <v>RS</v>
          </cell>
        </row>
        <row r="88">
          <cell r="C88" t="str">
            <v>RS</v>
          </cell>
        </row>
        <row r="89">
          <cell r="C89" t="str">
            <v>RTOD-E</v>
          </cell>
          <cell r="K89">
            <v>41632.050309773404</v>
          </cell>
        </row>
        <row r="90">
          <cell r="C90" t="str">
            <v>RTOD-D</v>
          </cell>
        </row>
        <row r="91">
          <cell r="C91" t="str">
            <v>RS</v>
          </cell>
        </row>
        <row r="92">
          <cell r="C92" t="str">
            <v>RS</v>
          </cell>
        </row>
        <row r="93">
          <cell r="C93" t="str">
            <v>RS</v>
          </cell>
        </row>
        <row r="94">
          <cell r="C94" t="str">
            <v>RS</v>
          </cell>
        </row>
        <row r="95">
          <cell r="C95" t="str">
            <v>RTS</v>
          </cell>
        </row>
        <row r="96">
          <cell r="C96" t="str">
            <v>PSP</v>
          </cell>
          <cell r="K96">
            <v>13527018.359776281</v>
          </cell>
        </row>
        <row r="97">
          <cell r="C97" t="str">
            <v>PSS</v>
          </cell>
        </row>
        <row r="98">
          <cell r="C98" t="str">
            <v>TODP</v>
          </cell>
        </row>
        <row r="99">
          <cell r="C99" t="str">
            <v>PSP</v>
          </cell>
        </row>
        <row r="100">
          <cell r="C100" t="str">
            <v>PSS</v>
          </cell>
        </row>
        <row r="101">
          <cell r="C101" t="str">
            <v>TODP</v>
          </cell>
        </row>
        <row r="102">
          <cell r="C102" t="str">
            <v>TODS</v>
          </cell>
          <cell r="K102">
            <v>134464604.23249334</v>
          </cell>
        </row>
        <row r="103">
          <cell r="C103" t="str">
            <v>TOD</v>
          </cell>
        </row>
        <row r="104">
          <cell r="C104" t="str">
            <v>MPT</v>
          </cell>
        </row>
        <row r="105">
          <cell r="C105" t="str">
            <v>MPP</v>
          </cell>
        </row>
        <row r="106">
          <cell r="C106" t="str">
            <v>LTOD</v>
          </cell>
        </row>
        <row r="107">
          <cell r="C107" t="str">
            <v>LTOD</v>
          </cell>
        </row>
        <row r="108">
          <cell r="C108" t="str">
            <v>MPP PF</v>
          </cell>
        </row>
        <row r="109">
          <cell r="C109" t="str">
            <v>MPT PF</v>
          </cell>
        </row>
        <row r="110">
          <cell r="C110" t="str">
            <v>LEV</v>
          </cell>
        </row>
        <row r="111">
          <cell r="C111" t="str">
            <v>GS</v>
          </cell>
        </row>
        <row r="112">
          <cell r="C112" t="str">
            <v>GS</v>
          </cell>
        </row>
        <row r="113">
          <cell r="C113" t="str">
            <v>GS3</v>
          </cell>
        </row>
        <row r="114">
          <cell r="C114" t="str">
            <v>GS3</v>
          </cell>
        </row>
        <row r="115">
          <cell r="C115" t="str">
            <v>LEV</v>
          </cell>
        </row>
        <row r="116">
          <cell r="C116" t="str">
            <v>CSR</v>
          </cell>
        </row>
        <row r="117">
          <cell r="C117" t="str">
            <v>CSR</v>
          </cell>
        </row>
        <row r="118">
          <cell r="C118" t="str">
            <v>CSR</v>
          </cell>
        </row>
        <row r="119">
          <cell r="C119" t="str">
            <v>CSR</v>
          </cell>
        </row>
        <row r="120">
          <cell r="C120" t="str">
            <v>CSR</v>
          </cell>
        </row>
        <row r="121">
          <cell r="C121" t="str">
            <v>CSR</v>
          </cell>
        </row>
        <row r="122">
          <cell r="C122" t="str">
            <v>CSR</v>
          </cell>
        </row>
        <row r="123">
          <cell r="C123" t="str">
            <v>CSR</v>
          </cell>
        </row>
        <row r="124">
          <cell r="C124" t="str">
            <v>LEV</v>
          </cell>
        </row>
        <row r="125">
          <cell r="C125" t="str">
            <v>LEV</v>
          </cell>
        </row>
        <row r="126">
          <cell r="C126" t="str">
            <v>GS</v>
          </cell>
        </row>
        <row r="127">
          <cell r="C127" t="str">
            <v>PSP</v>
          </cell>
        </row>
        <row r="128">
          <cell r="C128" t="str">
            <v>PSS</v>
          </cell>
        </row>
        <row r="129">
          <cell r="C129" t="str">
            <v>PSS</v>
          </cell>
        </row>
        <row r="130">
          <cell r="C130" t="str">
            <v>PSP</v>
          </cell>
        </row>
        <row r="131">
          <cell r="C131" t="str">
            <v>PSP</v>
          </cell>
        </row>
        <row r="132">
          <cell r="C132" t="str">
            <v>GS</v>
          </cell>
        </row>
        <row r="133">
          <cell r="C133" t="str">
            <v>RS</v>
          </cell>
        </row>
        <row r="134">
          <cell r="C134" t="str">
            <v>RS</v>
          </cell>
        </row>
        <row r="135">
          <cell r="C135" t="str">
            <v>GS</v>
          </cell>
          <cell r="K135">
            <v>70635217.661141485</v>
          </cell>
        </row>
        <row r="136">
          <cell r="C136" t="str">
            <v>GS</v>
          </cell>
        </row>
        <row r="137">
          <cell r="C137" t="str">
            <v>GS3</v>
          </cell>
          <cell r="K137">
            <v>81104470.031557083</v>
          </cell>
        </row>
        <row r="138">
          <cell r="C138" t="str">
            <v>AES</v>
          </cell>
          <cell r="K138">
            <v>677000</v>
          </cell>
        </row>
        <row r="139">
          <cell r="C139" t="str">
            <v>AES</v>
          </cell>
        </row>
        <row r="140">
          <cell r="C140" t="str">
            <v>AES3</v>
          </cell>
          <cell r="K140">
            <v>13760000</v>
          </cell>
        </row>
        <row r="141">
          <cell r="C141" t="str">
            <v>AES3</v>
          </cell>
        </row>
        <row r="142">
          <cell r="C142" t="str">
            <v>AES3</v>
          </cell>
        </row>
        <row r="143">
          <cell r="C143" t="str">
            <v>AES3</v>
          </cell>
        </row>
        <row r="144">
          <cell r="C144" t="str">
            <v>AES3</v>
          </cell>
        </row>
        <row r="145">
          <cell r="C145" t="str">
            <v>AES</v>
          </cell>
        </row>
        <row r="146">
          <cell r="C146" t="str">
            <v>LE</v>
          </cell>
          <cell r="K146">
            <v>18323.98268499643</v>
          </cell>
        </row>
        <row r="147">
          <cell r="C147" t="str">
            <v>LE</v>
          </cell>
        </row>
        <row r="148">
          <cell r="C148" t="str">
            <v>LE</v>
          </cell>
        </row>
        <row r="149">
          <cell r="C149" t="str">
            <v>TE</v>
          </cell>
          <cell r="K149">
            <v>125421.64109458604</v>
          </cell>
        </row>
        <row r="150">
          <cell r="C150" t="str">
            <v>TE</v>
          </cell>
        </row>
        <row r="151">
          <cell r="C151" t="str">
            <v>TE</v>
          </cell>
        </row>
        <row r="152">
          <cell r="C152" t="str">
            <v>RTS</v>
          </cell>
        </row>
        <row r="153">
          <cell r="C153" t="str">
            <v>PSP</v>
          </cell>
        </row>
        <row r="154">
          <cell r="C154" t="str">
            <v>PSS</v>
          </cell>
          <cell r="K154">
            <v>167134642.33827847</v>
          </cell>
        </row>
        <row r="155">
          <cell r="C155" t="str">
            <v>PSP</v>
          </cell>
        </row>
        <row r="156">
          <cell r="C156" t="str">
            <v>PSS</v>
          </cell>
        </row>
        <row r="157">
          <cell r="C157" t="str">
            <v>TODP</v>
          </cell>
          <cell r="K157">
            <v>315064916.82046193</v>
          </cell>
        </row>
        <row r="158">
          <cell r="C158" t="str">
            <v>TODS</v>
          </cell>
        </row>
        <row r="159">
          <cell r="C159" t="str">
            <v>SQF</v>
          </cell>
        </row>
        <row r="160">
          <cell r="C160" t="str">
            <v>SQF</v>
          </cell>
        </row>
        <row r="161">
          <cell r="C161" t="str">
            <v>LQF</v>
          </cell>
        </row>
        <row r="162">
          <cell r="C162" t="str">
            <v>GS</v>
          </cell>
        </row>
        <row r="163">
          <cell r="C163" t="str">
            <v>GS3</v>
          </cell>
        </row>
        <row r="164">
          <cell r="C164" t="str">
            <v>RS</v>
          </cell>
        </row>
        <row r="165">
          <cell r="C165" t="str">
            <v>RS</v>
          </cell>
        </row>
        <row r="166">
          <cell r="C166" t="str">
            <v>CSR</v>
          </cell>
        </row>
        <row r="167">
          <cell r="C167" t="str">
            <v>CSR</v>
          </cell>
        </row>
        <row r="168">
          <cell r="C168" t="str">
            <v>CSR</v>
          </cell>
        </row>
        <row r="169">
          <cell r="C169" t="str">
            <v>CSR</v>
          </cell>
        </row>
        <row r="170">
          <cell r="C170" t="str">
            <v>CSR</v>
          </cell>
        </row>
        <row r="171">
          <cell r="C171" t="str">
            <v>GS</v>
          </cell>
        </row>
        <row r="172">
          <cell r="C172" t="str">
            <v>GS</v>
          </cell>
        </row>
        <row r="173">
          <cell r="C173" t="str">
            <v>GS</v>
          </cell>
        </row>
        <row r="174">
          <cell r="C174" t="str">
            <v>GS</v>
          </cell>
        </row>
        <row r="175">
          <cell r="C175" t="str">
            <v>GS</v>
          </cell>
        </row>
        <row r="176">
          <cell r="C176" t="str">
            <v>GS</v>
          </cell>
        </row>
        <row r="177">
          <cell r="C177" t="str">
            <v>GS</v>
          </cell>
        </row>
        <row r="178">
          <cell r="C178" t="str">
            <v>GS</v>
          </cell>
        </row>
        <row r="179">
          <cell r="C179" t="str">
            <v>GS</v>
          </cell>
        </row>
        <row r="180">
          <cell r="C180" t="str">
            <v>GS</v>
          </cell>
        </row>
        <row r="181">
          <cell r="C181" t="str">
            <v>GS</v>
          </cell>
        </row>
        <row r="182">
          <cell r="C182" t="str">
            <v>GS3</v>
          </cell>
        </row>
        <row r="183">
          <cell r="C183" t="str">
            <v>GS3</v>
          </cell>
        </row>
        <row r="184">
          <cell r="C184" t="str">
            <v>RTS</v>
          </cell>
        </row>
        <row r="185">
          <cell r="C185" t="str">
            <v>RTS</v>
          </cell>
          <cell r="K185">
            <v>121343183.00875309</v>
          </cell>
        </row>
        <row r="186">
          <cell r="C186" t="str">
            <v>PSP</v>
          </cell>
        </row>
        <row r="187">
          <cell r="C187" t="str">
            <v>PSP</v>
          </cell>
        </row>
        <row r="188">
          <cell r="C188" t="str">
            <v>PSS</v>
          </cell>
        </row>
        <row r="189">
          <cell r="C189" t="str">
            <v>PSS</v>
          </cell>
        </row>
        <row r="190">
          <cell r="C190" t="str">
            <v>PSP</v>
          </cell>
        </row>
        <row r="191">
          <cell r="C191" t="str">
            <v>PSP</v>
          </cell>
        </row>
        <row r="192">
          <cell r="C192" t="str">
            <v>PSS</v>
          </cell>
        </row>
        <row r="193">
          <cell r="C193" t="str">
            <v>PSS</v>
          </cell>
        </row>
        <row r="194">
          <cell r="C194" t="str">
            <v>TODP</v>
          </cell>
        </row>
        <row r="195">
          <cell r="C195" t="str">
            <v>TODP</v>
          </cell>
        </row>
        <row r="196">
          <cell r="C196" t="str">
            <v>TODS</v>
          </cell>
        </row>
        <row r="197">
          <cell r="C197" t="str">
            <v>TODS</v>
          </cell>
        </row>
        <row r="198">
          <cell r="C198" t="str">
            <v>GS3</v>
          </cell>
        </row>
        <row r="199">
          <cell r="C199" t="str">
            <v>GS3</v>
          </cell>
        </row>
        <row r="200">
          <cell r="C200" t="str">
            <v>FLS</v>
          </cell>
          <cell r="K200">
            <v>44267468.936801001</v>
          </cell>
        </row>
        <row r="201">
          <cell r="C201" t="str">
            <v>FLS</v>
          </cell>
        </row>
        <row r="207">
          <cell r="C207" t="str">
            <v>RS</v>
          </cell>
        </row>
        <row r="208">
          <cell r="C208" t="str">
            <v>RS</v>
          </cell>
          <cell r="K208">
            <v>608819914.74919307</v>
          </cell>
        </row>
        <row r="209">
          <cell r="C209" t="str">
            <v>RS</v>
          </cell>
        </row>
        <row r="210">
          <cell r="C210" t="str">
            <v>RS</v>
          </cell>
        </row>
        <row r="211">
          <cell r="C211" t="str">
            <v>RTOD-E</v>
          </cell>
          <cell r="K211">
            <v>35243.998239997461</v>
          </cell>
        </row>
        <row r="212">
          <cell r="C212" t="str">
            <v>RTOD-D</v>
          </cell>
        </row>
        <row r="213">
          <cell r="C213" t="str">
            <v>RS</v>
          </cell>
        </row>
        <row r="214">
          <cell r="C214" t="str">
            <v>RS</v>
          </cell>
        </row>
        <row r="215">
          <cell r="C215" t="str">
            <v>RS</v>
          </cell>
        </row>
        <row r="216">
          <cell r="C216" t="str">
            <v>RS</v>
          </cell>
        </row>
        <row r="217">
          <cell r="C217" t="str">
            <v>RTS</v>
          </cell>
        </row>
        <row r="218">
          <cell r="C218" t="str">
            <v>PSP</v>
          </cell>
          <cell r="K218">
            <v>12992367.703936562</v>
          </cell>
        </row>
        <row r="219">
          <cell r="C219" t="str">
            <v>PSS</v>
          </cell>
        </row>
        <row r="220">
          <cell r="C220" t="str">
            <v>TODP</v>
          </cell>
        </row>
        <row r="221">
          <cell r="C221" t="str">
            <v>PSP</v>
          </cell>
        </row>
        <row r="222">
          <cell r="C222" t="str">
            <v>PSS</v>
          </cell>
        </row>
        <row r="223">
          <cell r="C223" t="str">
            <v>TODP</v>
          </cell>
        </row>
        <row r="224">
          <cell r="C224" t="str">
            <v>TODS</v>
          </cell>
          <cell r="K224">
            <v>127981543.4462775</v>
          </cell>
        </row>
        <row r="225">
          <cell r="C225" t="str">
            <v>TOD</v>
          </cell>
        </row>
        <row r="226">
          <cell r="C226" t="str">
            <v>MPT</v>
          </cell>
        </row>
        <row r="227">
          <cell r="C227" t="str">
            <v>MPP</v>
          </cell>
        </row>
        <row r="228">
          <cell r="C228" t="str">
            <v>LTOD</v>
          </cell>
        </row>
        <row r="229">
          <cell r="C229" t="str">
            <v>LTOD</v>
          </cell>
        </row>
        <row r="230">
          <cell r="C230" t="str">
            <v>MPP PF</v>
          </cell>
        </row>
        <row r="231">
          <cell r="C231" t="str">
            <v>MPT PF</v>
          </cell>
        </row>
        <row r="232">
          <cell r="C232" t="str">
            <v>LEV</v>
          </cell>
        </row>
        <row r="233">
          <cell r="C233" t="str">
            <v>GS</v>
          </cell>
        </row>
        <row r="234">
          <cell r="C234" t="str">
            <v>GS</v>
          </cell>
        </row>
        <row r="235">
          <cell r="C235" t="str">
            <v>GS3</v>
          </cell>
        </row>
        <row r="236">
          <cell r="C236" t="str">
            <v>GS3</v>
          </cell>
        </row>
        <row r="237">
          <cell r="C237" t="str">
            <v>LEV</v>
          </cell>
        </row>
        <row r="238">
          <cell r="C238" t="str">
            <v>CSR</v>
          </cell>
        </row>
        <row r="239">
          <cell r="C239" t="str">
            <v>CSR</v>
          </cell>
        </row>
        <row r="240">
          <cell r="C240" t="str">
            <v>CSR</v>
          </cell>
        </row>
        <row r="241">
          <cell r="C241" t="str">
            <v>CSR</v>
          </cell>
        </row>
        <row r="242">
          <cell r="C242" t="str">
            <v>CSR</v>
          </cell>
        </row>
        <row r="243">
          <cell r="C243" t="str">
            <v>CSR</v>
          </cell>
        </row>
        <row r="244">
          <cell r="C244" t="str">
            <v>CSR</v>
          </cell>
        </row>
        <row r="245">
          <cell r="C245" t="str">
            <v>CSR</v>
          </cell>
        </row>
        <row r="246">
          <cell r="C246" t="str">
            <v>LEV</v>
          </cell>
        </row>
        <row r="247">
          <cell r="C247" t="str">
            <v>LEV</v>
          </cell>
        </row>
        <row r="248">
          <cell r="C248" t="str">
            <v>GS</v>
          </cell>
        </row>
        <row r="249">
          <cell r="C249" t="str">
            <v>PSP</v>
          </cell>
        </row>
        <row r="250">
          <cell r="C250" t="str">
            <v>PSS</v>
          </cell>
        </row>
        <row r="251">
          <cell r="C251" t="str">
            <v>PSS</v>
          </cell>
        </row>
        <row r="252">
          <cell r="C252" t="str">
            <v>PSP</v>
          </cell>
        </row>
        <row r="253">
          <cell r="C253" t="str">
            <v>PSP</v>
          </cell>
        </row>
        <row r="254">
          <cell r="C254" t="str">
            <v>GS</v>
          </cell>
        </row>
        <row r="255">
          <cell r="C255" t="str">
            <v>RS</v>
          </cell>
        </row>
        <row r="256">
          <cell r="C256" t="str">
            <v>RS</v>
          </cell>
        </row>
        <row r="257">
          <cell r="C257" t="str">
            <v>GS</v>
          </cell>
          <cell r="K257">
            <v>64343601.855323754</v>
          </cell>
        </row>
        <row r="258">
          <cell r="C258" t="str">
            <v>GS</v>
          </cell>
        </row>
        <row r="259">
          <cell r="C259" t="str">
            <v>GS3</v>
          </cell>
          <cell r="K259">
            <v>76016984.558436885</v>
          </cell>
        </row>
        <row r="260">
          <cell r="C260" t="str">
            <v>AES</v>
          </cell>
          <cell r="K260">
            <v>630000</v>
          </cell>
        </row>
        <row r="261">
          <cell r="C261" t="str">
            <v>AES</v>
          </cell>
        </row>
        <row r="262">
          <cell r="C262" t="str">
            <v>AES3</v>
          </cell>
          <cell r="K262">
            <v>12799000</v>
          </cell>
        </row>
        <row r="263">
          <cell r="C263" t="str">
            <v>AES3</v>
          </cell>
        </row>
        <row r="264">
          <cell r="C264" t="str">
            <v>AES3</v>
          </cell>
        </row>
        <row r="265">
          <cell r="C265" t="str">
            <v>AES3</v>
          </cell>
        </row>
        <row r="266">
          <cell r="C266" t="str">
            <v>AES3</v>
          </cell>
        </row>
        <row r="267">
          <cell r="C267" t="str">
            <v>AES</v>
          </cell>
        </row>
        <row r="268">
          <cell r="C268" t="str">
            <v>LE</v>
          </cell>
          <cell r="K268">
            <v>44330.254439454424</v>
          </cell>
        </row>
        <row r="269">
          <cell r="C269" t="str">
            <v>LE</v>
          </cell>
        </row>
        <row r="270">
          <cell r="C270" t="str">
            <v>LE</v>
          </cell>
        </row>
        <row r="271">
          <cell r="C271" t="str">
            <v>TE</v>
          </cell>
          <cell r="K271">
            <v>119881.59547011479</v>
          </cell>
        </row>
        <row r="272">
          <cell r="C272" t="str">
            <v>TE</v>
          </cell>
        </row>
        <row r="273">
          <cell r="C273" t="str">
            <v>TE</v>
          </cell>
        </row>
        <row r="274">
          <cell r="C274" t="str">
            <v>RTS</v>
          </cell>
        </row>
        <row r="275">
          <cell r="C275" t="str">
            <v>PSP</v>
          </cell>
        </row>
        <row r="276">
          <cell r="C276" t="str">
            <v>PSS</v>
          </cell>
          <cell r="K276">
            <v>160672594.44158393</v>
          </cell>
        </row>
        <row r="277">
          <cell r="C277" t="str">
            <v>PSP</v>
          </cell>
        </row>
        <row r="278">
          <cell r="C278" t="str">
            <v>PSS</v>
          </cell>
        </row>
        <row r="279">
          <cell r="C279" t="str">
            <v>TODP</v>
          </cell>
          <cell r="K279">
            <v>313471868.05076802</v>
          </cell>
        </row>
        <row r="280">
          <cell r="C280" t="str">
            <v>TODS</v>
          </cell>
        </row>
        <row r="281">
          <cell r="C281" t="str">
            <v>SQF</v>
          </cell>
        </row>
        <row r="282">
          <cell r="C282" t="str">
            <v>SQF</v>
          </cell>
        </row>
        <row r="283">
          <cell r="C283" t="str">
            <v>LQF</v>
          </cell>
        </row>
        <row r="284">
          <cell r="C284" t="str">
            <v>GS</v>
          </cell>
        </row>
        <row r="285">
          <cell r="C285" t="str">
            <v>GS3</v>
          </cell>
        </row>
        <row r="286">
          <cell r="C286" t="str">
            <v>RS</v>
          </cell>
        </row>
        <row r="287">
          <cell r="C287" t="str">
            <v>RS</v>
          </cell>
        </row>
        <row r="288">
          <cell r="C288" t="str">
            <v>CSR</v>
          </cell>
        </row>
        <row r="289">
          <cell r="C289" t="str">
            <v>CSR</v>
          </cell>
        </row>
        <row r="290">
          <cell r="C290" t="str">
            <v>CSR</v>
          </cell>
        </row>
        <row r="291">
          <cell r="C291" t="str">
            <v>CSR</v>
          </cell>
        </row>
        <row r="292">
          <cell r="C292" t="str">
            <v>CSR</v>
          </cell>
        </row>
        <row r="293">
          <cell r="C293" t="str">
            <v>GS</v>
          </cell>
        </row>
        <row r="294">
          <cell r="C294" t="str">
            <v>GS</v>
          </cell>
        </row>
        <row r="295">
          <cell r="C295" t="str">
            <v>GS</v>
          </cell>
        </row>
        <row r="296">
          <cell r="C296" t="str">
            <v>GS</v>
          </cell>
        </row>
        <row r="297">
          <cell r="C297" t="str">
            <v>GS</v>
          </cell>
        </row>
        <row r="298">
          <cell r="C298" t="str">
            <v>GS</v>
          </cell>
        </row>
        <row r="299">
          <cell r="C299" t="str">
            <v>GS</v>
          </cell>
        </row>
        <row r="300">
          <cell r="C300" t="str">
            <v>GS</v>
          </cell>
        </row>
        <row r="301">
          <cell r="C301" t="str">
            <v>GS</v>
          </cell>
        </row>
        <row r="302">
          <cell r="C302" t="str">
            <v>GS</v>
          </cell>
        </row>
        <row r="303">
          <cell r="C303" t="str">
            <v>GS</v>
          </cell>
        </row>
        <row r="304">
          <cell r="C304" t="str">
            <v>GS3</v>
          </cell>
        </row>
        <row r="305">
          <cell r="C305" t="str">
            <v>GS3</v>
          </cell>
        </row>
        <row r="306">
          <cell r="C306" t="str">
            <v>RTS</v>
          </cell>
        </row>
        <row r="307">
          <cell r="C307" t="str">
            <v>RTS</v>
          </cell>
          <cell r="K307">
            <v>121011121.1262189</v>
          </cell>
        </row>
        <row r="308">
          <cell r="C308" t="str">
            <v>PSP</v>
          </cell>
        </row>
        <row r="309">
          <cell r="C309" t="str">
            <v>PSP</v>
          </cell>
        </row>
        <row r="310">
          <cell r="C310" t="str">
            <v>PSS</v>
          </cell>
        </row>
        <row r="311">
          <cell r="C311" t="str">
            <v>PSS</v>
          </cell>
        </row>
        <row r="312">
          <cell r="C312" t="str">
            <v>PSP</v>
          </cell>
        </row>
        <row r="313">
          <cell r="C313" t="str">
            <v>PSP</v>
          </cell>
        </row>
        <row r="314">
          <cell r="C314" t="str">
            <v>PSS</v>
          </cell>
        </row>
        <row r="315">
          <cell r="C315" t="str">
            <v>PSS</v>
          </cell>
        </row>
        <row r="316">
          <cell r="C316" t="str">
            <v>TODP</v>
          </cell>
        </row>
        <row r="317">
          <cell r="C317" t="str">
            <v>TODP</v>
          </cell>
        </row>
        <row r="318">
          <cell r="C318" t="str">
            <v>TODS</v>
          </cell>
        </row>
        <row r="319">
          <cell r="C319" t="str">
            <v>TODS</v>
          </cell>
        </row>
        <row r="320">
          <cell r="C320" t="str">
            <v>GS3</v>
          </cell>
        </row>
        <row r="321">
          <cell r="C321" t="str">
            <v>GS3</v>
          </cell>
        </row>
        <row r="322">
          <cell r="C322" t="str">
            <v>FLS</v>
          </cell>
          <cell r="K322">
            <v>47487680.049483702</v>
          </cell>
        </row>
        <row r="323">
          <cell r="C323" t="str">
            <v>FLS</v>
          </cell>
        </row>
        <row r="329">
          <cell r="C329" t="str">
            <v>RS</v>
          </cell>
        </row>
        <row r="330">
          <cell r="C330" t="str">
            <v>RS</v>
          </cell>
          <cell r="K330">
            <v>532467112.11362398</v>
          </cell>
        </row>
        <row r="331">
          <cell r="C331" t="str">
            <v>RS</v>
          </cell>
        </row>
        <row r="332">
          <cell r="C332" t="str">
            <v>RS</v>
          </cell>
        </row>
        <row r="333">
          <cell r="C333" t="str">
            <v>RTOD-E</v>
          </cell>
          <cell r="K333">
            <v>31511.213390159683</v>
          </cell>
        </row>
        <row r="334">
          <cell r="C334" t="str">
            <v>RTOD-D</v>
          </cell>
        </row>
        <row r="335">
          <cell r="C335" t="str">
            <v>RS</v>
          </cell>
        </row>
        <row r="336">
          <cell r="C336" t="str">
            <v>RS</v>
          </cell>
        </row>
        <row r="337">
          <cell r="C337" t="str">
            <v>RS</v>
          </cell>
        </row>
        <row r="338">
          <cell r="C338" t="str">
            <v>RS</v>
          </cell>
        </row>
        <row r="339">
          <cell r="C339" t="str">
            <v>RTS</v>
          </cell>
        </row>
        <row r="340">
          <cell r="C340" t="str">
            <v>PSP</v>
          </cell>
          <cell r="K340">
            <v>12926674.971165713</v>
          </cell>
        </row>
        <row r="341">
          <cell r="C341" t="str">
            <v>PSS</v>
          </cell>
        </row>
        <row r="342">
          <cell r="C342" t="str">
            <v>TODP</v>
          </cell>
        </row>
        <row r="343">
          <cell r="C343" t="str">
            <v>PSP</v>
          </cell>
        </row>
        <row r="344">
          <cell r="C344" t="str">
            <v>PSS</v>
          </cell>
        </row>
        <row r="345">
          <cell r="C345" t="str">
            <v>TODP</v>
          </cell>
        </row>
        <row r="346">
          <cell r="C346" t="str">
            <v>TODS</v>
          </cell>
          <cell r="K346">
            <v>126819256.92690147</v>
          </cell>
        </row>
        <row r="347">
          <cell r="C347" t="str">
            <v>TOD</v>
          </cell>
        </row>
        <row r="348">
          <cell r="C348" t="str">
            <v>MPT</v>
          </cell>
        </row>
        <row r="349">
          <cell r="C349" t="str">
            <v>MPP</v>
          </cell>
        </row>
        <row r="350">
          <cell r="C350" t="str">
            <v>LTOD</v>
          </cell>
        </row>
        <row r="351">
          <cell r="C351" t="str">
            <v>LTOD</v>
          </cell>
        </row>
        <row r="352">
          <cell r="C352" t="str">
            <v>MPP PF</v>
          </cell>
        </row>
        <row r="353">
          <cell r="C353" t="str">
            <v>MPT PF</v>
          </cell>
        </row>
        <row r="354">
          <cell r="C354" t="str">
            <v>LEV</v>
          </cell>
        </row>
        <row r="355">
          <cell r="C355" t="str">
            <v>GS</v>
          </cell>
        </row>
        <row r="356">
          <cell r="C356" t="str">
            <v>GS</v>
          </cell>
        </row>
        <row r="357">
          <cell r="C357" t="str">
            <v>GS3</v>
          </cell>
        </row>
        <row r="358">
          <cell r="C358" t="str">
            <v>GS3</v>
          </cell>
        </row>
        <row r="359">
          <cell r="C359" t="str">
            <v>LEV</v>
          </cell>
        </row>
        <row r="360">
          <cell r="C360" t="str">
            <v>CSR</v>
          </cell>
        </row>
        <row r="361">
          <cell r="C361" t="str">
            <v>CSR</v>
          </cell>
        </row>
        <row r="362">
          <cell r="C362" t="str">
            <v>CSR</v>
          </cell>
        </row>
        <row r="363">
          <cell r="C363" t="str">
            <v>CSR</v>
          </cell>
        </row>
        <row r="364">
          <cell r="C364" t="str">
            <v>CSR</v>
          </cell>
        </row>
        <row r="365">
          <cell r="C365" t="str">
            <v>CSR</v>
          </cell>
        </row>
        <row r="366">
          <cell r="C366" t="str">
            <v>CSR</v>
          </cell>
        </row>
        <row r="367">
          <cell r="C367" t="str">
            <v>CSR</v>
          </cell>
        </row>
        <row r="368">
          <cell r="C368" t="str">
            <v>LEV</v>
          </cell>
        </row>
        <row r="369">
          <cell r="C369" t="str">
            <v>LEV</v>
          </cell>
        </row>
        <row r="370">
          <cell r="C370" t="str">
            <v>GS</v>
          </cell>
        </row>
        <row r="371">
          <cell r="C371" t="str">
            <v>PSP</v>
          </cell>
        </row>
        <row r="372">
          <cell r="C372" t="str">
            <v>PSS</v>
          </cell>
        </row>
        <row r="373">
          <cell r="C373" t="str">
            <v>PSS</v>
          </cell>
        </row>
        <row r="374">
          <cell r="C374" t="str">
            <v>PSP</v>
          </cell>
        </row>
        <row r="375">
          <cell r="C375" t="str">
            <v>PSP</v>
          </cell>
        </row>
        <row r="376">
          <cell r="C376" t="str">
            <v>GS</v>
          </cell>
        </row>
        <row r="377">
          <cell r="C377" t="str">
            <v>RS</v>
          </cell>
        </row>
        <row r="378">
          <cell r="C378" t="str">
            <v>RS</v>
          </cell>
        </row>
        <row r="379">
          <cell r="C379" t="str">
            <v>GS</v>
          </cell>
          <cell r="K379">
            <v>52960713.851201646</v>
          </cell>
        </row>
        <row r="380">
          <cell r="C380" t="str">
            <v>GS</v>
          </cell>
        </row>
        <row r="381">
          <cell r="C381" t="str">
            <v>GS3</v>
          </cell>
          <cell r="K381">
            <v>70799801.654426351</v>
          </cell>
        </row>
        <row r="382">
          <cell r="C382" t="str">
            <v>AES</v>
          </cell>
          <cell r="K382">
            <v>551000</v>
          </cell>
        </row>
        <row r="383">
          <cell r="C383" t="str">
            <v>AES</v>
          </cell>
        </row>
        <row r="384">
          <cell r="C384" t="str">
            <v>AES3</v>
          </cell>
          <cell r="K384">
            <v>11204000</v>
          </cell>
        </row>
        <row r="385">
          <cell r="C385" t="str">
            <v>AES3</v>
          </cell>
        </row>
        <row r="386">
          <cell r="C386" t="str">
            <v>AES3</v>
          </cell>
        </row>
        <row r="387">
          <cell r="C387" t="str">
            <v>AES3</v>
          </cell>
        </row>
        <row r="388">
          <cell r="C388" t="str">
            <v>AES3</v>
          </cell>
        </row>
        <row r="389">
          <cell r="C389" t="str">
            <v>AES</v>
          </cell>
        </row>
        <row r="390">
          <cell r="C390" t="str">
            <v>LE</v>
          </cell>
          <cell r="K390">
            <v>37456.172350536974</v>
          </cell>
        </row>
        <row r="391">
          <cell r="C391" t="str">
            <v>LE</v>
          </cell>
        </row>
        <row r="392">
          <cell r="C392" t="str">
            <v>LE</v>
          </cell>
        </row>
        <row r="393">
          <cell r="C393" t="str">
            <v>TE</v>
          </cell>
          <cell r="K393">
            <v>112784.33727769413</v>
          </cell>
        </row>
        <row r="394">
          <cell r="C394" t="str">
            <v>TE</v>
          </cell>
        </row>
        <row r="395">
          <cell r="C395" t="str">
            <v>TE</v>
          </cell>
        </row>
        <row r="396">
          <cell r="C396" t="str">
            <v>RTS</v>
          </cell>
        </row>
        <row r="397">
          <cell r="C397" t="str">
            <v>PSP</v>
          </cell>
        </row>
        <row r="398">
          <cell r="C398" t="str">
            <v>PSS</v>
          </cell>
          <cell r="K398">
            <v>143676479.04327977</v>
          </cell>
        </row>
        <row r="399">
          <cell r="C399" t="str">
            <v>PSP</v>
          </cell>
        </row>
        <row r="400">
          <cell r="C400" t="str">
            <v>PSS</v>
          </cell>
        </row>
        <row r="401">
          <cell r="C401" t="str">
            <v>TODP</v>
          </cell>
          <cell r="K401">
            <v>312658487.11057991</v>
          </cell>
        </row>
        <row r="402">
          <cell r="C402" t="str">
            <v>TODS</v>
          </cell>
        </row>
        <row r="403">
          <cell r="C403" t="str">
            <v>SQF</v>
          </cell>
        </row>
        <row r="404">
          <cell r="C404" t="str">
            <v>SQF</v>
          </cell>
        </row>
        <row r="405">
          <cell r="C405" t="str">
            <v>LQF</v>
          </cell>
        </row>
        <row r="406">
          <cell r="C406" t="str">
            <v>GS</v>
          </cell>
        </row>
        <row r="407">
          <cell r="C407" t="str">
            <v>GS3</v>
          </cell>
        </row>
        <row r="408">
          <cell r="C408" t="str">
            <v>RS</v>
          </cell>
        </row>
        <row r="409">
          <cell r="C409" t="str">
            <v>RS</v>
          </cell>
        </row>
        <row r="410">
          <cell r="C410" t="str">
            <v>CSR</v>
          </cell>
        </row>
        <row r="411">
          <cell r="C411" t="str">
            <v>CSR</v>
          </cell>
        </row>
        <row r="412">
          <cell r="C412" t="str">
            <v>CSR</v>
          </cell>
        </row>
        <row r="413">
          <cell r="C413" t="str">
            <v>CSR</v>
          </cell>
        </row>
        <row r="414">
          <cell r="C414" t="str">
            <v>CSR</v>
          </cell>
        </row>
        <row r="415">
          <cell r="C415" t="str">
            <v>GS</v>
          </cell>
        </row>
        <row r="416">
          <cell r="C416" t="str">
            <v>GS</v>
          </cell>
        </row>
        <row r="417">
          <cell r="C417" t="str">
            <v>GS</v>
          </cell>
        </row>
        <row r="418">
          <cell r="C418" t="str">
            <v>GS</v>
          </cell>
        </row>
        <row r="419">
          <cell r="C419" t="str">
            <v>GS</v>
          </cell>
        </row>
        <row r="420">
          <cell r="C420" t="str">
            <v>GS</v>
          </cell>
        </row>
        <row r="421">
          <cell r="C421" t="str">
            <v>GS</v>
          </cell>
        </row>
        <row r="422">
          <cell r="C422" t="str">
            <v>GS</v>
          </cell>
        </row>
        <row r="423">
          <cell r="C423" t="str">
            <v>GS</v>
          </cell>
        </row>
        <row r="424">
          <cell r="C424" t="str">
            <v>GS</v>
          </cell>
        </row>
        <row r="425">
          <cell r="C425" t="str">
            <v>GS</v>
          </cell>
        </row>
        <row r="426">
          <cell r="C426" t="str">
            <v>GS3</v>
          </cell>
        </row>
        <row r="427">
          <cell r="C427" t="str">
            <v>GS3</v>
          </cell>
        </row>
        <row r="428">
          <cell r="C428" t="str">
            <v>RTS</v>
          </cell>
        </row>
        <row r="429">
          <cell r="C429" t="str">
            <v>RTS</v>
          </cell>
          <cell r="K429">
            <v>118033836.43614669</v>
          </cell>
        </row>
        <row r="430">
          <cell r="C430" t="str">
            <v>PSP</v>
          </cell>
        </row>
        <row r="431">
          <cell r="C431" t="str">
            <v>PSP</v>
          </cell>
        </row>
        <row r="432">
          <cell r="C432" t="str">
            <v>PSS</v>
          </cell>
        </row>
        <row r="433">
          <cell r="C433" t="str">
            <v>PSS</v>
          </cell>
        </row>
        <row r="434">
          <cell r="C434" t="str">
            <v>PSP</v>
          </cell>
        </row>
        <row r="435">
          <cell r="C435" t="str">
            <v>PSP</v>
          </cell>
        </row>
        <row r="436">
          <cell r="C436" t="str">
            <v>PSS</v>
          </cell>
        </row>
        <row r="437">
          <cell r="C437" t="str">
            <v>PSS</v>
          </cell>
        </row>
        <row r="438">
          <cell r="C438" t="str">
            <v>TODP</v>
          </cell>
        </row>
        <row r="439">
          <cell r="C439" t="str">
            <v>TODP</v>
          </cell>
        </row>
        <row r="440">
          <cell r="C440" t="str">
            <v>TODS</v>
          </cell>
        </row>
        <row r="441">
          <cell r="C441" t="str">
            <v>TODS</v>
          </cell>
        </row>
        <row r="442">
          <cell r="C442" t="str">
            <v>GS3</v>
          </cell>
        </row>
        <row r="443">
          <cell r="C443" t="str">
            <v>GS3</v>
          </cell>
        </row>
        <row r="444">
          <cell r="C444" t="str">
            <v>FLS</v>
          </cell>
          <cell r="K444">
            <v>48026205.778607696</v>
          </cell>
        </row>
        <row r="445">
          <cell r="C445" t="str">
            <v>FLS</v>
          </cell>
        </row>
        <row r="451">
          <cell r="C451" t="str">
            <v>RS</v>
          </cell>
        </row>
        <row r="452">
          <cell r="C452" t="str">
            <v>RS</v>
          </cell>
          <cell r="K452">
            <v>367882886.53898299</v>
          </cell>
        </row>
        <row r="453">
          <cell r="C453" t="str">
            <v>RS</v>
          </cell>
        </row>
        <row r="454">
          <cell r="C454" t="str">
            <v>RS</v>
          </cell>
        </row>
        <row r="455">
          <cell r="C455" t="str">
            <v>RTOD-E</v>
          </cell>
          <cell r="K455">
            <v>22289.760695002704</v>
          </cell>
        </row>
        <row r="456">
          <cell r="C456" t="str">
            <v>RTOD-D</v>
          </cell>
        </row>
        <row r="457">
          <cell r="C457" t="str">
            <v>RS</v>
          </cell>
        </row>
        <row r="458">
          <cell r="C458" t="str">
            <v>RS</v>
          </cell>
        </row>
        <row r="459">
          <cell r="C459" t="str">
            <v>RS</v>
          </cell>
        </row>
        <row r="460">
          <cell r="C460" t="str">
            <v>RS</v>
          </cell>
        </row>
        <row r="461">
          <cell r="C461" t="str">
            <v>RTS</v>
          </cell>
        </row>
        <row r="462">
          <cell r="C462" t="str">
            <v>PSP</v>
          </cell>
          <cell r="K462">
            <v>12893133.489096072</v>
          </cell>
        </row>
        <row r="463">
          <cell r="C463" t="str">
            <v>PSS</v>
          </cell>
        </row>
        <row r="464">
          <cell r="C464" t="str">
            <v>TODP</v>
          </cell>
        </row>
        <row r="465">
          <cell r="C465" t="str">
            <v>PSP</v>
          </cell>
        </row>
        <row r="466">
          <cell r="C466" t="str">
            <v>PSS</v>
          </cell>
        </row>
        <row r="467">
          <cell r="C467" t="str">
            <v>TODP</v>
          </cell>
        </row>
        <row r="468">
          <cell r="C468" t="str">
            <v>TODS</v>
          </cell>
          <cell r="K468">
            <v>125611788.52217272</v>
          </cell>
        </row>
        <row r="469">
          <cell r="C469" t="str">
            <v>TOD</v>
          </cell>
        </row>
        <row r="470">
          <cell r="C470" t="str">
            <v>MPT</v>
          </cell>
        </row>
        <row r="471">
          <cell r="C471" t="str">
            <v>MPP</v>
          </cell>
        </row>
        <row r="472">
          <cell r="C472" t="str">
            <v>LTOD</v>
          </cell>
        </row>
        <row r="473">
          <cell r="C473" t="str">
            <v>LTOD</v>
          </cell>
        </row>
        <row r="474">
          <cell r="C474" t="str">
            <v>MPP PF</v>
          </cell>
        </row>
        <row r="475">
          <cell r="C475" t="str">
            <v>MPT PF</v>
          </cell>
        </row>
        <row r="476">
          <cell r="C476" t="str">
            <v>LEV</v>
          </cell>
        </row>
        <row r="477">
          <cell r="C477" t="str">
            <v>GS</v>
          </cell>
        </row>
        <row r="478">
          <cell r="C478" t="str">
            <v>GS</v>
          </cell>
        </row>
        <row r="479">
          <cell r="C479" t="str">
            <v>GS3</v>
          </cell>
        </row>
        <row r="480">
          <cell r="C480" t="str">
            <v>GS3</v>
          </cell>
        </row>
        <row r="481">
          <cell r="C481" t="str">
            <v>LEV</v>
          </cell>
        </row>
        <row r="482">
          <cell r="C482" t="str">
            <v>CSR</v>
          </cell>
        </row>
        <row r="483">
          <cell r="C483" t="str">
            <v>CSR</v>
          </cell>
        </row>
        <row r="484">
          <cell r="C484" t="str">
            <v>CSR</v>
          </cell>
        </row>
        <row r="485">
          <cell r="C485" t="str">
            <v>CSR</v>
          </cell>
        </row>
        <row r="486">
          <cell r="C486" t="str">
            <v>CSR</v>
          </cell>
        </row>
        <row r="487">
          <cell r="C487" t="str">
            <v>CSR</v>
          </cell>
        </row>
        <row r="488">
          <cell r="C488" t="str">
            <v>CSR</v>
          </cell>
        </row>
        <row r="489">
          <cell r="C489" t="str">
            <v>CSR</v>
          </cell>
        </row>
        <row r="490">
          <cell r="C490" t="str">
            <v>LEV</v>
          </cell>
        </row>
        <row r="491">
          <cell r="C491" t="str">
            <v>LEV</v>
          </cell>
        </row>
        <row r="492">
          <cell r="C492" t="str">
            <v>GS</v>
          </cell>
        </row>
        <row r="493">
          <cell r="C493" t="str">
            <v>PSP</v>
          </cell>
        </row>
        <row r="494">
          <cell r="C494" t="str">
            <v>PSS</v>
          </cell>
        </row>
        <row r="495">
          <cell r="C495" t="str">
            <v>PSS</v>
          </cell>
        </row>
        <row r="496">
          <cell r="C496" t="str">
            <v>PSP</v>
          </cell>
        </row>
        <row r="497">
          <cell r="C497" t="str">
            <v>PSP</v>
          </cell>
        </row>
        <row r="498">
          <cell r="C498" t="str">
            <v>GS</v>
          </cell>
        </row>
        <row r="499">
          <cell r="C499" t="str">
            <v>RS</v>
          </cell>
        </row>
        <row r="500">
          <cell r="C500" t="str">
            <v>RS</v>
          </cell>
        </row>
        <row r="501">
          <cell r="C501" t="str">
            <v>GS</v>
          </cell>
          <cell r="K501">
            <v>56152375.485459454</v>
          </cell>
        </row>
        <row r="502">
          <cell r="C502" t="str">
            <v>GS</v>
          </cell>
        </row>
        <row r="503">
          <cell r="C503" t="str">
            <v>GS3</v>
          </cell>
          <cell r="K503">
            <v>82728907.452432171</v>
          </cell>
        </row>
        <row r="504">
          <cell r="C504" t="str">
            <v>AES</v>
          </cell>
          <cell r="K504">
            <v>572000</v>
          </cell>
        </row>
        <row r="505">
          <cell r="C505" t="str">
            <v>AES</v>
          </cell>
        </row>
        <row r="506">
          <cell r="C506" t="str">
            <v>AES3</v>
          </cell>
          <cell r="K506">
            <v>11631000</v>
          </cell>
        </row>
        <row r="507">
          <cell r="C507" t="str">
            <v>AES3</v>
          </cell>
        </row>
        <row r="508">
          <cell r="C508" t="str">
            <v>AES3</v>
          </cell>
        </row>
        <row r="509">
          <cell r="C509" t="str">
            <v>AES3</v>
          </cell>
        </row>
        <row r="510">
          <cell r="C510" t="str">
            <v>AES3</v>
          </cell>
        </row>
        <row r="511">
          <cell r="C511" t="str">
            <v>AES</v>
          </cell>
        </row>
        <row r="512">
          <cell r="C512" t="str">
            <v>LE</v>
          </cell>
          <cell r="K512">
            <v>35496.612992405004</v>
          </cell>
        </row>
        <row r="513">
          <cell r="C513" t="str">
            <v>LE</v>
          </cell>
        </row>
        <row r="514">
          <cell r="C514" t="str">
            <v>LE</v>
          </cell>
        </row>
        <row r="515">
          <cell r="C515" t="str">
            <v>TE</v>
          </cell>
          <cell r="K515">
            <v>118027.83579471071</v>
          </cell>
        </row>
        <row r="516">
          <cell r="C516" t="str">
            <v>TE</v>
          </cell>
        </row>
        <row r="517">
          <cell r="C517" t="str">
            <v>TE</v>
          </cell>
        </row>
        <row r="518">
          <cell r="C518" t="str">
            <v>RTS</v>
          </cell>
        </row>
        <row r="519">
          <cell r="C519" t="str">
            <v>PSP</v>
          </cell>
        </row>
        <row r="520">
          <cell r="C520" t="str">
            <v>PSS</v>
          </cell>
          <cell r="K520">
            <v>168152223.5840404</v>
          </cell>
        </row>
        <row r="521">
          <cell r="C521" t="str">
            <v>PSP</v>
          </cell>
        </row>
        <row r="522">
          <cell r="C522" t="str">
            <v>PSS</v>
          </cell>
        </row>
        <row r="523">
          <cell r="C523" t="str">
            <v>TODP</v>
          </cell>
          <cell r="K523">
            <v>363394293.0927574</v>
          </cell>
        </row>
        <row r="524">
          <cell r="C524" t="str">
            <v>TODS</v>
          </cell>
        </row>
        <row r="525">
          <cell r="C525" t="str">
            <v>SQF</v>
          </cell>
        </row>
        <row r="526">
          <cell r="C526" t="str">
            <v>SQF</v>
          </cell>
        </row>
        <row r="527">
          <cell r="C527" t="str">
            <v>LQF</v>
          </cell>
        </row>
        <row r="528">
          <cell r="C528" t="str">
            <v>GS</v>
          </cell>
        </row>
        <row r="529">
          <cell r="C529" t="str">
            <v>GS3</v>
          </cell>
        </row>
        <row r="530">
          <cell r="C530" t="str">
            <v>RS</v>
          </cell>
        </row>
        <row r="531">
          <cell r="C531" t="str">
            <v>RS</v>
          </cell>
        </row>
        <row r="532">
          <cell r="C532" t="str">
            <v>CSR</v>
          </cell>
        </row>
        <row r="533">
          <cell r="C533" t="str">
            <v>CSR</v>
          </cell>
        </row>
        <row r="534">
          <cell r="C534" t="str">
            <v>CSR</v>
          </cell>
        </row>
        <row r="535">
          <cell r="C535" t="str">
            <v>CSR</v>
          </cell>
        </row>
        <row r="536">
          <cell r="C536" t="str">
            <v>CSR</v>
          </cell>
        </row>
        <row r="537">
          <cell r="C537" t="str">
            <v>GS</v>
          </cell>
        </row>
        <row r="538">
          <cell r="C538" t="str">
            <v>GS</v>
          </cell>
        </row>
        <row r="539">
          <cell r="C539" t="str">
            <v>GS</v>
          </cell>
        </row>
        <row r="540">
          <cell r="C540" t="str">
            <v>GS</v>
          </cell>
        </row>
        <row r="541">
          <cell r="C541" t="str">
            <v>GS</v>
          </cell>
        </row>
        <row r="542">
          <cell r="C542" t="str">
            <v>GS</v>
          </cell>
        </row>
        <row r="543">
          <cell r="C543" t="str">
            <v>GS</v>
          </cell>
        </row>
        <row r="544">
          <cell r="C544" t="str">
            <v>GS</v>
          </cell>
        </row>
        <row r="545">
          <cell r="C545" t="str">
            <v>GS</v>
          </cell>
        </row>
        <row r="546">
          <cell r="C546" t="str">
            <v>GS</v>
          </cell>
        </row>
        <row r="547">
          <cell r="C547" t="str">
            <v>GS</v>
          </cell>
        </row>
        <row r="548">
          <cell r="C548" t="str">
            <v>GS3</v>
          </cell>
        </row>
        <row r="549">
          <cell r="C549" t="str">
            <v>GS3</v>
          </cell>
        </row>
        <row r="550">
          <cell r="C550" t="str">
            <v>RTS</v>
          </cell>
        </row>
        <row r="551">
          <cell r="C551" t="str">
            <v>RTS</v>
          </cell>
          <cell r="K551">
            <v>136564871.36022782</v>
          </cell>
        </row>
        <row r="552">
          <cell r="C552" t="str">
            <v>PSP</v>
          </cell>
        </row>
        <row r="553">
          <cell r="C553" t="str">
            <v>PSP</v>
          </cell>
        </row>
        <row r="554">
          <cell r="C554" t="str">
            <v>PSS</v>
          </cell>
        </row>
        <row r="555">
          <cell r="C555" t="str">
            <v>PSS</v>
          </cell>
        </row>
        <row r="556">
          <cell r="C556" t="str">
            <v>PSP</v>
          </cell>
        </row>
        <row r="557">
          <cell r="C557" t="str">
            <v>PSP</v>
          </cell>
        </row>
        <row r="558">
          <cell r="C558" t="str">
            <v>PSS</v>
          </cell>
        </row>
        <row r="559">
          <cell r="C559" t="str">
            <v>PSS</v>
          </cell>
        </row>
        <row r="560">
          <cell r="C560" t="str">
            <v>TODP</v>
          </cell>
        </row>
        <row r="561">
          <cell r="C561" t="str">
            <v>TODP</v>
          </cell>
        </row>
        <row r="562">
          <cell r="C562" t="str">
            <v>TODS</v>
          </cell>
        </row>
        <row r="563">
          <cell r="C563" t="str">
            <v>TODS</v>
          </cell>
        </row>
        <row r="564">
          <cell r="C564" t="str">
            <v>GS3</v>
          </cell>
        </row>
        <row r="565">
          <cell r="C565" t="str">
            <v>GS3</v>
          </cell>
        </row>
        <row r="566">
          <cell r="C566" t="str">
            <v>FLS</v>
          </cell>
          <cell r="K566">
            <v>47838801.266908802</v>
          </cell>
        </row>
        <row r="567">
          <cell r="C567" t="str">
            <v>FLS</v>
          </cell>
        </row>
        <row r="573">
          <cell r="C573" t="str">
            <v>RS</v>
          </cell>
        </row>
        <row r="574">
          <cell r="C574" t="str">
            <v>RS</v>
          </cell>
          <cell r="K574">
            <v>373489493.27129209</v>
          </cell>
        </row>
        <row r="575">
          <cell r="C575" t="str">
            <v>RS</v>
          </cell>
        </row>
        <row r="576">
          <cell r="C576" t="str">
            <v>RS</v>
          </cell>
        </row>
        <row r="577">
          <cell r="C577" t="str">
            <v>RTOD-E</v>
          </cell>
          <cell r="K577">
            <v>23136.864862405946</v>
          </cell>
        </row>
        <row r="578">
          <cell r="C578" t="str">
            <v>RTOD-D</v>
          </cell>
        </row>
        <row r="579">
          <cell r="C579" t="str">
            <v>RS</v>
          </cell>
        </row>
        <row r="580">
          <cell r="C580" t="str">
            <v>RS</v>
          </cell>
        </row>
        <row r="581">
          <cell r="C581" t="str">
            <v>RS</v>
          </cell>
        </row>
        <row r="582">
          <cell r="C582" t="str">
            <v>RS</v>
          </cell>
        </row>
        <row r="583">
          <cell r="C583" t="str">
            <v>RTS</v>
          </cell>
        </row>
        <row r="584">
          <cell r="C584" t="str">
            <v>PSP</v>
          </cell>
          <cell r="K584">
            <v>14985331.673928164</v>
          </cell>
        </row>
        <row r="585">
          <cell r="C585" t="str">
            <v>PSS</v>
          </cell>
        </row>
        <row r="586">
          <cell r="C586" t="str">
            <v>TODP</v>
          </cell>
        </row>
        <row r="587">
          <cell r="C587" t="str">
            <v>PSP</v>
          </cell>
        </row>
        <row r="588">
          <cell r="C588" t="str">
            <v>PSS</v>
          </cell>
        </row>
        <row r="589">
          <cell r="C589" t="str">
            <v>TODP</v>
          </cell>
        </row>
        <row r="590">
          <cell r="C590" t="str">
            <v>TODS</v>
          </cell>
          <cell r="K590">
            <v>146207283.5413301</v>
          </cell>
        </row>
        <row r="591">
          <cell r="C591" t="str">
            <v>TOD</v>
          </cell>
        </row>
        <row r="592">
          <cell r="C592" t="str">
            <v>MPT</v>
          </cell>
        </row>
        <row r="593">
          <cell r="C593" t="str">
            <v>MPP</v>
          </cell>
        </row>
        <row r="594">
          <cell r="C594" t="str">
            <v>LTOD</v>
          </cell>
        </row>
        <row r="595">
          <cell r="C595" t="str">
            <v>LTOD</v>
          </cell>
        </row>
        <row r="596">
          <cell r="C596" t="str">
            <v>MPP PF</v>
          </cell>
        </row>
        <row r="597">
          <cell r="C597" t="str">
            <v>MPT PF</v>
          </cell>
        </row>
        <row r="598">
          <cell r="C598" t="str">
            <v>LEV</v>
          </cell>
        </row>
        <row r="599">
          <cell r="C599" t="str">
            <v>GS</v>
          </cell>
        </row>
        <row r="600">
          <cell r="C600" t="str">
            <v>GS</v>
          </cell>
        </row>
        <row r="601">
          <cell r="C601" t="str">
            <v>GS3</v>
          </cell>
        </row>
        <row r="602">
          <cell r="C602" t="str">
            <v>GS3</v>
          </cell>
        </row>
        <row r="603">
          <cell r="C603" t="str">
            <v>LEV</v>
          </cell>
        </row>
        <row r="604">
          <cell r="C604" t="str">
            <v>CSR</v>
          </cell>
        </row>
        <row r="605">
          <cell r="C605" t="str">
            <v>CSR</v>
          </cell>
        </row>
        <row r="606">
          <cell r="C606" t="str">
            <v>CSR</v>
          </cell>
        </row>
        <row r="607">
          <cell r="C607" t="str">
            <v>CSR</v>
          </cell>
        </row>
        <row r="608">
          <cell r="C608" t="str">
            <v>CSR</v>
          </cell>
        </row>
        <row r="609">
          <cell r="C609" t="str">
            <v>CSR</v>
          </cell>
        </row>
        <row r="610">
          <cell r="C610" t="str">
            <v>CSR</v>
          </cell>
        </row>
        <row r="611">
          <cell r="C611" t="str">
            <v>CSR</v>
          </cell>
        </row>
        <row r="612">
          <cell r="C612" t="str">
            <v>LEV</v>
          </cell>
        </row>
        <row r="613">
          <cell r="C613" t="str">
            <v>LEV</v>
          </cell>
        </row>
        <row r="614">
          <cell r="C614" t="str">
            <v>GS</v>
          </cell>
        </row>
        <row r="615">
          <cell r="C615" t="str">
            <v>PSP</v>
          </cell>
        </row>
        <row r="616">
          <cell r="C616" t="str">
            <v>PSS</v>
          </cell>
        </row>
        <row r="617">
          <cell r="C617" t="str">
            <v>PSS</v>
          </cell>
        </row>
        <row r="618">
          <cell r="C618" t="str">
            <v>PSP</v>
          </cell>
        </row>
        <row r="619">
          <cell r="C619" t="str">
            <v>PSP</v>
          </cell>
        </row>
        <row r="620">
          <cell r="C620" t="str">
            <v>GS</v>
          </cell>
        </row>
        <row r="621">
          <cell r="C621" t="str">
            <v>RS</v>
          </cell>
        </row>
        <row r="622">
          <cell r="C622" t="str">
            <v>RS</v>
          </cell>
        </row>
        <row r="623">
          <cell r="C623" t="str">
            <v>GS</v>
          </cell>
          <cell r="K623">
            <v>63599546.024280377</v>
          </cell>
        </row>
        <row r="624">
          <cell r="C624" t="str">
            <v>GS</v>
          </cell>
        </row>
        <row r="625">
          <cell r="C625" t="str">
            <v>GS3</v>
          </cell>
          <cell r="K625">
            <v>95195283.442038551</v>
          </cell>
        </row>
        <row r="626">
          <cell r="C626" t="str">
            <v>AES</v>
          </cell>
          <cell r="K626">
            <v>558000</v>
          </cell>
        </row>
        <row r="627">
          <cell r="C627" t="str">
            <v>AES</v>
          </cell>
        </row>
        <row r="628">
          <cell r="C628" t="str">
            <v>AES3</v>
          </cell>
          <cell r="K628">
            <v>11338000</v>
          </cell>
        </row>
        <row r="629">
          <cell r="C629" t="str">
            <v>AES3</v>
          </cell>
        </row>
        <row r="630">
          <cell r="C630" t="str">
            <v>AES3</v>
          </cell>
        </row>
        <row r="631">
          <cell r="C631" t="str">
            <v>AES3</v>
          </cell>
        </row>
        <row r="632">
          <cell r="C632" t="str">
            <v>AES3</v>
          </cell>
        </row>
        <row r="633">
          <cell r="C633" t="str">
            <v>AES</v>
          </cell>
        </row>
        <row r="634">
          <cell r="C634" t="str">
            <v>LE</v>
          </cell>
          <cell r="K634">
            <v>38646.939579554142</v>
          </cell>
        </row>
        <row r="635">
          <cell r="C635" t="str">
            <v>LE</v>
          </cell>
        </row>
        <row r="636">
          <cell r="C636" t="str">
            <v>LE</v>
          </cell>
        </row>
        <row r="637">
          <cell r="C637" t="str">
            <v>TE</v>
          </cell>
          <cell r="K637">
            <v>122387.2269268934</v>
          </cell>
        </row>
        <row r="638">
          <cell r="C638" t="str">
            <v>TE</v>
          </cell>
        </row>
        <row r="639">
          <cell r="C639" t="str">
            <v>TE</v>
          </cell>
        </row>
        <row r="640">
          <cell r="C640" t="str">
            <v>RTS</v>
          </cell>
        </row>
        <row r="641">
          <cell r="C641" t="str">
            <v>PSP</v>
          </cell>
        </row>
        <row r="642">
          <cell r="C642" t="str">
            <v>PSS</v>
          </cell>
          <cell r="K642">
            <v>193182125.90242544</v>
          </cell>
        </row>
        <row r="643">
          <cell r="C643" t="str">
            <v>PSP</v>
          </cell>
        </row>
        <row r="644">
          <cell r="C644" t="str">
            <v>PSS</v>
          </cell>
        </row>
        <row r="645">
          <cell r="C645" t="str">
            <v>TODP</v>
          </cell>
          <cell r="K645">
            <v>376654323.88324076</v>
          </cell>
        </row>
        <row r="646">
          <cell r="C646" t="str">
            <v>TODS</v>
          </cell>
        </row>
        <row r="647">
          <cell r="C647" t="str">
            <v>SQF</v>
          </cell>
        </row>
        <row r="648">
          <cell r="C648" t="str">
            <v>SQF</v>
          </cell>
        </row>
        <row r="649">
          <cell r="C649" t="str">
            <v>LQF</v>
          </cell>
        </row>
        <row r="650">
          <cell r="C650" t="str">
            <v>GS</v>
          </cell>
        </row>
        <row r="651">
          <cell r="C651" t="str">
            <v>GS3</v>
          </cell>
        </row>
        <row r="652">
          <cell r="C652" t="str">
            <v>RS</v>
          </cell>
        </row>
        <row r="653">
          <cell r="C653" t="str">
            <v>RS</v>
          </cell>
        </row>
        <row r="654">
          <cell r="C654" t="str">
            <v>CSR</v>
          </cell>
        </row>
        <row r="655">
          <cell r="C655" t="str">
            <v>CSR</v>
          </cell>
        </row>
        <row r="656">
          <cell r="C656" t="str">
            <v>CSR</v>
          </cell>
        </row>
        <row r="657">
          <cell r="C657" t="str">
            <v>CSR</v>
          </cell>
        </row>
        <row r="658">
          <cell r="C658" t="str">
            <v>CSR</v>
          </cell>
        </row>
        <row r="659">
          <cell r="C659" t="str">
            <v>GS</v>
          </cell>
        </row>
        <row r="660">
          <cell r="C660" t="str">
            <v>GS</v>
          </cell>
        </row>
        <row r="661">
          <cell r="C661" t="str">
            <v>GS</v>
          </cell>
        </row>
        <row r="662">
          <cell r="C662" t="str">
            <v>GS</v>
          </cell>
        </row>
        <row r="663">
          <cell r="C663" t="str">
            <v>GS</v>
          </cell>
        </row>
        <row r="664">
          <cell r="C664" t="str">
            <v>GS</v>
          </cell>
        </row>
        <row r="665">
          <cell r="C665" t="str">
            <v>GS</v>
          </cell>
        </row>
        <row r="666">
          <cell r="C666" t="str">
            <v>GS</v>
          </cell>
        </row>
        <row r="667">
          <cell r="C667" t="str">
            <v>GS</v>
          </cell>
        </row>
        <row r="668">
          <cell r="C668" t="str">
            <v>GS</v>
          </cell>
        </row>
        <row r="669">
          <cell r="C669" t="str">
            <v>GS</v>
          </cell>
        </row>
        <row r="670">
          <cell r="C670" t="str">
            <v>GS3</v>
          </cell>
        </row>
        <row r="671">
          <cell r="C671" t="str">
            <v>GS3</v>
          </cell>
        </row>
        <row r="672">
          <cell r="C672" t="str">
            <v>RTS</v>
          </cell>
        </row>
        <row r="673">
          <cell r="C673" t="str">
            <v>RTS</v>
          </cell>
          <cell r="K673">
            <v>132425398.58144915</v>
          </cell>
        </row>
        <row r="674">
          <cell r="C674" t="str">
            <v>PSP</v>
          </cell>
        </row>
        <row r="675">
          <cell r="C675" t="str">
            <v>PSP</v>
          </cell>
        </row>
        <row r="676">
          <cell r="C676" t="str">
            <v>PSS</v>
          </cell>
        </row>
        <row r="677">
          <cell r="C677" t="str">
            <v>PSS</v>
          </cell>
        </row>
        <row r="678">
          <cell r="C678" t="str">
            <v>PSP</v>
          </cell>
        </row>
        <row r="679">
          <cell r="C679" t="str">
            <v>PSP</v>
          </cell>
        </row>
        <row r="680">
          <cell r="C680" t="str">
            <v>PSS</v>
          </cell>
        </row>
        <row r="681">
          <cell r="C681" t="str">
            <v>PSS</v>
          </cell>
        </row>
        <row r="682">
          <cell r="C682" t="str">
            <v>TODP</v>
          </cell>
        </row>
        <row r="683">
          <cell r="C683" t="str">
            <v>TODP</v>
          </cell>
        </row>
        <row r="684">
          <cell r="C684" t="str">
            <v>TODS</v>
          </cell>
        </row>
        <row r="685">
          <cell r="C685" t="str">
            <v>TODS</v>
          </cell>
        </row>
        <row r="686">
          <cell r="C686" t="str">
            <v>GS3</v>
          </cell>
        </row>
        <row r="687">
          <cell r="C687" t="str">
            <v>GS3</v>
          </cell>
        </row>
        <row r="688">
          <cell r="C688" t="str">
            <v>FLS</v>
          </cell>
          <cell r="K688">
            <v>45150238.919397302</v>
          </cell>
        </row>
        <row r="689">
          <cell r="C689" t="str">
            <v>FLS</v>
          </cell>
        </row>
        <row r="695">
          <cell r="C695" t="str">
            <v>RS</v>
          </cell>
        </row>
        <row r="696">
          <cell r="C696" t="str">
            <v>RS</v>
          </cell>
          <cell r="K696">
            <v>465315109.07475817</v>
          </cell>
        </row>
        <row r="697">
          <cell r="C697" t="str">
            <v>RS</v>
          </cell>
        </row>
        <row r="698">
          <cell r="C698" t="str">
            <v>RS</v>
          </cell>
        </row>
        <row r="699">
          <cell r="C699" t="str">
            <v>RTOD-E</v>
          </cell>
          <cell r="K699">
            <v>29419.246569606992</v>
          </cell>
        </row>
        <row r="700">
          <cell r="C700" t="str">
            <v>RTOD-D</v>
          </cell>
        </row>
        <row r="701">
          <cell r="C701" t="str">
            <v>RS</v>
          </cell>
        </row>
        <row r="702">
          <cell r="C702" t="str">
            <v>RS</v>
          </cell>
        </row>
        <row r="703">
          <cell r="C703" t="str">
            <v>RS</v>
          </cell>
        </row>
        <row r="704">
          <cell r="C704" t="str">
            <v>RS</v>
          </cell>
        </row>
        <row r="705">
          <cell r="C705" t="str">
            <v>RTS</v>
          </cell>
        </row>
        <row r="706">
          <cell r="C706" t="str">
            <v>PSP</v>
          </cell>
          <cell r="K706">
            <v>15532137.067350149</v>
          </cell>
        </row>
        <row r="707">
          <cell r="C707" t="str">
            <v>PSS</v>
          </cell>
        </row>
        <row r="708">
          <cell r="C708" t="str">
            <v>TODP</v>
          </cell>
        </row>
        <row r="709">
          <cell r="C709" t="str">
            <v>PSP</v>
          </cell>
        </row>
        <row r="710">
          <cell r="C710" t="str">
            <v>PSS</v>
          </cell>
        </row>
        <row r="711">
          <cell r="C711" t="str">
            <v>TODP</v>
          </cell>
        </row>
        <row r="712">
          <cell r="C712" t="str">
            <v>TODS</v>
          </cell>
          <cell r="K712">
            <v>153064097.49079764</v>
          </cell>
        </row>
        <row r="713">
          <cell r="C713" t="str">
            <v>TOD</v>
          </cell>
        </row>
        <row r="714">
          <cell r="C714" t="str">
            <v>MPT</v>
          </cell>
        </row>
        <row r="715">
          <cell r="C715" t="str">
            <v>MPP</v>
          </cell>
        </row>
        <row r="716">
          <cell r="C716" t="str">
            <v>LTOD</v>
          </cell>
        </row>
        <row r="717">
          <cell r="C717" t="str">
            <v>LTOD</v>
          </cell>
        </row>
        <row r="718">
          <cell r="C718" t="str">
            <v>MPP PF</v>
          </cell>
        </row>
        <row r="719">
          <cell r="C719" t="str">
            <v>MPT PF</v>
          </cell>
        </row>
        <row r="720">
          <cell r="C720" t="str">
            <v>LEV</v>
          </cell>
        </row>
        <row r="721">
          <cell r="C721" t="str">
            <v>GS</v>
          </cell>
        </row>
        <row r="722">
          <cell r="C722" t="str">
            <v>GS</v>
          </cell>
        </row>
        <row r="723">
          <cell r="C723" t="str">
            <v>GS3</v>
          </cell>
        </row>
        <row r="724">
          <cell r="C724" t="str">
            <v>GS3</v>
          </cell>
        </row>
        <row r="725">
          <cell r="C725" t="str">
            <v>LEV</v>
          </cell>
        </row>
        <row r="726">
          <cell r="C726" t="str">
            <v>CSR</v>
          </cell>
        </row>
        <row r="727">
          <cell r="C727" t="str">
            <v>CSR</v>
          </cell>
        </row>
        <row r="728">
          <cell r="C728" t="str">
            <v>CSR</v>
          </cell>
        </row>
        <row r="729">
          <cell r="C729" t="str">
            <v>CSR</v>
          </cell>
        </row>
        <row r="730">
          <cell r="C730" t="str">
            <v>CSR</v>
          </cell>
        </row>
        <row r="731">
          <cell r="C731" t="str">
            <v>CSR</v>
          </cell>
        </row>
        <row r="732">
          <cell r="C732" t="str">
            <v>CSR</v>
          </cell>
        </row>
        <row r="733">
          <cell r="C733" t="str">
            <v>CSR</v>
          </cell>
        </row>
        <row r="734">
          <cell r="C734" t="str">
            <v>LEV</v>
          </cell>
        </row>
        <row r="735">
          <cell r="C735" t="str">
            <v>LEV</v>
          </cell>
        </row>
        <row r="736">
          <cell r="C736" t="str">
            <v>GS</v>
          </cell>
        </row>
        <row r="737">
          <cell r="C737" t="str">
            <v>PSP</v>
          </cell>
        </row>
        <row r="738">
          <cell r="C738" t="str">
            <v>PSS</v>
          </cell>
        </row>
        <row r="739">
          <cell r="C739" t="str">
            <v>PSS</v>
          </cell>
        </row>
        <row r="740">
          <cell r="C740" t="str">
            <v>PSP</v>
          </cell>
        </row>
        <row r="741">
          <cell r="C741" t="str">
            <v>PSP</v>
          </cell>
        </row>
        <row r="742">
          <cell r="C742" t="str">
            <v>GS</v>
          </cell>
        </row>
        <row r="743">
          <cell r="C743" t="str">
            <v>RS</v>
          </cell>
        </row>
        <row r="744">
          <cell r="C744" t="str">
            <v>RS</v>
          </cell>
        </row>
        <row r="745">
          <cell r="C745" t="str">
            <v>GS</v>
          </cell>
          <cell r="K745">
            <v>69693903.604106724</v>
          </cell>
        </row>
        <row r="746">
          <cell r="C746" t="str">
            <v>GS</v>
          </cell>
        </row>
        <row r="747">
          <cell r="C747" t="str">
            <v>GS3</v>
          </cell>
          <cell r="K747">
            <v>101721168.49297555</v>
          </cell>
        </row>
        <row r="748">
          <cell r="C748" t="str">
            <v>AES</v>
          </cell>
          <cell r="K748">
            <v>561000</v>
          </cell>
        </row>
        <row r="749">
          <cell r="C749" t="str">
            <v>AES</v>
          </cell>
        </row>
        <row r="750">
          <cell r="C750" t="str">
            <v>AES3</v>
          </cell>
          <cell r="K750">
            <v>11406000</v>
          </cell>
        </row>
        <row r="751">
          <cell r="C751" t="str">
            <v>AES3</v>
          </cell>
        </row>
        <row r="752">
          <cell r="C752" t="str">
            <v>AES3</v>
          </cell>
        </row>
        <row r="753">
          <cell r="C753" t="str">
            <v>AES3</v>
          </cell>
        </row>
        <row r="754">
          <cell r="C754" t="str">
            <v>AES3</v>
          </cell>
        </row>
        <row r="755">
          <cell r="C755" t="str">
            <v>AES</v>
          </cell>
        </row>
        <row r="756">
          <cell r="C756" t="str">
            <v>LE</v>
          </cell>
          <cell r="K756">
            <v>33106.414074477398</v>
          </cell>
        </row>
        <row r="757">
          <cell r="C757" t="str">
            <v>LE</v>
          </cell>
        </row>
        <row r="758">
          <cell r="C758" t="str">
            <v>LE</v>
          </cell>
        </row>
        <row r="759">
          <cell r="C759" t="str">
            <v>TE</v>
          </cell>
          <cell r="K759">
            <v>119265.43403866269</v>
          </cell>
        </row>
        <row r="760">
          <cell r="C760" t="str">
            <v>TE</v>
          </cell>
        </row>
        <row r="761">
          <cell r="C761" t="str">
            <v>TE</v>
          </cell>
        </row>
        <row r="762">
          <cell r="C762" t="str">
            <v>RTS</v>
          </cell>
        </row>
        <row r="763">
          <cell r="C763" t="str">
            <v>PSP</v>
          </cell>
        </row>
        <row r="764">
          <cell r="C764" t="str">
            <v>PSS</v>
          </cell>
          <cell r="K764">
            <v>199907571.76098618</v>
          </cell>
        </row>
        <row r="765">
          <cell r="C765" t="str">
            <v>PSP</v>
          </cell>
        </row>
        <row r="766">
          <cell r="C766" t="str">
            <v>PSS</v>
          </cell>
        </row>
        <row r="767">
          <cell r="C767" t="str">
            <v>TODP</v>
          </cell>
          <cell r="K767">
            <v>379899181.28394741</v>
          </cell>
        </row>
        <row r="768">
          <cell r="C768" t="str">
            <v>TODS</v>
          </cell>
        </row>
        <row r="769">
          <cell r="C769" t="str">
            <v>SQF</v>
          </cell>
        </row>
        <row r="770">
          <cell r="C770" t="str">
            <v>SQF</v>
          </cell>
        </row>
        <row r="771">
          <cell r="C771" t="str">
            <v>LQF</v>
          </cell>
        </row>
        <row r="772">
          <cell r="C772" t="str">
            <v>GS</v>
          </cell>
        </row>
        <row r="773">
          <cell r="C773" t="str">
            <v>GS3</v>
          </cell>
        </row>
        <row r="774">
          <cell r="C774" t="str">
            <v>RS</v>
          </cell>
        </row>
        <row r="775">
          <cell r="C775" t="str">
            <v>RS</v>
          </cell>
        </row>
        <row r="776">
          <cell r="C776" t="str">
            <v>CSR</v>
          </cell>
        </row>
        <row r="777">
          <cell r="C777" t="str">
            <v>CSR</v>
          </cell>
        </row>
        <row r="778">
          <cell r="C778" t="str">
            <v>CSR</v>
          </cell>
        </row>
        <row r="779">
          <cell r="C779" t="str">
            <v>CSR</v>
          </cell>
        </row>
        <row r="780">
          <cell r="C780" t="str">
            <v>CSR</v>
          </cell>
        </row>
        <row r="781">
          <cell r="C781" t="str">
            <v>GS</v>
          </cell>
        </row>
        <row r="782">
          <cell r="C782" t="str">
            <v>GS</v>
          </cell>
        </row>
        <row r="783">
          <cell r="C783" t="str">
            <v>GS</v>
          </cell>
        </row>
        <row r="784">
          <cell r="C784" t="str">
            <v>GS</v>
          </cell>
        </row>
        <row r="785">
          <cell r="C785" t="str">
            <v>GS</v>
          </cell>
        </row>
        <row r="786">
          <cell r="C786" t="str">
            <v>GS</v>
          </cell>
        </row>
        <row r="787">
          <cell r="C787" t="str">
            <v>GS</v>
          </cell>
        </row>
        <row r="788">
          <cell r="C788" t="str">
            <v>GS</v>
          </cell>
        </row>
        <row r="789">
          <cell r="C789" t="str">
            <v>GS</v>
          </cell>
        </row>
        <row r="790">
          <cell r="C790" t="str">
            <v>GS</v>
          </cell>
        </row>
        <row r="791">
          <cell r="C791" t="str">
            <v>GS</v>
          </cell>
        </row>
        <row r="792">
          <cell r="C792" t="str">
            <v>GS3</v>
          </cell>
        </row>
        <row r="793">
          <cell r="C793" t="str">
            <v>GS3</v>
          </cell>
        </row>
        <row r="794">
          <cell r="C794" t="str">
            <v>RTS</v>
          </cell>
        </row>
        <row r="795">
          <cell r="C795" t="str">
            <v>RTS</v>
          </cell>
          <cell r="K795">
            <v>116337251.81426908</v>
          </cell>
        </row>
        <row r="796">
          <cell r="C796" t="str">
            <v>PSP</v>
          </cell>
        </row>
        <row r="797">
          <cell r="C797" t="str">
            <v>PSP</v>
          </cell>
        </row>
        <row r="798">
          <cell r="C798" t="str">
            <v>PSS</v>
          </cell>
        </row>
        <row r="799">
          <cell r="C799" t="str">
            <v>PSS</v>
          </cell>
        </row>
        <row r="800">
          <cell r="C800" t="str">
            <v>PSP</v>
          </cell>
        </row>
        <row r="801">
          <cell r="C801" t="str">
            <v>PSP</v>
          </cell>
        </row>
        <row r="802">
          <cell r="C802" t="str">
            <v>PSS</v>
          </cell>
        </row>
        <row r="803">
          <cell r="C803" t="str">
            <v>PSS</v>
          </cell>
        </row>
        <row r="804">
          <cell r="C804" t="str">
            <v>TODP</v>
          </cell>
        </row>
        <row r="805">
          <cell r="C805" t="str">
            <v>TODP</v>
          </cell>
        </row>
        <row r="806">
          <cell r="C806" t="str">
            <v>TODS</v>
          </cell>
        </row>
        <row r="807">
          <cell r="C807" t="str">
            <v>TODS</v>
          </cell>
        </row>
        <row r="808">
          <cell r="C808" t="str">
            <v>GS3</v>
          </cell>
        </row>
        <row r="809">
          <cell r="C809" t="str">
            <v>GS3</v>
          </cell>
        </row>
        <row r="810">
          <cell r="C810" t="str">
            <v>FLS</v>
          </cell>
          <cell r="K810">
            <v>45065423.071025401</v>
          </cell>
        </row>
        <row r="811">
          <cell r="C811" t="str">
            <v>FLS</v>
          </cell>
        </row>
        <row r="817">
          <cell r="C817" t="str">
            <v>RS</v>
          </cell>
        </row>
        <row r="818">
          <cell r="C818" t="str">
            <v>RS</v>
          </cell>
          <cell r="K818">
            <v>556162998.52850509</v>
          </cell>
        </row>
        <row r="819">
          <cell r="C819" t="str">
            <v>RS</v>
          </cell>
        </row>
        <row r="820">
          <cell r="C820" t="str">
            <v>RS</v>
          </cell>
        </row>
        <row r="821">
          <cell r="C821" t="str">
            <v>RTOD-E</v>
          </cell>
          <cell r="K821">
            <v>27075.944299446401</v>
          </cell>
        </row>
        <row r="822">
          <cell r="C822" t="str">
            <v>RTOD-D</v>
          </cell>
        </row>
        <row r="823">
          <cell r="C823" t="str">
            <v>RS</v>
          </cell>
        </row>
        <row r="824">
          <cell r="C824" t="str">
            <v>RS</v>
          </cell>
        </row>
        <row r="825">
          <cell r="C825" t="str">
            <v>RS</v>
          </cell>
        </row>
        <row r="826">
          <cell r="C826" t="str">
            <v>RS</v>
          </cell>
        </row>
        <row r="827">
          <cell r="C827" t="str">
            <v>RTS</v>
          </cell>
        </row>
        <row r="828">
          <cell r="C828" t="str">
            <v>PSP</v>
          </cell>
          <cell r="K828">
            <v>15665945.619956572</v>
          </cell>
        </row>
        <row r="829">
          <cell r="C829" t="str">
            <v>PSS</v>
          </cell>
        </row>
        <row r="830">
          <cell r="C830" t="str">
            <v>TODP</v>
          </cell>
        </row>
        <row r="831">
          <cell r="C831" t="str">
            <v>PSP</v>
          </cell>
        </row>
        <row r="832">
          <cell r="C832" t="str">
            <v>PSS</v>
          </cell>
        </row>
        <row r="833">
          <cell r="C833" t="str">
            <v>TODP</v>
          </cell>
        </row>
        <row r="834">
          <cell r="C834" t="str">
            <v>TODS</v>
          </cell>
          <cell r="K834">
            <v>148685179.84497198</v>
          </cell>
        </row>
        <row r="835">
          <cell r="C835" t="str">
            <v>TOD</v>
          </cell>
        </row>
        <row r="836">
          <cell r="C836" t="str">
            <v>MPT</v>
          </cell>
        </row>
        <row r="837">
          <cell r="C837" t="str">
            <v>MPP</v>
          </cell>
        </row>
        <row r="838">
          <cell r="C838" t="str">
            <v>LTOD</v>
          </cell>
        </row>
        <row r="839">
          <cell r="C839" t="str">
            <v>LTOD</v>
          </cell>
        </row>
        <row r="840">
          <cell r="C840" t="str">
            <v>MPP PF</v>
          </cell>
        </row>
        <row r="841">
          <cell r="C841" t="str">
            <v>MPT PF</v>
          </cell>
        </row>
        <row r="842">
          <cell r="C842" t="str">
            <v>LEV</v>
          </cell>
        </row>
        <row r="843">
          <cell r="C843" t="str">
            <v>GS</v>
          </cell>
        </row>
        <row r="844">
          <cell r="C844" t="str">
            <v>GS</v>
          </cell>
        </row>
        <row r="845">
          <cell r="C845" t="str">
            <v>GS3</v>
          </cell>
        </row>
        <row r="846">
          <cell r="C846" t="str">
            <v>GS3</v>
          </cell>
        </row>
        <row r="847">
          <cell r="C847" t="str">
            <v>LEV</v>
          </cell>
        </row>
        <row r="848">
          <cell r="C848" t="str">
            <v>CSR</v>
          </cell>
        </row>
        <row r="849">
          <cell r="C849" t="str">
            <v>CSR</v>
          </cell>
        </row>
        <row r="850">
          <cell r="C850" t="str">
            <v>CSR</v>
          </cell>
        </row>
        <row r="851">
          <cell r="C851" t="str">
            <v>CSR</v>
          </cell>
        </row>
        <row r="852">
          <cell r="C852" t="str">
            <v>CSR</v>
          </cell>
        </row>
        <row r="853">
          <cell r="C853" t="str">
            <v>CSR</v>
          </cell>
        </row>
        <row r="854">
          <cell r="C854" t="str">
            <v>CSR</v>
          </cell>
        </row>
        <row r="855">
          <cell r="C855" t="str">
            <v>CSR</v>
          </cell>
        </row>
        <row r="856">
          <cell r="C856" t="str">
            <v>LEV</v>
          </cell>
        </row>
        <row r="857">
          <cell r="C857" t="str">
            <v>LEV</v>
          </cell>
        </row>
        <row r="858">
          <cell r="C858" t="str">
            <v>GS</v>
          </cell>
        </row>
        <row r="859">
          <cell r="C859" t="str">
            <v>PSP</v>
          </cell>
        </row>
        <row r="860">
          <cell r="C860" t="str">
            <v>PSS</v>
          </cell>
        </row>
        <row r="861">
          <cell r="C861" t="str">
            <v>PSS</v>
          </cell>
        </row>
        <row r="862">
          <cell r="C862" t="str">
            <v>PSP</v>
          </cell>
        </row>
        <row r="863">
          <cell r="C863" t="str">
            <v>PSP</v>
          </cell>
        </row>
        <row r="864">
          <cell r="C864" t="str">
            <v>GS</v>
          </cell>
        </row>
        <row r="865">
          <cell r="C865" t="str">
            <v>RS</v>
          </cell>
        </row>
        <row r="866">
          <cell r="C866" t="str">
            <v>RS</v>
          </cell>
        </row>
        <row r="867">
          <cell r="C867" t="str">
            <v>GS</v>
          </cell>
          <cell r="K867">
            <v>71190036.833182618</v>
          </cell>
        </row>
        <row r="868">
          <cell r="C868" t="str">
            <v>GS</v>
          </cell>
        </row>
        <row r="869">
          <cell r="C869" t="str">
            <v>GS3</v>
          </cell>
          <cell r="K869">
            <v>103949887.8395537</v>
          </cell>
        </row>
        <row r="870">
          <cell r="C870" t="str">
            <v>AES</v>
          </cell>
          <cell r="K870">
            <v>565000</v>
          </cell>
        </row>
        <row r="871">
          <cell r="C871" t="str">
            <v>AES</v>
          </cell>
        </row>
        <row r="872">
          <cell r="C872" t="str">
            <v>AES3</v>
          </cell>
          <cell r="K872">
            <v>11472000</v>
          </cell>
        </row>
        <row r="873">
          <cell r="C873" t="str">
            <v>AES3</v>
          </cell>
        </row>
        <row r="874">
          <cell r="C874" t="str">
            <v>AES3</v>
          </cell>
        </row>
        <row r="875">
          <cell r="C875" t="str">
            <v>AES3</v>
          </cell>
        </row>
        <row r="876">
          <cell r="C876" t="str">
            <v>AES3</v>
          </cell>
        </row>
        <row r="877">
          <cell r="C877" t="str">
            <v>AES</v>
          </cell>
        </row>
        <row r="878">
          <cell r="C878" t="str">
            <v>LE</v>
          </cell>
          <cell r="K878">
            <v>37369.097054274018</v>
          </cell>
        </row>
        <row r="879">
          <cell r="C879" t="str">
            <v>LE</v>
          </cell>
        </row>
        <row r="880">
          <cell r="C880" t="str">
            <v>LE</v>
          </cell>
        </row>
        <row r="881">
          <cell r="C881" t="str">
            <v>TE</v>
          </cell>
          <cell r="K881">
            <v>116512.01135184469</v>
          </cell>
        </row>
        <row r="882">
          <cell r="C882" t="str">
            <v>TE</v>
          </cell>
        </row>
        <row r="883">
          <cell r="C883" t="str">
            <v>TE</v>
          </cell>
        </row>
        <row r="884">
          <cell r="C884" t="str">
            <v>RTS</v>
          </cell>
        </row>
        <row r="885">
          <cell r="C885" t="str">
            <v>PSP</v>
          </cell>
        </row>
        <row r="886">
          <cell r="C886" t="str">
            <v>PSS</v>
          </cell>
          <cell r="K886">
            <v>206745987.73112172</v>
          </cell>
        </row>
        <row r="887">
          <cell r="C887" t="str">
            <v>PSP</v>
          </cell>
        </row>
        <row r="888">
          <cell r="C888" t="str">
            <v>PSS</v>
          </cell>
        </row>
        <row r="889">
          <cell r="C889" t="str">
            <v>TODP</v>
          </cell>
          <cell r="K889">
            <v>381512521.33969343</v>
          </cell>
        </row>
        <row r="890">
          <cell r="C890" t="str">
            <v>TODS</v>
          </cell>
        </row>
        <row r="891">
          <cell r="C891" t="str">
            <v>SQF</v>
          </cell>
        </row>
        <row r="892">
          <cell r="C892" t="str">
            <v>SQF</v>
          </cell>
        </row>
        <row r="893">
          <cell r="C893" t="str">
            <v>LQF</v>
          </cell>
        </row>
        <row r="894">
          <cell r="C894" t="str">
            <v>GS</v>
          </cell>
        </row>
        <row r="895">
          <cell r="C895" t="str">
            <v>GS3</v>
          </cell>
        </row>
        <row r="896">
          <cell r="C896" t="str">
            <v>RS</v>
          </cell>
        </row>
        <row r="897">
          <cell r="C897" t="str">
            <v>RS</v>
          </cell>
        </row>
        <row r="898">
          <cell r="C898" t="str">
            <v>CSR</v>
          </cell>
        </row>
        <row r="899">
          <cell r="C899" t="str">
            <v>CSR</v>
          </cell>
        </row>
        <row r="900">
          <cell r="C900" t="str">
            <v>CSR</v>
          </cell>
        </row>
        <row r="901">
          <cell r="C901" t="str">
            <v>CSR</v>
          </cell>
        </row>
        <row r="902">
          <cell r="C902" t="str">
            <v>CSR</v>
          </cell>
        </row>
        <row r="903">
          <cell r="C903" t="str">
            <v>GS</v>
          </cell>
        </row>
        <row r="904">
          <cell r="C904" t="str">
            <v>GS</v>
          </cell>
        </row>
        <row r="905">
          <cell r="C905" t="str">
            <v>GS</v>
          </cell>
        </row>
        <row r="906">
          <cell r="C906" t="str">
            <v>GS</v>
          </cell>
        </row>
        <row r="907">
          <cell r="C907" t="str">
            <v>GS</v>
          </cell>
        </row>
        <row r="908">
          <cell r="C908" t="str">
            <v>GS</v>
          </cell>
        </row>
        <row r="909">
          <cell r="C909" t="str">
            <v>GS</v>
          </cell>
        </row>
        <row r="910">
          <cell r="C910" t="str">
            <v>GS</v>
          </cell>
        </row>
        <row r="911">
          <cell r="C911" t="str">
            <v>GS</v>
          </cell>
        </row>
        <row r="912">
          <cell r="C912" t="str">
            <v>GS</v>
          </cell>
        </row>
        <row r="913">
          <cell r="C913" t="str">
            <v>GS</v>
          </cell>
        </row>
        <row r="914">
          <cell r="C914" t="str">
            <v>GS3</v>
          </cell>
        </row>
        <row r="915">
          <cell r="C915" t="str">
            <v>GS3</v>
          </cell>
        </row>
        <row r="916">
          <cell r="C916" t="str">
            <v>RTS</v>
          </cell>
        </row>
        <row r="917">
          <cell r="C917" t="str">
            <v>RTS</v>
          </cell>
          <cell r="K917">
            <v>129687063.75810871</v>
          </cell>
        </row>
        <row r="918">
          <cell r="C918" t="str">
            <v>PSP</v>
          </cell>
        </row>
        <row r="919">
          <cell r="C919" t="str">
            <v>PSP</v>
          </cell>
        </row>
        <row r="920">
          <cell r="C920" t="str">
            <v>PSS</v>
          </cell>
        </row>
        <row r="921">
          <cell r="C921" t="str">
            <v>PSS</v>
          </cell>
        </row>
        <row r="922">
          <cell r="C922" t="str">
            <v>PSP</v>
          </cell>
        </row>
        <row r="923">
          <cell r="C923" t="str">
            <v>PSP</v>
          </cell>
        </row>
        <row r="924">
          <cell r="C924" t="str">
            <v>PSS</v>
          </cell>
        </row>
        <row r="925">
          <cell r="C925" t="str">
            <v>PSS</v>
          </cell>
        </row>
        <row r="926">
          <cell r="C926" t="str">
            <v>TODP</v>
          </cell>
        </row>
        <row r="927">
          <cell r="C927" t="str">
            <v>TODP</v>
          </cell>
        </row>
        <row r="928">
          <cell r="C928" t="str">
            <v>TODS</v>
          </cell>
        </row>
        <row r="929">
          <cell r="C929" t="str">
            <v>TODS</v>
          </cell>
        </row>
        <row r="930">
          <cell r="C930" t="str">
            <v>GS3</v>
          </cell>
        </row>
        <row r="931">
          <cell r="C931" t="str">
            <v>GS3</v>
          </cell>
        </row>
        <row r="932">
          <cell r="C932" t="str">
            <v>FLS</v>
          </cell>
          <cell r="K932">
            <v>46455195.103482999</v>
          </cell>
        </row>
        <row r="933">
          <cell r="C933" t="str">
            <v>FLS</v>
          </cell>
        </row>
        <row r="939">
          <cell r="C939" t="str">
            <v>RS</v>
          </cell>
        </row>
        <row r="940">
          <cell r="C940" t="str">
            <v>RS</v>
          </cell>
          <cell r="K940">
            <v>569946895.89519346</v>
          </cell>
        </row>
        <row r="941">
          <cell r="C941" t="str">
            <v>RS</v>
          </cell>
        </row>
        <row r="942">
          <cell r="C942" t="str">
            <v>RS</v>
          </cell>
        </row>
        <row r="943">
          <cell r="C943" t="str">
            <v>RTOD-E</v>
          </cell>
          <cell r="K943">
            <v>28493.718719622269</v>
          </cell>
        </row>
        <row r="944">
          <cell r="C944" t="str">
            <v>RTOD-D</v>
          </cell>
        </row>
        <row r="945">
          <cell r="C945" t="str">
            <v>RS</v>
          </cell>
        </row>
        <row r="946">
          <cell r="C946" t="str">
            <v>RS</v>
          </cell>
        </row>
        <row r="947">
          <cell r="C947" t="str">
            <v>RS</v>
          </cell>
        </row>
        <row r="948">
          <cell r="C948" t="str">
            <v>RS</v>
          </cell>
        </row>
        <row r="949">
          <cell r="C949" t="str">
            <v>RTS</v>
          </cell>
        </row>
        <row r="950">
          <cell r="C950" t="str">
            <v>PSP</v>
          </cell>
          <cell r="K950">
            <v>15732475.106791489</v>
          </cell>
        </row>
        <row r="951">
          <cell r="C951" t="str">
            <v>PSS</v>
          </cell>
        </row>
        <row r="952">
          <cell r="C952" t="str">
            <v>TODP</v>
          </cell>
        </row>
        <row r="953">
          <cell r="C953" t="str">
            <v>PSP</v>
          </cell>
        </row>
        <row r="954">
          <cell r="C954" t="str">
            <v>PSS</v>
          </cell>
        </row>
        <row r="955">
          <cell r="C955" t="str">
            <v>TODP</v>
          </cell>
        </row>
        <row r="956">
          <cell r="C956" t="str">
            <v>TODS</v>
          </cell>
          <cell r="K956">
            <v>150412747.67096141</v>
          </cell>
        </row>
        <row r="957">
          <cell r="C957" t="str">
            <v>TOD</v>
          </cell>
        </row>
        <row r="958">
          <cell r="C958" t="str">
            <v>MPT</v>
          </cell>
        </row>
        <row r="959">
          <cell r="C959" t="str">
            <v>MPP</v>
          </cell>
        </row>
        <row r="960">
          <cell r="C960" t="str">
            <v>LTOD</v>
          </cell>
        </row>
        <row r="961">
          <cell r="C961" t="str">
            <v>LTOD</v>
          </cell>
        </row>
        <row r="962">
          <cell r="C962" t="str">
            <v>MPP PF</v>
          </cell>
        </row>
        <row r="963">
          <cell r="C963" t="str">
            <v>MPT PF</v>
          </cell>
        </row>
        <row r="964">
          <cell r="C964" t="str">
            <v>LEV</v>
          </cell>
        </row>
        <row r="965">
          <cell r="C965" t="str">
            <v>GS</v>
          </cell>
        </row>
        <row r="966">
          <cell r="C966" t="str">
            <v>GS</v>
          </cell>
        </row>
        <row r="967">
          <cell r="C967" t="str">
            <v>GS3</v>
          </cell>
        </row>
        <row r="968">
          <cell r="C968" t="str">
            <v>GS3</v>
          </cell>
        </row>
        <row r="969">
          <cell r="C969" t="str">
            <v>LEV</v>
          </cell>
        </row>
        <row r="970">
          <cell r="C970" t="str">
            <v>CSR</v>
          </cell>
        </row>
        <row r="971">
          <cell r="C971" t="str">
            <v>CSR</v>
          </cell>
        </row>
        <row r="972">
          <cell r="C972" t="str">
            <v>CSR</v>
          </cell>
        </row>
        <row r="973">
          <cell r="C973" t="str">
            <v>CSR</v>
          </cell>
        </row>
        <row r="974">
          <cell r="C974" t="str">
            <v>CSR</v>
          </cell>
        </row>
        <row r="975">
          <cell r="C975" t="str">
            <v>CSR</v>
          </cell>
        </row>
        <row r="976">
          <cell r="C976" t="str">
            <v>CSR</v>
          </cell>
        </row>
        <row r="977">
          <cell r="C977" t="str">
            <v>CSR</v>
          </cell>
        </row>
        <row r="978">
          <cell r="C978" t="str">
            <v>LEV</v>
          </cell>
        </row>
        <row r="979">
          <cell r="C979" t="str">
            <v>LEV</v>
          </cell>
        </row>
        <row r="980">
          <cell r="C980" t="str">
            <v>GS</v>
          </cell>
        </row>
        <row r="981">
          <cell r="C981" t="str">
            <v>PSP</v>
          </cell>
        </row>
        <row r="982">
          <cell r="C982" t="str">
            <v>PSS</v>
          </cell>
        </row>
        <row r="983">
          <cell r="C983" t="str">
            <v>PSS</v>
          </cell>
        </row>
        <row r="984">
          <cell r="C984" t="str">
            <v>PSP</v>
          </cell>
        </row>
        <row r="985">
          <cell r="C985" t="str">
            <v>PSP</v>
          </cell>
        </row>
        <row r="986">
          <cell r="C986" t="str">
            <v>GS</v>
          </cell>
        </row>
        <row r="987">
          <cell r="C987" t="str">
            <v>RS</v>
          </cell>
        </row>
        <row r="988">
          <cell r="C988" t="str">
            <v>RS</v>
          </cell>
        </row>
        <row r="989">
          <cell r="C989" t="str">
            <v>GS</v>
          </cell>
          <cell r="K989">
            <v>59909053.487447366</v>
          </cell>
        </row>
        <row r="990">
          <cell r="C990" t="str">
            <v>GS</v>
          </cell>
        </row>
        <row r="991">
          <cell r="C991" t="str">
            <v>GS3</v>
          </cell>
          <cell r="K991">
            <v>88794483.672051951</v>
          </cell>
        </row>
        <row r="992">
          <cell r="C992" t="str">
            <v>AES</v>
          </cell>
          <cell r="K992">
            <v>477000</v>
          </cell>
        </row>
        <row r="993">
          <cell r="C993" t="str">
            <v>AES</v>
          </cell>
        </row>
        <row r="994">
          <cell r="C994" t="str">
            <v>AES3</v>
          </cell>
          <cell r="K994">
            <v>9701000</v>
          </cell>
        </row>
        <row r="995">
          <cell r="C995" t="str">
            <v>AES3</v>
          </cell>
        </row>
        <row r="996">
          <cell r="C996" t="str">
            <v>AES3</v>
          </cell>
        </row>
        <row r="997">
          <cell r="C997" t="str">
            <v>AES3</v>
          </cell>
        </row>
        <row r="998">
          <cell r="C998" t="str">
            <v>AES3</v>
          </cell>
        </row>
        <row r="999">
          <cell r="C999" t="str">
            <v>AES</v>
          </cell>
        </row>
        <row r="1000">
          <cell r="C1000" t="str">
            <v>LE</v>
          </cell>
          <cell r="K1000">
            <v>36873.136108390332</v>
          </cell>
        </row>
        <row r="1001">
          <cell r="C1001" t="str">
            <v>LE</v>
          </cell>
        </row>
        <row r="1002">
          <cell r="C1002" t="str">
            <v>LE</v>
          </cell>
        </row>
        <row r="1003">
          <cell r="C1003" t="str">
            <v>TE</v>
          </cell>
          <cell r="K1003">
            <v>107387.88233657608</v>
          </cell>
        </row>
        <row r="1004">
          <cell r="C1004" t="str">
            <v>TE</v>
          </cell>
        </row>
        <row r="1005">
          <cell r="C1005" t="str">
            <v>TE</v>
          </cell>
        </row>
        <row r="1006">
          <cell r="C1006" t="str">
            <v>RTS</v>
          </cell>
        </row>
        <row r="1007">
          <cell r="C1007" t="str">
            <v>PSP</v>
          </cell>
        </row>
        <row r="1008">
          <cell r="C1008" t="str">
            <v>PSS</v>
          </cell>
          <cell r="K1008">
            <v>183639756.3256999</v>
          </cell>
        </row>
        <row r="1009">
          <cell r="C1009" t="str">
            <v>PSP</v>
          </cell>
        </row>
        <row r="1010">
          <cell r="C1010" t="str">
            <v>PSS</v>
          </cell>
        </row>
        <row r="1011">
          <cell r="C1011" t="str">
            <v>TODP</v>
          </cell>
          <cell r="K1011">
            <v>323285622.61627239</v>
          </cell>
        </row>
        <row r="1012">
          <cell r="C1012" t="str">
            <v>TODS</v>
          </cell>
        </row>
        <row r="1013">
          <cell r="C1013" t="str">
            <v>SQF</v>
          </cell>
        </row>
        <row r="1014">
          <cell r="C1014" t="str">
            <v>SQF</v>
          </cell>
        </row>
        <row r="1015">
          <cell r="C1015" t="str">
            <v>LQF</v>
          </cell>
        </row>
        <row r="1016">
          <cell r="C1016" t="str">
            <v>GS</v>
          </cell>
        </row>
        <row r="1017">
          <cell r="C1017" t="str">
            <v>GS3</v>
          </cell>
        </row>
        <row r="1018">
          <cell r="C1018" t="str">
            <v>RS</v>
          </cell>
        </row>
        <row r="1019">
          <cell r="C1019" t="str">
            <v>RS</v>
          </cell>
        </row>
        <row r="1020">
          <cell r="C1020" t="str">
            <v>CSR</v>
          </cell>
        </row>
        <row r="1021">
          <cell r="C1021" t="str">
            <v>CSR</v>
          </cell>
        </row>
        <row r="1022">
          <cell r="C1022" t="str">
            <v>CSR</v>
          </cell>
        </row>
        <row r="1023">
          <cell r="C1023" t="str">
            <v>CSR</v>
          </cell>
        </row>
        <row r="1024">
          <cell r="C1024" t="str">
            <v>CSR</v>
          </cell>
        </row>
        <row r="1025">
          <cell r="C1025" t="str">
            <v>GS</v>
          </cell>
        </row>
        <row r="1026">
          <cell r="C1026" t="str">
            <v>GS</v>
          </cell>
        </row>
        <row r="1027">
          <cell r="C1027" t="str">
            <v>GS</v>
          </cell>
        </row>
        <row r="1028">
          <cell r="C1028" t="str">
            <v>GS</v>
          </cell>
        </row>
        <row r="1029">
          <cell r="C1029" t="str">
            <v>GS</v>
          </cell>
        </row>
        <row r="1030">
          <cell r="C1030" t="str">
            <v>GS</v>
          </cell>
        </row>
        <row r="1031">
          <cell r="C1031" t="str">
            <v>GS</v>
          </cell>
        </row>
        <row r="1032">
          <cell r="C1032" t="str">
            <v>GS</v>
          </cell>
        </row>
        <row r="1033">
          <cell r="C1033" t="str">
            <v>GS</v>
          </cell>
        </row>
        <row r="1034">
          <cell r="C1034" t="str">
            <v>GS</v>
          </cell>
        </row>
        <row r="1035">
          <cell r="C1035" t="str">
            <v>GS</v>
          </cell>
        </row>
        <row r="1036">
          <cell r="C1036" t="str">
            <v>GS3</v>
          </cell>
        </row>
        <row r="1037">
          <cell r="C1037" t="str">
            <v>GS3</v>
          </cell>
        </row>
        <row r="1038">
          <cell r="C1038" t="str">
            <v>RTS</v>
          </cell>
        </row>
        <row r="1039">
          <cell r="C1039" t="str">
            <v>RTS</v>
          </cell>
          <cell r="K1039">
            <v>111979737.34417948</v>
          </cell>
        </row>
        <row r="1040">
          <cell r="C1040" t="str">
            <v>PSP</v>
          </cell>
        </row>
        <row r="1041">
          <cell r="C1041" t="str">
            <v>PSP</v>
          </cell>
        </row>
        <row r="1042">
          <cell r="C1042" t="str">
            <v>PSS</v>
          </cell>
        </row>
        <row r="1043">
          <cell r="C1043" t="str">
            <v>PSS</v>
          </cell>
        </row>
        <row r="1044">
          <cell r="C1044" t="str">
            <v>PSP</v>
          </cell>
        </row>
        <row r="1045">
          <cell r="C1045" t="str">
            <v>PSP</v>
          </cell>
        </row>
        <row r="1046">
          <cell r="C1046" t="str">
            <v>PSS</v>
          </cell>
        </row>
        <row r="1047">
          <cell r="C1047" t="str">
            <v>PSS</v>
          </cell>
        </row>
        <row r="1048">
          <cell r="C1048" t="str">
            <v>TODP</v>
          </cell>
        </row>
        <row r="1049">
          <cell r="C1049" t="str">
            <v>TODP</v>
          </cell>
        </row>
        <row r="1050">
          <cell r="C1050" t="str">
            <v>TODS</v>
          </cell>
        </row>
        <row r="1051">
          <cell r="C1051" t="str">
            <v>TODS</v>
          </cell>
        </row>
        <row r="1052">
          <cell r="C1052" t="str">
            <v>GS3</v>
          </cell>
        </row>
        <row r="1053">
          <cell r="C1053" t="str">
            <v>GS3</v>
          </cell>
        </row>
        <row r="1054">
          <cell r="C1054" t="str">
            <v>FLS</v>
          </cell>
          <cell r="K1054">
            <v>46738188.728823803</v>
          </cell>
        </row>
        <row r="1055">
          <cell r="C1055" t="str">
            <v>FLS</v>
          </cell>
        </row>
        <row r="1061">
          <cell r="C1061" t="str">
            <v>RS</v>
          </cell>
        </row>
        <row r="1062">
          <cell r="C1062" t="str">
            <v>RS</v>
          </cell>
          <cell r="K1062">
            <v>419057958.94622535</v>
          </cell>
        </row>
        <row r="1063">
          <cell r="C1063" t="str">
            <v>RS</v>
          </cell>
        </row>
        <row r="1064">
          <cell r="C1064" t="str">
            <v>RS</v>
          </cell>
        </row>
        <row r="1065">
          <cell r="C1065" t="str">
            <v>RTOD-E</v>
          </cell>
          <cell r="K1065">
            <v>21528.40945077801</v>
          </cell>
        </row>
        <row r="1066">
          <cell r="C1066" t="str">
            <v>RTOD-D</v>
          </cell>
        </row>
        <row r="1067">
          <cell r="C1067" t="str">
            <v>RS</v>
          </cell>
        </row>
        <row r="1068">
          <cell r="C1068" t="str">
            <v>RS</v>
          </cell>
        </row>
        <row r="1069">
          <cell r="C1069" t="str">
            <v>RS</v>
          </cell>
        </row>
        <row r="1070">
          <cell r="C1070" t="str">
            <v>RS</v>
          </cell>
        </row>
        <row r="1071">
          <cell r="C1071" t="str">
            <v>RTS</v>
          </cell>
        </row>
        <row r="1072">
          <cell r="C1072" t="str">
            <v>PSP</v>
          </cell>
          <cell r="K1072">
            <v>13331365.88108341</v>
          </cell>
        </row>
        <row r="1073">
          <cell r="C1073" t="str">
            <v>PSS</v>
          </cell>
        </row>
        <row r="1074">
          <cell r="C1074" t="str">
            <v>TODP</v>
          </cell>
        </row>
        <row r="1075">
          <cell r="C1075" t="str">
            <v>PSP</v>
          </cell>
        </row>
        <row r="1076">
          <cell r="C1076" t="str">
            <v>PSS</v>
          </cell>
        </row>
        <row r="1077">
          <cell r="C1077" t="str">
            <v>TODP</v>
          </cell>
        </row>
        <row r="1078">
          <cell r="C1078" t="str">
            <v>TODS</v>
          </cell>
          <cell r="K1078">
            <v>132958193.11196809</v>
          </cell>
        </row>
        <row r="1079">
          <cell r="C1079" t="str">
            <v>TOD</v>
          </cell>
        </row>
        <row r="1080">
          <cell r="C1080" t="str">
            <v>MPT</v>
          </cell>
        </row>
        <row r="1081">
          <cell r="C1081" t="str">
            <v>MPP</v>
          </cell>
        </row>
        <row r="1082">
          <cell r="C1082" t="str">
            <v>LTOD</v>
          </cell>
        </row>
        <row r="1083">
          <cell r="C1083" t="str">
            <v>LTOD</v>
          </cell>
        </row>
        <row r="1084">
          <cell r="C1084" t="str">
            <v>MPP PF</v>
          </cell>
        </row>
        <row r="1085">
          <cell r="C1085" t="str">
            <v>MPT PF</v>
          </cell>
        </row>
        <row r="1086">
          <cell r="C1086" t="str">
            <v>LEV</v>
          </cell>
        </row>
        <row r="1087">
          <cell r="C1087" t="str">
            <v>GS</v>
          </cell>
        </row>
        <row r="1088">
          <cell r="C1088" t="str">
            <v>GS</v>
          </cell>
        </row>
        <row r="1089">
          <cell r="C1089" t="str">
            <v>GS3</v>
          </cell>
        </row>
        <row r="1090">
          <cell r="C1090" t="str">
            <v>GS3</v>
          </cell>
        </row>
        <row r="1091">
          <cell r="C1091" t="str">
            <v>LEV</v>
          </cell>
        </row>
        <row r="1092">
          <cell r="C1092" t="str">
            <v>CSR</v>
          </cell>
        </row>
        <row r="1093">
          <cell r="C1093" t="str">
            <v>CSR</v>
          </cell>
        </row>
        <row r="1094">
          <cell r="C1094" t="str">
            <v>CSR</v>
          </cell>
        </row>
        <row r="1095">
          <cell r="C1095" t="str">
            <v>CSR</v>
          </cell>
        </row>
        <row r="1096">
          <cell r="C1096" t="str">
            <v>CSR</v>
          </cell>
        </row>
        <row r="1097">
          <cell r="C1097" t="str">
            <v>CSR</v>
          </cell>
        </row>
        <row r="1098">
          <cell r="C1098" t="str">
            <v>CSR</v>
          </cell>
        </row>
        <row r="1099">
          <cell r="C1099" t="str">
            <v>CSR</v>
          </cell>
        </row>
        <row r="1100">
          <cell r="C1100" t="str">
            <v>LEV</v>
          </cell>
        </row>
        <row r="1101">
          <cell r="C1101" t="str">
            <v>LEV</v>
          </cell>
        </row>
        <row r="1102">
          <cell r="C1102" t="str">
            <v>GS</v>
          </cell>
        </row>
        <row r="1103">
          <cell r="C1103" t="str">
            <v>PSP</v>
          </cell>
        </row>
        <row r="1104">
          <cell r="C1104" t="str">
            <v>PSS</v>
          </cell>
        </row>
        <row r="1105">
          <cell r="C1105" t="str">
            <v>PSS</v>
          </cell>
        </row>
        <row r="1106">
          <cell r="C1106" t="str">
            <v>PSP</v>
          </cell>
        </row>
        <row r="1107">
          <cell r="C1107" t="str">
            <v>PSP</v>
          </cell>
        </row>
        <row r="1108">
          <cell r="C1108" t="str">
            <v>GS</v>
          </cell>
        </row>
        <row r="1109">
          <cell r="C1109" t="str">
            <v>RS</v>
          </cell>
        </row>
        <row r="1110">
          <cell r="C1110" t="str">
            <v>RS</v>
          </cell>
        </row>
        <row r="1111">
          <cell r="C1111" t="str">
            <v>GS</v>
          </cell>
          <cell r="K1111">
            <v>54052188.097867072</v>
          </cell>
        </row>
        <row r="1112">
          <cell r="C1112" t="str">
            <v>GS</v>
          </cell>
        </row>
        <row r="1113">
          <cell r="C1113" t="str">
            <v>GS3</v>
          </cell>
          <cell r="K1113">
            <v>83271225.000115886</v>
          </cell>
        </row>
        <row r="1114">
          <cell r="C1114" t="str">
            <v>AES</v>
          </cell>
          <cell r="K1114">
            <v>521000</v>
          </cell>
        </row>
        <row r="1115">
          <cell r="C1115" t="str">
            <v>AES</v>
          </cell>
        </row>
        <row r="1116">
          <cell r="C1116" t="str">
            <v>AES3</v>
          </cell>
          <cell r="K1116">
            <v>10592000</v>
          </cell>
        </row>
        <row r="1117">
          <cell r="C1117" t="str">
            <v>AES3</v>
          </cell>
        </row>
        <row r="1118">
          <cell r="C1118" t="str">
            <v>AES3</v>
          </cell>
        </row>
        <row r="1119">
          <cell r="C1119" t="str">
            <v>AES3</v>
          </cell>
        </row>
        <row r="1120">
          <cell r="C1120" t="str">
            <v>AES3</v>
          </cell>
        </row>
        <row r="1121">
          <cell r="C1121" t="str">
            <v>AES</v>
          </cell>
        </row>
        <row r="1122">
          <cell r="C1122" t="str">
            <v>LE</v>
          </cell>
          <cell r="K1122">
            <v>41987.15172469052</v>
          </cell>
        </row>
        <row r="1123">
          <cell r="C1123" t="str">
            <v>LE</v>
          </cell>
        </row>
        <row r="1124">
          <cell r="C1124" t="str">
            <v>LE</v>
          </cell>
        </row>
        <row r="1125">
          <cell r="C1125" t="str">
            <v>TE</v>
          </cell>
          <cell r="K1125">
            <v>117147.25571744112</v>
          </cell>
        </row>
        <row r="1126">
          <cell r="C1126" t="str">
            <v>TE</v>
          </cell>
        </row>
        <row r="1127">
          <cell r="C1127" t="str">
            <v>TE</v>
          </cell>
        </row>
        <row r="1128">
          <cell r="C1128" t="str">
            <v>RTS</v>
          </cell>
        </row>
        <row r="1129">
          <cell r="C1129" t="str">
            <v>PSP</v>
          </cell>
        </row>
        <row r="1130">
          <cell r="C1130" t="str">
            <v>PSS</v>
          </cell>
          <cell r="K1130">
            <v>180935926.02177373</v>
          </cell>
        </row>
        <row r="1131">
          <cell r="C1131" t="str">
            <v>PSP</v>
          </cell>
        </row>
        <row r="1132">
          <cell r="C1132" t="str">
            <v>PSS</v>
          </cell>
        </row>
        <row r="1133">
          <cell r="C1133" t="str">
            <v>TODP</v>
          </cell>
          <cell r="K1133">
            <v>338904319.41432756</v>
          </cell>
        </row>
        <row r="1134">
          <cell r="C1134" t="str">
            <v>TODS</v>
          </cell>
        </row>
        <row r="1135">
          <cell r="C1135" t="str">
            <v>SQF</v>
          </cell>
        </row>
        <row r="1136">
          <cell r="C1136" t="str">
            <v>SQF</v>
          </cell>
        </row>
        <row r="1137">
          <cell r="C1137" t="str">
            <v>LQF</v>
          </cell>
        </row>
        <row r="1138">
          <cell r="C1138" t="str">
            <v>GS</v>
          </cell>
        </row>
        <row r="1139">
          <cell r="C1139" t="str">
            <v>GS3</v>
          </cell>
        </row>
        <row r="1140">
          <cell r="C1140" t="str">
            <v>RS</v>
          </cell>
        </row>
        <row r="1141">
          <cell r="C1141" t="str">
            <v>RS</v>
          </cell>
        </row>
        <row r="1142">
          <cell r="C1142" t="str">
            <v>CSR</v>
          </cell>
        </row>
        <row r="1143">
          <cell r="C1143" t="str">
            <v>CSR</v>
          </cell>
        </row>
        <row r="1144">
          <cell r="C1144" t="str">
            <v>CSR</v>
          </cell>
        </row>
        <row r="1145">
          <cell r="C1145" t="str">
            <v>CSR</v>
          </cell>
        </row>
        <row r="1146">
          <cell r="C1146" t="str">
            <v>CSR</v>
          </cell>
        </row>
        <row r="1147">
          <cell r="C1147" t="str">
            <v>GS</v>
          </cell>
        </row>
        <row r="1148">
          <cell r="C1148" t="str">
            <v>GS</v>
          </cell>
        </row>
        <row r="1149">
          <cell r="C1149" t="str">
            <v>GS</v>
          </cell>
        </row>
        <row r="1150">
          <cell r="C1150" t="str">
            <v>GS</v>
          </cell>
        </row>
        <row r="1151">
          <cell r="C1151" t="str">
            <v>GS</v>
          </cell>
        </row>
        <row r="1152">
          <cell r="C1152" t="str">
            <v>GS</v>
          </cell>
        </row>
        <row r="1153">
          <cell r="C1153" t="str">
            <v>GS</v>
          </cell>
        </row>
        <row r="1154">
          <cell r="C1154" t="str">
            <v>GS</v>
          </cell>
        </row>
        <row r="1155">
          <cell r="C1155" t="str">
            <v>GS</v>
          </cell>
        </row>
        <row r="1156">
          <cell r="C1156" t="str">
            <v>GS</v>
          </cell>
        </row>
        <row r="1157">
          <cell r="C1157" t="str">
            <v>GS</v>
          </cell>
        </row>
        <row r="1158">
          <cell r="C1158" t="str">
            <v>GS3</v>
          </cell>
        </row>
        <row r="1159">
          <cell r="C1159" t="str">
            <v>GS3</v>
          </cell>
        </row>
        <row r="1160">
          <cell r="C1160" t="str">
            <v>RTS</v>
          </cell>
        </row>
        <row r="1161">
          <cell r="C1161" t="str">
            <v>RTS</v>
          </cell>
          <cell r="K1161">
            <v>124634979.18482535</v>
          </cell>
        </row>
        <row r="1162">
          <cell r="C1162" t="str">
            <v>PSP</v>
          </cell>
        </row>
        <row r="1163">
          <cell r="C1163" t="str">
            <v>PSP</v>
          </cell>
        </row>
        <row r="1164">
          <cell r="C1164" t="str">
            <v>PSS</v>
          </cell>
        </row>
        <row r="1165">
          <cell r="C1165" t="str">
            <v>PSS</v>
          </cell>
        </row>
        <row r="1166">
          <cell r="C1166" t="str">
            <v>PSP</v>
          </cell>
        </row>
        <row r="1167">
          <cell r="C1167" t="str">
            <v>PSP</v>
          </cell>
        </row>
        <row r="1168">
          <cell r="C1168" t="str">
            <v>PSS</v>
          </cell>
        </row>
        <row r="1169">
          <cell r="C1169" t="str">
            <v>PSS</v>
          </cell>
        </row>
        <row r="1170">
          <cell r="C1170" t="str">
            <v>TODP</v>
          </cell>
        </row>
        <row r="1171">
          <cell r="C1171" t="str">
            <v>TODP</v>
          </cell>
        </row>
        <row r="1172">
          <cell r="C1172" t="str">
            <v>TODS</v>
          </cell>
        </row>
        <row r="1173">
          <cell r="C1173" t="str">
            <v>TODS</v>
          </cell>
        </row>
        <row r="1174">
          <cell r="C1174" t="str">
            <v>GS3</v>
          </cell>
        </row>
        <row r="1175">
          <cell r="C1175" t="str">
            <v>GS3</v>
          </cell>
        </row>
        <row r="1176">
          <cell r="C1176" t="str">
            <v>FLS</v>
          </cell>
          <cell r="K1176">
            <v>47163116.536751904</v>
          </cell>
        </row>
        <row r="1177">
          <cell r="C1177" t="str">
            <v>FLS</v>
          </cell>
        </row>
        <row r="1183">
          <cell r="C1183" t="str">
            <v>RS</v>
          </cell>
        </row>
        <row r="1184">
          <cell r="C1184" t="str">
            <v>RS</v>
          </cell>
          <cell r="K1184">
            <v>361122074.30423146</v>
          </cell>
        </row>
        <row r="1185">
          <cell r="C1185" t="str">
            <v>RS</v>
          </cell>
        </row>
        <row r="1186">
          <cell r="C1186" t="str">
            <v>RS</v>
          </cell>
        </row>
        <row r="1187">
          <cell r="C1187" t="str">
            <v>RTOD-E</v>
          </cell>
          <cell r="K1187">
            <v>19032.144537139611</v>
          </cell>
        </row>
        <row r="1188">
          <cell r="C1188" t="str">
            <v>RTOD-D</v>
          </cell>
        </row>
        <row r="1189">
          <cell r="C1189" t="str">
            <v>RS</v>
          </cell>
        </row>
        <row r="1190">
          <cell r="C1190" t="str">
            <v>RS</v>
          </cell>
        </row>
        <row r="1191">
          <cell r="C1191" t="str">
            <v>RS</v>
          </cell>
        </row>
        <row r="1192">
          <cell r="C1192" t="str">
            <v>RS</v>
          </cell>
        </row>
        <row r="1193">
          <cell r="C1193" t="str">
            <v>RTS</v>
          </cell>
        </row>
        <row r="1194">
          <cell r="C1194" t="str">
            <v>PSP</v>
          </cell>
          <cell r="K1194">
            <v>13975435.852137227</v>
          </cell>
        </row>
        <row r="1195">
          <cell r="C1195" t="str">
            <v>PSS</v>
          </cell>
        </row>
        <row r="1196">
          <cell r="C1196" t="str">
            <v>TODP</v>
          </cell>
        </row>
        <row r="1197">
          <cell r="C1197" t="str">
            <v>PSP</v>
          </cell>
        </row>
        <row r="1198">
          <cell r="C1198" t="str">
            <v>PSS</v>
          </cell>
        </row>
        <row r="1199">
          <cell r="C1199" t="str">
            <v>TODP</v>
          </cell>
        </row>
        <row r="1200">
          <cell r="C1200" t="str">
            <v>TODS</v>
          </cell>
          <cell r="K1200">
            <v>140186468.13315609</v>
          </cell>
        </row>
        <row r="1201">
          <cell r="C1201" t="str">
            <v>TOD</v>
          </cell>
        </row>
        <row r="1202">
          <cell r="C1202" t="str">
            <v>MPT</v>
          </cell>
        </row>
        <row r="1203">
          <cell r="C1203" t="str">
            <v>MPP</v>
          </cell>
        </row>
        <row r="1204">
          <cell r="C1204" t="str">
            <v>LTOD</v>
          </cell>
        </row>
        <row r="1205">
          <cell r="C1205" t="str">
            <v>LTOD</v>
          </cell>
        </row>
        <row r="1206">
          <cell r="C1206" t="str">
            <v>MPP PF</v>
          </cell>
        </row>
        <row r="1207">
          <cell r="C1207" t="str">
            <v>MPT PF</v>
          </cell>
        </row>
        <row r="1208">
          <cell r="C1208" t="str">
            <v>LEV</v>
          </cell>
        </row>
        <row r="1209">
          <cell r="C1209" t="str">
            <v>GS</v>
          </cell>
        </row>
        <row r="1210">
          <cell r="C1210" t="str">
            <v>GS</v>
          </cell>
        </row>
        <row r="1211">
          <cell r="C1211" t="str">
            <v>GS3</v>
          </cell>
        </row>
        <row r="1212">
          <cell r="C1212" t="str">
            <v>GS3</v>
          </cell>
        </row>
        <row r="1213">
          <cell r="C1213" t="str">
            <v>LEV</v>
          </cell>
        </row>
        <row r="1214">
          <cell r="C1214" t="str">
            <v>CSR</v>
          </cell>
        </row>
        <row r="1215">
          <cell r="C1215" t="str">
            <v>CSR</v>
          </cell>
        </row>
        <row r="1216">
          <cell r="C1216" t="str">
            <v>CSR</v>
          </cell>
        </row>
        <row r="1217">
          <cell r="C1217" t="str">
            <v>CSR</v>
          </cell>
        </row>
        <row r="1218">
          <cell r="C1218" t="str">
            <v>CSR</v>
          </cell>
        </row>
        <row r="1219">
          <cell r="C1219" t="str">
            <v>CSR</v>
          </cell>
        </row>
        <row r="1220">
          <cell r="C1220" t="str">
            <v>CSR</v>
          </cell>
        </row>
        <row r="1221">
          <cell r="C1221" t="str">
            <v>CSR</v>
          </cell>
        </row>
        <row r="1222">
          <cell r="C1222" t="str">
            <v>LEV</v>
          </cell>
        </row>
        <row r="1223">
          <cell r="C1223" t="str">
            <v>LEV</v>
          </cell>
        </row>
        <row r="1224">
          <cell r="C1224" t="str">
            <v>GS</v>
          </cell>
        </row>
        <row r="1225">
          <cell r="C1225" t="str">
            <v>PSP</v>
          </cell>
        </row>
        <row r="1226">
          <cell r="C1226" t="str">
            <v>PSS</v>
          </cell>
        </row>
        <row r="1227">
          <cell r="C1227" t="str">
            <v>PSS</v>
          </cell>
        </row>
        <row r="1228">
          <cell r="C1228" t="str">
            <v>PSP</v>
          </cell>
        </row>
        <row r="1229">
          <cell r="C1229" t="str">
            <v>PSP</v>
          </cell>
        </row>
        <row r="1230">
          <cell r="C1230" t="str">
            <v>GS</v>
          </cell>
        </row>
        <row r="1231">
          <cell r="C1231" t="str">
            <v>RS</v>
          </cell>
        </row>
        <row r="1232">
          <cell r="C1232" t="str">
            <v>RS</v>
          </cell>
        </row>
        <row r="1233">
          <cell r="C1233" t="str">
            <v>GS</v>
          </cell>
          <cell r="K1233">
            <v>54242795.903693855</v>
          </cell>
        </row>
        <row r="1234">
          <cell r="C1234" t="str">
            <v>GS</v>
          </cell>
        </row>
        <row r="1235">
          <cell r="C1235" t="str">
            <v>GS3</v>
          </cell>
          <cell r="K1235">
            <v>78819352.802513227</v>
          </cell>
        </row>
        <row r="1236">
          <cell r="C1236" t="str">
            <v>AES</v>
          </cell>
          <cell r="K1236">
            <v>605000</v>
          </cell>
        </row>
        <row r="1237">
          <cell r="C1237" t="str">
            <v>AES</v>
          </cell>
        </row>
        <row r="1238">
          <cell r="C1238" t="str">
            <v>AES3</v>
          </cell>
          <cell r="K1238">
            <v>12300000</v>
          </cell>
        </row>
        <row r="1239">
          <cell r="C1239" t="str">
            <v>AES3</v>
          </cell>
        </row>
        <row r="1240">
          <cell r="C1240" t="str">
            <v>AES3</v>
          </cell>
        </row>
        <row r="1241">
          <cell r="C1241" t="str">
            <v>AES3</v>
          </cell>
        </row>
        <row r="1242">
          <cell r="C1242" t="str">
            <v>AES3</v>
          </cell>
        </row>
        <row r="1243">
          <cell r="C1243" t="str">
            <v>AES</v>
          </cell>
        </row>
        <row r="1244">
          <cell r="C1244" t="str">
            <v>LE</v>
          </cell>
          <cell r="K1244">
            <v>50090.764433614298</v>
          </cell>
        </row>
        <row r="1245">
          <cell r="C1245" t="str">
            <v>LE</v>
          </cell>
        </row>
        <row r="1246">
          <cell r="C1246" t="str">
            <v>LE</v>
          </cell>
        </row>
        <row r="1247">
          <cell r="C1247" t="str">
            <v>TE</v>
          </cell>
          <cell r="K1247">
            <v>128553.97199665004</v>
          </cell>
        </row>
        <row r="1248">
          <cell r="C1248" t="str">
            <v>TE</v>
          </cell>
        </row>
        <row r="1249">
          <cell r="C1249" t="str">
            <v>TE</v>
          </cell>
        </row>
        <row r="1250">
          <cell r="C1250" t="str">
            <v>RTS</v>
          </cell>
        </row>
        <row r="1251">
          <cell r="C1251" t="str">
            <v>PSP</v>
          </cell>
        </row>
        <row r="1252">
          <cell r="C1252" t="str">
            <v>PSS</v>
          </cell>
          <cell r="K1252">
            <v>169713757.87580806</v>
          </cell>
        </row>
        <row r="1253">
          <cell r="C1253" t="str">
            <v>PSP</v>
          </cell>
        </row>
        <row r="1254">
          <cell r="C1254" t="str">
            <v>PSS</v>
          </cell>
        </row>
        <row r="1255">
          <cell r="C1255" t="str">
            <v>TODP</v>
          </cell>
          <cell r="K1255">
            <v>346339180.6060186</v>
          </cell>
        </row>
        <row r="1256">
          <cell r="C1256" t="str">
            <v>TODS</v>
          </cell>
        </row>
        <row r="1257">
          <cell r="C1257" t="str">
            <v>SQF</v>
          </cell>
        </row>
        <row r="1258">
          <cell r="C1258" t="str">
            <v>SQF</v>
          </cell>
        </row>
        <row r="1259">
          <cell r="C1259" t="str">
            <v>LQF</v>
          </cell>
        </row>
        <row r="1260">
          <cell r="C1260" t="str">
            <v>GS</v>
          </cell>
        </row>
        <row r="1261">
          <cell r="C1261" t="str">
            <v>GS3</v>
          </cell>
        </row>
        <row r="1262">
          <cell r="C1262" t="str">
            <v>RS</v>
          </cell>
        </row>
        <row r="1263">
          <cell r="C1263" t="str">
            <v>RS</v>
          </cell>
        </row>
        <row r="1264">
          <cell r="C1264" t="str">
            <v>CSR</v>
          </cell>
        </row>
        <row r="1265">
          <cell r="C1265" t="str">
            <v>CSR</v>
          </cell>
        </row>
        <row r="1266">
          <cell r="C1266" t="str">
            <v>CSR</v>
          </cell>
        </row>
        <row r="1267">
          <cell r="C1267" t="str">
            <v>CSR</v>
          </cell>
        </row>
        <row r="1268">
          <cell r="C1268" t="str">
            <v>CSR</v>
          </cell>
        </row>
        <row r="1269">
          <cell r="C1269" t="str">
            <v>GS</v>
          </cell>
        </row>
        <row r="1270">
          <cell r="C1270" t="str">
            <v>GS</v>
          </cell>
        </row>
        <row r="1271">
          <cell r="C1271" t="str">
            <v>GS</v>
          </cell>
        </row>
        <row r="1272">
          <cell r="C1272" t="str">
            <v>GS</v>
          </cell>
        </row>
        <row r="1273">
          <cell r="C1273" t="str">
            <v>GS</v>
          </cell>
        </row>
        <row r="1274">
          <cell r="C1274" t="str">
            <v>GS</v>
          </cell>
        </row>
        <row r="1275">
          <cell r="C1275" t="str">
            <v>GS</v>
          </cell>
        </row>
        <row r="1276">
          <cell r="C1276" t="str">
            <v>GS</v>
          </cell>
        </row>
        <row r="1277">
          <cell r="C1277" t="str">
            <v>GS</v>
          </cell>
        </row>
        <row r="1278">
          <cell r="C1278" t="str">
            <v>GS</v>
          </cell>
        </row>
        <row r="1279">
          <cell r="C1279" t="str">
            <v>GS</v>
          </cell>
        </row>
        <row r="1280">
          <cell r="C1280" t="str">
            <v>GS3</v>
          </cell>
        </row>
        <row r="1281">
          <cell r="C1281" t="str">
            <v>GS3</v>
          </cell>
        </row>
        <row r="1282">
          <cell r="C1282" t="str">
            <v>RTS</v>
          </cell>
        </row>
        <row r="1283">
          <cell r="C1283" t="str">
            <v>RTS</v>
          </cell>
          <cell r="K1283">
            <v>128966898.62774912</v>
          </cell>
        </row>
        <row r="1284">
          <cell r="C1284" t="str">
            <v>PSP</v>
          </cell>
        </row>
        <row r="1285">
          <cell r="C1285" t="str">
            <v>PSP</v>
          </cell>
        </row>
        <row r="1286">
          <cell r="C1286" t="str">
            <v>PSS</v>
          </cell>
        </row>
        <row r="1287">
          <cell r="C1287" t="str">
            <v>PSS</v>
          </cell>
        </row>
        <row r="1288">
          <cell r="C1288" t="str">
            <v>PSP</v>
          </cell>
        </row>
        <row r="1289">
          <cell r="C1289" t="str">
            <v>PSP</v>
          </cell>
        </row>
        <row r="1290">
          <cell r="C1290" t="str">
            <v>PSS</v>
          </cell>
        </row>
        <row r="1291">
          <cell r="C1291" t="str">
            <v>PSS</v>
          </cell>
        </row>
        <row r="1292">
          <cell r="C1292" t="str">
            <v>TODP</v>
          </cell>
        </row>
        <row r="1293">
          <cell r="C1293" t="str">
            <v>TODP</v>
          </cell>
        </row>
        <row r="1294">
          <cell r="C1294" t="str">
            <v>TODS</v>
          </cell>
        </row>
        <row r="1295">
          <cell r="C1295" t="str">
            <v>TODS</v>
          </cell>
        </row>
        <row r="1296">
          <cell r="C1296" t="str">
            <v>GS3</v>
          </cell>
        </row>
        <row r="1297">
          <cell r="C1297" t="str">
            <v>GS3</v>
          </cell>
        </row>
        <row r="1298">
          <cell r="C1298" t="str">
            <v>FLS</v>
          </cell>
          <cell r="K1298">
            <v>45730937.483929999</v>
          </cell>
        </row>
        <row r="1299">
          <cell r="C1299" t="str">
            <v>FLS</v>
          </cell>
        </row>
        <row r="1305">
          <cell r="C1305" t="str">
            <v>RS</v>
          </cell>
        </row>
        <row r="1306">
          <cell r="C1306" t="str">
            <v>RS</v>
          </cell>
          <cell r="K1306">
            <v>456877357.94351453</v>
          </cell>
        </row>
        <row r="1307">
          <cell r="C1307" t="str">
            <v>RS</v>
          </cell>
        </row>
        <row r="1308">
          <cell r="C1308" t="str">
            <v>RS</v>
          </cell>
        </row>
        <row r="1309">
          <cell r="C1309" t="str">
            <v>RTOD-E</v>
          </cell>
          <cell r="K1309">
            <v>24684.149398597205</v>
          </cell>
        </row>
        <row r="1310">
          <cell r="C1310" t="str">
            <v>RTOD-D</v>
          </cell>
        </row>
        <row r="1311">
          <cell r="C1311" t="str">
            <v>RS</v>
          </cell>
        </row>
        <row r="1312">
          <cell r="C1312" t="str">
            <v>RS</v>
          </cell>
        </row>
        <row r="1313">
          <cell r="C1313" t="str">
            <v>RS</v>
          </cell>
        </row>
        <row r="1314">
          <cell r="C1314" t="str">
            <v>RS</v>
          </cell>
        </row>
        <row r="1315">
          <cell r="C1315" t="str">
            <v>RTS</v>
          </cell>
        </row>
        <row r="1316">
          <cell r="C1316" t="str">
            <v>PSP</v>
          </cell>
          <cell r="K1316">
            <v>14282028.066227578</v>
          </cell>
        </row>
        <row r="1317">
          <cell r="C1317" t="str">
            <v>PSS</v>
          </cell>
        </row>
        <row r="1318">
          <cell r="C1318" t="str">
            <v>TODP</v>
          </cell>
        </row>
        <row r="1319">
          <cell r="C1319" t="str">
            <v>PSP</v>
          </cell>
        </row>
        <row r="1320">
          <cell r="C1320" t="str">
            <v>PSS</v>
          </cell>
        </row>
        <row r="1321">
          <cell r="C1321" t="str">
            <v>TODP</v>
          </cell>
        </row>
        <row r="1322">
          <cell r="C1322" t="str">
            <v>TODS</v>
          </cell>
          <cell r="K1322">
            <v>142849344.65883482</v>
          </cell>
        </row>
        <row r="1323">
          <cell r="C1323" t="str">
            <v>TOD</v>
          </cell>
        </row>
        <row r="1324">
          <cell r="C1324" t="str">
            <v>MPT</v>
          </cell>
        </row>
        <row r="1325">
          <cell r="C1325" t="str">
            <v>MPP</v>
          </cell>
        </row>
        <row r="1326">
          <cell r="C1326" t="str">
            <v>LTOD</v>
          </cell>
        </row>
        <row r="1327">
          <cell r="C1327" t="str">
            <v>LTOD</v>
          </cell>
        </row>
        <row r="1328">
          <cell r="C1328" t="str">
            <v>MPP PF</v>
          </cell>
        </row>
        <row r="1329">
          <cell r="C1329" t="str">
            <v>MPT PF</v>
          </cell>
        </row>
        <row r="1330">
          <cell r="C1330" t="str">
            <v>LEV</v>
          </cell>
        </row>
        <row r="1331">
          <cell r="C1331" t="str">
            <v>GS</v>
          </cell>
        </row>
        <row r="1332">
          <cell r="C1332" t="str">
            <v>GS</v>
          </cell>
        </row>
        <row r="1333">
          <cell r="C1333" t="str">
            <v>GS3</v>
          </cell>
        </row>
        <row r="1334">
          <cell r="C1334" t="str">
            <v>GS3</v>
          </cell>
        </row>
        <row r="1335">
          <cell r="C1335" t="str">
            <v>LEV</v>
          </cell>
        </row>
        <row r="1336">
          <cell r="C1336" t="str">
            <v>CSR</v>
          </cell>
        </row>
        <row r="1337">
          <cell r="C1337" t="str">
            <v>CSR</v>
          </cell>
        </row>
        <row r="1338">
          <cell r="C1338" t="str">
            <v>CSR</v>
          </cell>
        </row>
        <row r="1339">
          <cell r="C1339" t="str">
            <v>CSR</v>
          </cell>
        </row>
        <row r="1340">
          <cell r="C1340" t="str">
            <v>CSR</v>
          </cell>
        </row>
        <row r="1341">
          <cell r="C1341" t="str">
            <v>CSR</v>
          </cell>
        </row>
        <row r="1342">
          <cell r="C1342" t="str">
            <v>CSR</v>
          </cell>
        </row>
        <row r="1343">
          <cell r="C1343" t="str">
            <v>CSR</v>
          </cell>
        </row>
        <row r="1344">
          <cell r="C1344" t="str">
            <v>LEV</v>
          </cell>
        </row>
        <row r="1345">
          <cell r="C1345" t="str">
            <v>LEV</v>
          </cell>
        </row>
        <row r="1346">
          <cell r="C1346" t="str">
            <v>GS</v>
          </cell>
        </row>
        <row r="1347">
          <cell r="C1347" t="str">
            <v>PSP</v>
          </cell>
        </row>
        <row r="1348">
          <cell r="C1348" t="str">
            <v>PSS</v>
          </cell>
        </row>
        <row r="1349">
          <cell r="C1349" t="str">
            <v>PSS</v>
          </cell>
        </row>
        <row r="1350">
          <cell r="C1350" t="str">
            <v>PSP</v>
          </cell>
        </row>
        <row r="1351">
          <cell r="C1351" t="str">
            <v>PSP</v>
          </cell>
        </row>
        <row r="1352">
          <cell r="C1352" t="str">
            <v>GS</v>
          </cell>
        </row>
        <row r="1353">
          <cell r="C1353" t="str">
            <v>RS</v>
          </cell>
        </row>
        <row r="1354">
          <cell r="C1354" t="str">
            <v>RS</v>
          </cell>
        </row>
        <row r="1355">
          <cell r="C1355" t="str">
            <v>GS</v>
          </cell>
          <cell r="K1355">
            <v>79580535.01830551</v>
          </cell>
        </row>
        <row r="1356">
          <cell r="C1356" t="str">
            <v>GS</v>
          </cell>
        </row>
        <row r="1357">
          <cell r="C1357" t="str">
            <v>GS3</v>
          </cell>
          <cell r="K1357">
            <v>86182211.971874446</v>
          </cell>
        </row>
        <row r="1358">
          <cell r="C1358" t="str">
            <v>AES</v>
          </cell>
          <cell r="K1358">
            <v>677000</v>
          </cell>
        </row>
        <row r="1359">
          <cell r="C1359" t="str">
            <v>AES</v>
          </cell>
        </row>
        <row r="1360">
          <cell r="C1360" t="str">
            <v>AES3</v>
          </cell>
          <cell r="K1360">
            <v>13749000</v>
          </cell>
        </row>
        <row r="1361">
          <cell r="C1361" t="str">
            <v>AES3</v>
          </cell>
        </row>
        <row r="1362">
          <cell r="C1362" t="str">
            <v>AES3</v>
          </cell>
        </row>
        <row r="1363">
          <cell r="C1363" t="str">
            <v>AES3</v>
          </cell>
        </row>
        <row r="1364">
          <cell r="C1364" t="str">
            <v>AES3</v>
          </cell>
        </row>
        <row r="1365">
          <cell r="C1365" t="str">
            <v>AES</v>
          </cell>
        </row>
        <row r="1366">
          <cell r="C1366" t="str">
            <v>LE</v>
          </cell>
          <cell r="K1366">
            <v>52416.58819487811</v>
          </cell>
        </row>
        <row r="1367">
          <cell r="C1367" t="str">
            <v>LE</v>
          </cell>
        </row>
        <row r="1368">
          <cell r="C1368" t="str">
            <v>LE</v>
          </cell>
        </row>
        <row r="1369">
          <cell r="C1369" t="str">
            <v>TE</v>
          </cell>
          <cell r="K1369">
            <v>164746.68685094907</v>
          </cell>
        </row>
        <row r="1370">
          <cell r="C1370" t="str">
            <v>TE</v>
          </cell>
        </row>
        <row r="1371">
          <cell r="C1371" t="str">
            <v>TE</v>
          </cell>
        </row>
        <row r="1372">
          <cell r="C1372" t="str">
            <v>RTS</v>
          </cell>
        </row>
        <row r="1373">
          <cell r="C1373" t="str">
            <v>PSP</v>
          </cell>
        </row>
        <row r="1374">
          <cell r="C1374" t="str">
            <v>PSS</v>
          </cell>
          <cell r="K1374">
            <v>184186312.3441284</v>
          </cell>
        </row>
        <row r="1375">
          <cell r="C1375" t="str">
            <v>PSP</v>
          </cell>
        </row>
        <row r="1376">
          <cell r="C1376" t="str">
            <v>PSS</v>
          </cell>
        </row>
        <row r="1377">
          <cell r="C1377" t="str">
            <v>TODP</v>
          </cell>
          <cell r="K1377">
            <v>338786007.96074069</v>
          </cell>
        </row>
        <row r="1378">
          <cell r="C1378" t="str">
            <v>TODS</v>
          </cell>
        </row>
        <row r="1379">
          <cell r="C1379" t="str">
            <v>SQF</v>
          </cell>
        </row>
        <row r="1380">
          <cell r="C1380" t="str">
            <v>SQF</v>
          </cell>
        </row>
        <row r="1381">
          <cell r="C1381" t="str">
            <v>LQF</v>
          </cell>
        </row>
        <row r="1382">
          <cell r="C1382" t="str">
            <v>GS</v>
          </cell>
        </row>
        <row r="1383">
          <cell r="C1383" t="str">
            <v>GS3</v>
          </cell>
        </row>
        <row r="1384">
          <cell r="C1384" t="str">
            <v>RS</v>
          </cell>
        </row>
        <row r="1385">
          <cell r="C1385" t="str">
            <v>RS</v>
          </cell>
        </row>
        <row r="1386">
          <cell r="C1386" t="str">
            <v>CSR</v>
          </cell>
        </row>
        <row r="1387">
          <cell r="C1387" t="str">
            <v>CSR</v>
          </cell>
        </row>
        <row r="1388">
          <cell r="C1388" t="str">
            <v>CSR</v>
          </cell>
        </row>
        <row r="1389">
          <cell r="C1389" t="str">
            <v>CSR</v>
          </cell>
        </row>
        <row r="1390">
          <cell r="C1390" t="str">
            <v>CSR</v>
          </cell>
        </row>
        <row r="1391">
          <cell r="C1391" t="str">
            <v>GS</v>
          </cell>
        </row>
        <row r="1392">
          <cell r="C1392" t="str">
            <v>GS</v>
          </cell>
        </row>
        <row r="1393">
          <cell r="C1393" t="str">
            <v>GS</v>
          </cell>
        </row>
        <row r="1394">
          <cell r="C1394" t="str">
            <v>GS</v>
          </cell>
        </row>
        <row r="1395">
          <cell r="C1395" t="str">
            <v>GS</v>
          </cell>
        </row>
        <row r="1396">
          <cell r="C1396" t="str">
            <v>GS</v>
          </cell>
        </row>
        <row r="1397">
          <cell r="C1397" t="str">
            <v>GS</v>
          </cell>
        </row>
        <row r="1398">
          <cell r="C1398" t="str">
            <v>GS</v>
          </cell>
        </row>
        <row r="1399">
          <cell r="C1399" t="str">
            <v>GS</v>
          </cell>
        </row>
        <row r="1400">
          <cell r="C1400" t="str">
            <v>GS</v>
          </cell>
        </row>
        <row r="1401">
          <cell r="C1401" t="str">
            <v>GS</v>
          </cell>
        </row>
        <row r="1402">
          <cell r="C1402" t="str">
            <v>GS3</v>
          </cell>
        </row>
        <row r="1403">
          <cell r="C1403" t="str">
            <v>GS3</v>
          </cell>
        </row>
        <row r="1404">
          <cell r="C1404" t="str">
            <v>RTS</v>
          </cell>
        </row>
        <row r="1405">
          <cell r="C1405" t="str">
            <v>RTS</v>
          </cell>
          <cell r="K1405">
            <v>128141620.01965322</v>
          </cell>
        </row>
        <row r="1406">
          <cell r="C1406" t="str">
            <v>PSP</v>
          </cell>
        </row>
        <row r="1407">
          <cell r="C1407" t="str">
            <v>PSP</v>
          </cell>
        </row>
        <row r="1408">
          <cell r="C1408" t="str">
            <v>PSS</v>
          </cell>
        </row>
        <row r="1409">
          <cell r="C1409" t="str">
            <v>PSS</v>
          </cell>
        </row>
        <row r="1410">
          <cell r="C1410" t="str">
            <v>PSP</v>
          </cell>
        </row>
        <row r="1411">
          <cell r="C1411" t="str">
            <v>PSP</v>
          </cell>
        </row>
        <row r="1412">
          <cell r="C1412" t="str">
            <v>PSS</v>
          </cell>
        </row>
        <row r="1413">
          <cell r="C1413" t="str">
            <v>PSS</v>
          </cell>
        </row>
        <row r="1414">
          <cell r="C1414" t="str">
            <v>TODP</v>
          </cell>
        </row>
        <row r="1415">
          <cell r="C1415" t="str">
            <v>TODP</v>
          </cell>
        </row>
        <row r="1416">
          <cell r="C1416" t="str">
            <v>TODS</v>
          </cell>
        </row>
        <row r="1417">
          <cell r="C1417" t="str">
            <v>TODS</v>
          </cell>
        </row>
        <row r="1418">
          <cell r="C1418" t="str">
            <v>GS3</v>
          </cell>
        </row>
        <row r="1419">
          <cell r="C1419" t="str">
            <v>GS3</v>
          </cell>
        </row>
        <row r="1420">
          <cell r="C1420" t="str">
            <v>FLS</v>
          </cell>
          <cell r="K1420">
            <v>41843538.999491803</v>
          </cell>
        </row>
        <row r="1421">
          <cell r="C1421" t="str">
            <v>FLS</v>
          </cell>
        </row>
        <row r="1427">
          <cell r="C1427" t="str">
            <v>RS</v>
          </cell>
        </row>
        <row r="1428">
          <cell r="C1428" t="str">
            <v>RS</v>
          </cell>
          <cell r="K1428">
            <v>643584709.73703372</v>
          </cell>
        </row>
        <row r="1429">
          <cell r="C1429" t="str">
            <v>RS</v>
          </cell>
        </row>
        <row r="1430">
          <cell r="C1430" t="str">
            <v>RS</v>
          </cell>
        </row>
        <row r="1431">
          <cell r="C1431" t="str">
            <v>RTOD-E</v>
          </cell>
          <cell r="K1431">
            <v>35559.366300397873</v>
          </cell>
        </row>
        <row r="1432">
          <cell r="C1432" t="str">
            <v>RTOD-D</v>
          </cell>
        </row>
        <row r="1433">
          <cell r="C1433" t="str">
            <v>RS</v>
          </cell>
        </row>
        <row r="1434">
          <cell r="C1434" t="str">
            <v>RS</v>
          </cell>
        </row>
        <row r="1435">
          <cell r="C1435" t="str">
            <v>RS</v>
          </cell>
        </row>
        <row r="1436">
          <cell r="C1436" t="str">
            <v>RS</v>
          </cell>
        </row>
        <row r="1437">
          <cell r="C1437" t="str">
            <v>RTS</v>
          </cell>
        </row>
        <row r="1438">
          <cell r="C1438" t="str">
            <v>PSP</v>
          </cell>
          <cell r="K1438">
            <v>13970557.029308898</v>
          </cell>
        </row>
        <row r="1439">
          <cell r="C1439" t="str">
            <v>PSS</v>
          </cell>
        </row>
        <row r="1440">
          <cell r="C1440" t="str">
            <v>TODP</v>
          </cell>
        </row>
        <row r="1441">
          <cell r="C1441" t="str">
            <v>PSP</v>
          </cell>
        </row>
        <row r="1442">
          <cell r="C1442" t="str">
            <v>PSS</v>
          </cell>
        </row>
        <row r="1443">
          <cell r="C1443" t="str">
            <v>TODP</v>
          </cell>
        </row>
        <row r="1444">
          <cell r="C1444" t="str">
            <v>TODS</v>
          </cell>
          <cell r="K1444">
            <v>141890406.98313552</v>
          </cell>
        </row>
        <row r="1445">
          <cell r="C1445" t="str">
            <v>TOD</v>
          </cell>
        </row>
        <row r="1446">
          <cell r="C1446" t="str">
            <v>MPT</v>
          </cell>
        </row>
        <row r="1447">
          <cell r="C1447" t="str">
            <v>MPP</v>
          </cell>
        </row>
        <row r="1448">
          <cell r="C1448" t="str">
            <v>LTOD</v>
          </cell>
        </row>
        <row r="1449">
          <cell r="C1449" t="str">
            <v>LTOD</v>
          </cell>
        </row>
        <row r="1450">
          <cell r="C1450" t="str">
            <v>MPP PF</v>
          </cell>
        </row>
        <row r="1451">
          <cell r="C1451" t="str">
            <v>MPT PF</v>
          </cell>
        </row>
        <row r="1452">
          <cell r="C1452" t="str">
            <v>LEV</v>
          </cell>
        </row>
        <row r="1453">
          <cell r="C1453" t="str">
            <v>GS</v>
          </cell>
        </row>
        <row r="1454">
          <cell r="C1454" t="str">
            <v>GS</v>
          </cell>
        </row>
        <row r="1455">
          <cell r="C1455" t="str">
            <v>GS3</v>
          </cell>
        </row>
        <row r="1456">
          <cell r="C1456" t="str">
            <v>GS3</v>
          </cell>
        </row>
        <row r="1457">
          <cell r="C1457" t="str">
            <v>LEV</v>
          </cell>
        </row>
        <row r="1458">
          <cell r="C1458" t="str">
            <v>CSR</v>
          </cell>
        </row>
        <row r="1459">
          <cell r="C1459" t="str">
            <v>CSR</v>
          </cell>
        </row>
        <row r="1460">
          <cell r="C1460" t="str">
            <v>CSR</v>
          </cell>
        </row>
        <row r="1461">
          <cell r="C1461" t="str">
            <v>CSR</v>
          </cell>
        </row>
        <row r="1462">
          <cell r="C1462" t="str">
            <v>CSR</v>
          </cell>
        </row>
        <row r="1463">
          <cell r="C1463" t="str">
            <v>CSR</v>
          </cell>
        </row>
        <row r="1464">
          <cell r="C1464" t="str">
            <v>CSR</v>
          </cell>
        </row>
        <row r="1465">
          <cell r="C1465" t="str">
            <v>CSR</v>
          </cell>
        </row>
        <row r="1466">
          <cell r="C1466" t="str">
            <v>LEV</v>
          </cell>
        </row>
        <row r="1467">
          <cell r="C1467" t="str">
            <v>LEV</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Tab"/>
      <sheetName val="LGE Gross Margin-Inc.Stmt"/>
      <sheetName val="KU Gross Margin -Inc.Stmt"/>
      <sheetName val="Combined Gross Margin-Inc.Stmt"/>
      <sheetName val="LGE Retail Margin"/>
      <sheetName val="KU Retail Margin"/>
      <sheetName val="ODP Retail Margin"/>
      <sheetName val="Total KU Retail Margin"/>
      <sheetName val="Combined Retail Margin"/>
      <sheetName val="LGE OSS Margin"/>
      <sheetName val="KU OSS Margin"/>
      <sheetName val="Combined OSS Margin"/>
      <sheetName val="LGE Rev by Comp"/>
      <sheetName val="KU Rev by Comp"/>
      <sheetName val="Combined Rev by Comp"/>
      <sheetName val="LGE Cost of Sales"/>
      <sheetName val="KU Cost of Sales"/>
      <sheetName val="Combined Cost of Sales"/>
      <sheetName val="LGE Sales"/>
      <sheetName val="KU Sales"/>
      <sheetName val="ODP Sales"/>
      <sheetName val="Combined KU &amp; ODP Sales"/>
      <sheetName val="LGE Base Electric Revenues"/>
      <sheetName val="KU Base Electric Revenues"/>
      <sheetName val="ODP Base Electric Revenues"/>
      <sheetName val="Municipals Base Electric Revs"/>
      <sheetName val="Rate Case"/>
      <sheetName val="LGE Base Fuel &amp; FAC"/>
      <sheetName val="KU Base Fuel &amp; FAC"/>
      <sheetName val="LGE Other Electric-Gas Revenues"/>
      <sheetName val="KU Other Electric Revenues"/>
      <sheetName val="LG&amp;E ECR"/>
      <sheetName val="KU ECR"/>
      <sheetName val="LG&amp;E VDT"/>
      <sheetName val="KU VDT"/>
      <sheetName val="LG&amp;E DSM"/>
      <sheetName val="KU DSM "/>
      <sheetName val="Merger Surcredit"/>
      <sheetName val="LGE Misc Rev"/>
      <sheetName val="KU Misc Rev"/>
      <sheetName val="LGE Revenue Average Price"/>
      <sheetName val="KU Revenue Average Price "/>
      <sheetName val="LGE Require &amp; Source"/>
      <sheetName val="KU Require &amp; Source"/>
      <sheetName val="LGE Coal"/>
      <sheetName val="KU Coal "/>
      <sheetName val="LGE Gas Margin"/>
      <sheetName val="LGE Gas Revenue Summary"/>
      <sheetName val="LGE Base Gas Revenues"/>
      <sheetName val="LGE GSC Revenues"/>
      <sheetName val="Combined Balance Sheet"/>
      <sheetName val="LGE Electric Comparison"/>
      <sheetName val="KU Electric Comparison"/>
      <sheetName val="Combined Electric Comparison"/>
      <sheetName val="LGE Gas Comparison"/>
      <sheetName val="LGE Budget Inputs"/>
      <sheetName val="KU Budget Inputs"/>
      <sheetName val="ODP Budget Inputs"/>
      <sheetName val="LGE Budget Upload-2005"/>
      <sheetName val="KU Budget Upload-2005"/>
      <sheetName val="KU Revenue Accounting"/>
      <sheetName val="KU Summary of S&amp;R"/>
      <sheetName val="GM KPI 2006"/>
      <sheetName val="Annual_LGE"/>
      <sheetName val="Gross Margin 2006-2008 Plan"/>
      <sheetName val="LGE Gas-Ultimate Cons"/>
      <sheetName val="Combined Summary"/>
      <sheetName val="LGE Comparison"/>
      <sheetName val="KU Comparison"/>
      <sheetName val="Combined LGE &amp; KU Comparison"/>
      <sheetName val="LGE Reven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RevDatabase"/>
      <sheetName val="BudgetDatabase"/>
      <sheetName val="KWHDistDatabase"/>
      <sheetName val="RevDatabase (2)"/>
    </sheetNames>
    <sheetDataSet>
      <sheetData sheetId="0"/>
      <sheetData sheetId="1" refreshError="1">
        <row r="12">
          <cell r="M12">
            <v>38541.687344907405</v>
          </cell>
          <cell r="O12">
            <v>38541.690394560188</v>
          </cell>
          <cell r="AE12">
            <v>38553.463117129628</v>
          </cell>
        </row>
        <row r="19">
          <cell r="K19">
            <v>6</v>
          </cell>
          <cell r="AE19">
            <v>7</v>
          </cell>
        </row>
        <row r="21">
          <cell r="K21">
            <v>2005</v>
          </cell>
          <cell r="AE21">
            <v>2005</v>
          </cell>
        </row>
        <row r="30">
          <cell r="M30">
            <v>31</v>
          </cell>
        </row>
        <row r="43">
          <cell r="M43">
            <v>1</v>
          </cell>
        </row>
        <row r="44">
          <cell r="M44">
            <v>2</v>
          </cell>
        </row>
        <row r="45">
          <cell r="M45">
            <v>3</v>
          </cell>
        </row>
        <row r="48">
          <cell r="M48">
            <v>4</v>
          </cell>
        </row>
        <row r="49">
          <cell r="M49">
            <v>5</v>
          </cell>
        </row>
        <row r="50">
          <cell r="M50">
            <v>6</v>
          </cell>
        </row>
        <row r="51">
          <cell r="M51">
            <v>7</v>
          </cell>
        </row>
        <row r="52">
          <cell r="M52">
            <v>8</v>
          </cell>
        </row>
        <row r="55">
          <cell r="M55">
            <v>9</v>
          </cell>
        </row>
        <row r="56">
          <cell r="M56">
            <v>10</v>
          </cell>
        </row>
        <row r="57">
          <cell r="M57">
            <v>11</v>
          </cell>
        </row>
        <row r="58">
          <cell r="M58">
            <v>12</v>
          </cell>
        </row>
        <row r="59">
          <cell r="M59">
            <v>13</v>
          </cell>
        </row>
        <row r="62">
          <cell r="M62">
            <v>14</v>
          </cell>
        </row>
        <row r="63">
          <cell r="M63">
            <v>15</v>
          </cell>
        </row>
        <row r="64">
          <cell r="M64">
            <v>16</v>
          </cell>
        </row>
        <row r="65">
          <cell r="M65">
            <v>17</v>
          </cell>
        </row>
        <row r="66">
          <cell r="M66">
            <v>18</v>
          </cell>
        </row>
        <row r="70">
          <cell r="M70">
            <v>19</v>
          </cell>
        </row>
        <row r="71">
          <cell r="M71">
            <v>20</v>
          </cell>
        </row>
        <row r="100">
          <cell r="O100">
            <v>0</v>
          </cell>
          <cell r="Q100">
            <v>0</v>
          </cell>
        </row>
        <row r="110">
          <cell r="O110">
            <v>1.1800000000000001E-3</v>
          </cell>
          <cell r="Q110">
            <v>2.0129999999999999E-2</v>
          </cell>
        </row>
        <row r="116">
          <cell r="O116">
            <v>2.01E-2</v>
          </cell>
        </row>
        <row r="118">
          <cell r="O118">
            <v>-2.503E-2</v>
          </cell>
          <cell r="Q118">
            <v>-1.23E-3</v>
          </cell>
        </row>
        <row r="120">
          <cell r="O120">
            <v>0</v>
          </cell>
        </row>
        <row r="122">
          <cell r="O122">
            <v>-4.1000000000000003E-3</v>
          </cell>
        </row>
        <row r="133">
          <cell r="M133">
            <v>1909011000</v>
          </cell>
          <cell r="O133">
            <v>71598689</v>
          </cell>
        </row>
        <row r="136">
          <cell r="M136">
            <v>109879303</v>
          </cell>
          <cell r="O136">
            <v>4786499</v>
          </cell>
        </row>
        <row r="139">
          <cell r="O139">
            <v>68971241</v>
          </cell>
        </row>
        <row r="142">
          <cell r="O142">
            <v>4500</v>
          </cell>
        </row>
        <row r="151">
          <cell r="O151">
            <v>55618</v>
          </cell>
        </row>
        <row r="152">
          <cell r="O152">
            <v>54587</v>
          </cell>
        </row>
        <row r="153">
          <cell r="O153">
            <v>57093</v>
          </cell>
        </row>
        <row r="154">
          <cell r="O154">
            <v>55989</v>
          </cell>
        </row>
        <row r="155">
          <cell r="O155">
            <v>58583</v>
          </cell>
        </row>
        <row r="156">
          <cell r="O156">
            <v>72619</v>
          </cell>
        </row>
        <row r="157">
          <cell r="O157">
            <v>69053</v>
          </cell>
        </row>
        <row r="158">
          <cell r="O158">
            <v>70289</v>
          </cell>
        </row>
        <row r="159">
          <cell r="O159">
            <v>70745</v>
          </cell>
        </row>
        <row r="160">
          <cell r="O160">
            <v>69742</v>
          </cell>
        </row>
        <row r="161">
          <cell r="O161">
            <v>56625</v>
          </cell>
        </row>
        <row r="162">
          <cell r="O162">
            <v>56514</v>
          </cell>
        </row>
        <row r="163">
          <cell r="O163">
            <v>59021</v>
          </cell>
        </row>
        <row r="164">
          <cell r="O164">
            <v>70651</v>
          </cell>
        </row>
        <row r="165">
          <cell r="O165">
            <v>66257</v>
          </cell>
        </row>
        <row r="166">
          <cell r="O166">
            <v>61762</v>
          </cell>
        </row>
        <row r="167">
          <cell r="O167">
            <v>58610</v>
          </cell>
        </row>
        <row r="168">
          <cell r="O168">
            <v>51014</v>
          </cell>
        </row>
        <row r="169">
          <cell r="O169">
            <v>50094</v>
          </cell>
        </row>
        <row r="170">
          <cell r="O170">
            <v>61324</v>
          </cell>
        </row>
        <row r="171">
          <cell r="O171">
            <v>64326</v>
          </cell>
        </row>
        <row r="172">
          <cell r="O172">
            <v>68072</v>
          </cell>
        </row>
        <row r="173">
          <cell r="O173">
            <v>68409</v>
          </cell>
        </row>
        <row r="174">
          <cell r="O174">
            <v>69340</v>
          </cell>
        </row>
        <row r="175">
          <cell r="O175">
            <v>65399</v>
          </cell>
        </row>
        <row r="176">
          <cell r="O176">
            <v>62370</v>
          </cell>
        </row>
        <row r="177">
          <cell r="O177">
            <v>71963</v>
          </cell>
        </row>
        <row r="178">
          <cell r="O178">
            <v>92580</v>
          </cell>
        </row>
        <row r="179">
          <cell r="O179">
            <v>73612</v>
          </cell>
        </row>
        <row r="180">
          <cell r="O180">
            <v>75222</v>
          </cell>
        </row>
        <row r="259">
          <cell r="O259">
            <v>0</v>
          </cell>
        </row>
        <row r="262">
          <cell r="O262">
            <v>0</v>
          </cell>
        </row>
        <row r="265">
          <cell r="O265">
            <v>0</v>
          </cell>
        </row>
        <row r="268">
          <cell r="O268">
            <v>0</v>
          </cell>
        </row>
        <row r="269">
          <cell r="O269">
            <v>0</v>
          </cell>
        </row>
        <row r="271">
          <cell r="O271">
            <v>3500</v>
          </cell>
        </row>
        <row r="272">
          <cell r="O272">
            <v>13182.6</v>
          </cell>
        </row>
        <row r="274">
          <cell r="O274">
            <v>0</v>
          </cell>
        </row>
        <row r="277">
          <cell r="O277">
            <v>0</v>
          </cell>
        </row>
        <row r="280">
          <cell r="O280">
            <v>0</v>
          </cell>
        </row>
        <row r="283">
          <cell r="O283">
            <v>0</v>
          </cell>
        </row>
        <row r="296">
          <cell r="G296">
            <v>0</v>
          </cell>
          <cell r="I296">
            <v>0</v>
          </cell>
          <cell r="K296">
            <v>0</v>
          </cell>
          <cell r="M296">
            <v>0</v>
          </cell>
          <cell r="O296">
            <v>0</v>
          </cell>
          <cell r="Q296">
            <v>0</v>
          </cell>
        </row>
        <row r="306">
          <cell r="I306">
            <v>0</v>
          </cell>
          <cell r="K306">
            <v>0</v>
          </cell>
        </row>
        <row r="316">
          <cell r="K316">
            <v>0</v>
          </cell>
          <cell r="M316">
            <v>0</v>
          </cell>
          <cell r="O316">
            <v>0</v>
          </cell>
          <cell r="Q316">
            <v>0</v>
          </cell>
        </row>
        <row r="318">
          <cell r="K318">
            <v>0</v>
          </cell>
          <cell r="M318">
            <v>0</v>
          </cell>
          <cell r="O318">
            <v>0</v>
          </cell>
          <cell r="Q318">
            <v>0</v>
          </cell>
        </row>
        <row r="328">
          <cell r="K328">
            <v>0</v>
          </cell>
          <cell r="M328">
            <v>0</v>
          </cell>
        </row>
        <row r="330">
          <cell r="K330">
            <v>0</v>
          </cell>
          <cell r="M330">
            <v>0</v>
          </cell>
        </row>
        <row r="345">
          <cell r="M345">
            <v>0</v>
          </cell>
          <cell r="O345">
            <v>0</v>
          </cell>
        </row>
        <row r="347">
          <cell r="K347">
            <v>180189000</v>
          </cell>
          <cell r="M347">
            <v>0</v>
          </cell>
          <cell r="O347">
            <v>7692007.3200000003</v>
          </cell>
        </row>
        <row r="349">
          <cell r="K349">
            <v>0</v>
          </cell>
          <cell r="M349">
            <v>0</v>
          </cell>
          <cell r="O349">
            <v>0</v>
          </cell>
        </row>
        <row r="355">
          <cell r="K355">
            <v>145395000</v>
          </cell>
          <cell r="M355">
            <v>0</v>
          </cell>
          <cell r="O355">
            <v>5898152.6699999999</v>
          </cell>
        </row>
        <row r="362">
          <cell r="K362">
            <v>0</v>
          </cell>
          <cell r="M362">
            <v>0</v>
          </cell>
          <cell r="O362">
            <v>0</v>
          </cell>
        </row>
        <row r="364">
          <cell r="K364">
            <v>3622984</v>
          </cell>
          <cell r="M364">
            <v>0</v>
          </cell>
          <cell r="O364">
            <v>338534.34</v>
          </cell>
        </row>
        <row r="370">
          <cell r="K370">
            <v>0</v>
          </cell>
          <cell r="M370">
            <v>0</v>
          </cell>
          <cell r="O370">
            <v>0</v>
          </cell>
        </row>
        <row r="383">
          <cell r="M383">
            <v>0</v>
          </cell>
        </row>
        <row r="385">
          <cell r="M385">
            <v>0</v>
          </cell>
        </row>
        <row r="387">
          <cell r="M387">
            <v>0</v>
          </cell>
        </row>
        <row r="389">
          <cell r="O389">
            <v>0</v>
          </cell>
        </row>
        <row r="391">
          <cell r="M391">
            <v>0</v>
          </cell>
          <cell r="O391">
            <v>0</v>
          </cell>
        </row>
        <row r="406">
          <cell r="M406">
            <v>409909.69</v>
          </cell>
        </row>
        <row r="408">
          <cell r="M408">
            <v>201457.04</v>
          </cell>
        </row>
        <row r="410">
          <cell r="M410">
            <v>11913.36</v>
          </cell>
        </row>
        <row r="412">
          <cell r="M412">
            <v>35686.78</v>
          </cell>
        </row>
        <row r="414">
          <cell r="M414">
            <v>220.03</v>
          </cell>
        </row>
        <row r="416">
          <cell r="M416">
            <v>6.72</v>
          </cell>
        </row>
        <row r="418">
          <cell r="M418">
            <v>2.95</v>
          </cell>
        </row>
        <row r="424">
          <cell r="M424">
            <v>0</v>
          </cell>
        </row>
        <row r="433">
          <cell r="M433">
            <v>1220732.58</v>
          </cell>
          <cell r="O433">
            <v>10989.78</v>
          </cell>
        </row>
      </sheetData>
      <sheetData sheetId="2"/>
      <sheetData sheetId="3" refreshError="1">
        <row r="5">
          <cell r="J5">
            <v>38504</v>
          </cell>
          <cell r="K5">
            <v>38473</v>
          </cell>
          <cell r="L5">
            <v>38443</v>
          </cell>
          <cell r="M5">
            <v>38412</v>
          </cell>
          <cell r="N5">
            <v>38384</v>
          </cell>
          <cell r="O5">
            <v>38353</v>
          </cell>
          <cell r="P5">
            <v>38322</v>
          </cell>
          <cell r="Q5">
            <v>38292</v>
          </cell>
          <cell r="R5">
            <v>38261</v>
          </cell>
          <cell r="S5">
            <v>38231</v>
          </cell>
          <cell r="T5">
            <v>38200</v>
          </cell>
          <cell r="U5">
            <v>38169</v>
          </cell>
          <cell r="V5">
            <v>38139</v>
          </cell>
          <cell r="W5">
            <v>38108</v>
          </cell>
          <cell r="X5">
            <v>38078</v>
          </cell>
          <cell r="Y5">
            <v>38047</v>
          </cell>
          <cell r="Z5">
            <v>38018</v>
          </cell>
          <cell r="AA5">
            <v>37987</v>
          </cell>
          <cell r="AB5">
            <v>37956</v>
          </cell>
          <cell r="AC5">
            <v>37926</v>
          </cell>
          <cell r="AD5">
            <v>37895</v>
          </cell>
          <cell r="AE5">
            <v>37865</v>
          </cell>
          <cell r="AF5">
            <v>37834</v>
          </cell>
          <cell r="AG5">
            <v>37803</v>
          </cell>
          <cell r="AH5">
            <v>37773</v>
          </cell>
          <cell r="AJ5">
            <v>38473</v>
          </cell>
        </row>
        <row r="7">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J7">
            <v>0</v>
          </cell>
        </row>
        <row r="8">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J8">
            <v>0</v>
          </cell>
        </row>
        <row r="9">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J9">
            <v>0</v>
          </cell>
        </row>
        <row r="10">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J10">
            <v>0</v>
          </cell>
        </row>
        <row r="14">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J14">
            <v>0</v>
          </cell>
        </row>
        <row r="15">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J15">
            <v>0</v>
          </cell>
        </row>
        <row r="16">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J16">
            <v>0</v>
          </cell>
        </row>
        <row r="17">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J17">
            <v>0</v>
          </cell>
        </row>
        <row r="18">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J18">
            <v>0</v>
          </cell>
        </row>
        <row r="19">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J19">
            <v>0</v>
          </cell>
        </row>
        <row r="20">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J20">
            <v>0</v>
          </cell>
        </row>
        <row r="21">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J21">
            <v>0</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J22">
            <v>0</v>
          </cell>
        </row>
        <row r="23">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J23">
            <v>0</v>
          </cell>
        </row>
        <row r="24">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J24">
            <v>0</v>
          </cell>
        </row>
        <row r="25">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J25">
            <v>0</v>
          </cell>
        </row>
        <row r="27">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J27">
            <v>0</v>
          </cell>
        </row>
        <row r="28">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J28">
            <v>0</v>
          </cell>
        </row>
        <row r="29">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J29">
            <v>0</v>
          </cell>
        </row>
        <row r="30">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J30">
            <v>0</v>
          </cell>
        </row>
        <row r="31">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J31">
            <v>0</v>
          </cell>
        </row>
        <row r="32">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J32">
            <v>0</v>
          </cell>
        </row>
        <row r="33">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J33">
            <v>0</v>
          </cell>
        </row>
        <row r="34">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J34">
            <v>0</v>
          </cell>
        </row>
        <row r="35">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J35">
            <v>0</v>
          </cell>
        </row>
        <row r="36">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J36">
            <v>0</v>
          </cell>
        </row>
        <row r="37">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J37">
            <v>0</v>
          </cell>
        </row>
        <row r="38">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J38">
            <v>0</v>
          </cell>
        </row>
        <row r="40">
          <cell r="J40">
            <v>419185869</v>
          </cell>
          <cell r="K40">
            <v>348705654</v>
          </cell>
          <cell r="L40">
            <v>445763677</v>
          </cell>
          <cell r="M40">
            <v>501016562</v>
          </cell>
          <cell r="N40">
            <v>569345574</v>
          </cell>
          <cell r="O40">
            <v>697156928</v>
          </cell>
          <cell r="P40">
            <v>338833591</v>
          </cell>
          <cell r="Q40">
            <v>247369974</v>
          </cell>
          <cell r="R40">
            <v>234302586</v>
          </cell>
          <cell r="S40">
            <v>348643287</v>
          </cell>
          <cell r="T40">
            <v>378399000</v>
          </cell>
          <cell r="U40">
            <v>386762447</v>
          </cell>
          <cell r="V40">
            <v>294265744</v>
          </cell>
          <cell r="W40">
            <v>231025040</v>
          </cell>
          <cell r="X40">
            <v>274732486</v>
          </cell>
          <cell r="Y40">
            <v>323105410</v>
          </cell>
          <cell r="Z40">
            <v>370514475</v>
          </cell>
          <cell r="AA40">
            <v>435684653</v>
          </cell>
          <cell r="AB40">
            <v>325161377</v>
          </cell>
          <cell r="AC40">
            <v>232496144</v>
          </cell>
          <cell r="AD40">
            <v>237819479</v>
          </cell>
          <cell r="AE40">
            <v>325651647</v>
          </cell>
          <cell r="AF40">
            <v>386600461</v>
          </cell>
          <cell r="AG40">
            <v>367706272</v>
          </cell>
          <cell r="AH40">
            <v>285560751</v>
          </cell>
          <cell r="AJ40">
            <v>348705654</v>
          </cell>
        </row>
        <row r="41">
          <cell r="J41">
            <v>0</v>
          </cell>
          <cell r="K41">
            <v>0</v>
          </cell>
          <cell r="L41">
            <v>0</v>
          </cell>
          <cell r="M41">
            <v>0</v>
          </cell>
          <cell r="N41">
            <v>0</v>
          </cell>
          <cell r="O41">
            <v>0</v>
          </cell>
          <cell r="P41">
            <v>187017460</v>
          </cell>
          <cell r="Q41">
            <v>130677260</v>
          </cell>
          <cell r="R41">
            <v>105630697</v>
          </cell>
          <cell r="S41">
            <v>145665870</v>
          </cell>
          <cell r="T41">
            <v>158019901</v>
          </cell>
          <cell r="U41">
            <v>163493490</v>
          </cell>
          <cell r="V41">
            <v>130265199</v>
          </cell>
          <cell r="W41">
            <v>107535448</v>
          </cell>
          <cell r="X41">
            <v>147043134</v>
          </cell>
          <cell r="Y41">
            <v>183285426</v>
          </cell>
          <cell r="Z41">
            <v>212355642</v>
          </cell>
          <cell r="AA41">
            <v>252839460</v>
          </cell>
          <cell r="AB41">
            <v>176380963</v>
          </cell>
          <cell r="AC41">
            <v>122982733</v>
          </cell>
          <cell r="AD41">
            <v>110735254</v>
          </cell>
          <cell r="AE41">
            <v>137713282</v>
          </cell>
          <cell r="AF41">
            <v>161900687</v>
          </cell>
          <cell r="AG41">
            <v>155843395</v>
          </cell>
          <cell r="AH41">
            <v>126018785</v>
          </cell>
          <cell r="AJ41">
            <v>0</v>
          </cell>
        </row>
        <row r="42">
          <cell r="J42">
            <v>0</v>
          </cell>
          <cell r="K42">
            <v>0</v>
          </cell>
          <cell r="L42">
            <v>0</v>
          </cell>
          <cell r="M42">
            <v>0</v>
          </cell>
          <cell r="N42">
            <v>0</v>
          </cell>
          <cell r="O42">
            <v>0</v>
          </cell>
          <cell r="P42">
            <v>47246145</v>
          </cell>
          <cell r="Q42">
            <v>40186287</v>
          </cell>
          <cell r="R42">
            <v>41619926</v>
          </cell>
          <cell r="S42">
            <v>49389991</v>
          </cell>
          <cell r="T42">
            <v>48417009</v>
          </cell>
          <cell r="U42">
            <v>48270259</v>
          </cell>
          <cell r="V42">
            <v>43695002</v>
          </cell>
          <cell r="W42">
            <v>38110692</v>
          </cell>
          <cell r="X42">
            <v>41573683</v>
          </cell>
          <cell r="Y42">
            <v>44536855</v>
          </cell>
          <cell r="Z42">
            <v>48292708</v>
          </cell>
          <cell r="AA42">
            <v>53736782</v>
          </cell>
          <cell r="AB42">
            <v>45298617</v>
          </cell>
          <cell r="AC42">
            <v>39756532</v>
          </cell>
          <cell r="AD42">
            <v>40417272</v>
          </cell>
          <cell r="AE42">
            <v>47624041</v>
          </cell>
          <cell r="AF42">
            <v>48928479</v>
          </cell>
          <cell r="AG42">
            <v>47279397</v>
          </cell>
          <cell r="AH42">
            <v>42290163</v>
          </cell>
          <cell r="AJ42">
            <v>0</v>
          </cell>
        </row>
        <row r="43">
          <cell r="J43">
            <v>372380652</v>
          </cell>
          <cell r="K43">
            <v>324280804</v>
          </cell>
          <cell r="L43">
            <v>317049048</v>
          </cell>
          <cell r="M43">
            <v>328417951</v>
          </cell>
          <cell r="N43">
            <v>347166583</v>
          </cell>
          <cell r="O43">
            <v>381363518</v>
          </cell>
          <cell r="P43">
            <v>293808944</v>
          </cell>
          <cell r="Q43">
            <v>265077677</v>
          </cell>
          <cell r="R43">
            <v>291077918</v>
          </cell>
          <cell r="S43">
            <v>349085244</v>
          </cell>
          <cell r="T43">
            <v>342282631</v>
          </cell>
          <cell r="U43">
            <v>354059066</v>
          </cell>
          <cell r="V43">
            <v>313710971</v>
          </cell>
          <cell r="W43">
            <v>274988572</v>
          </cell>
          <cell r="X43">
            <v>268458345</v>
          </cell>
          <cell r="Y43">
            <v>271136290</v>
          </cell>
          <cell r="Z43">
            <v>286022529</v>
          </cell>
          <cell r="AA43">
            <v>309144140</v>
          </cell>
          <cell r="AB43">
            <v>295817234</v>
          </cell>
          <cell r="AC43">
            <v>268684707</v>
          </cell>
          <cell r="AD43">
            <v>284450933</v>
          </cell>
          <cell r="AE43">
            <v>337248054</v>
          </cell>
          <cell r="AF43">
            <v>350751861</v>
          </cell>
          <cell r="AG43">
            <v>348604623</v>
          </cell>
          <cell r="AH43">
            <v>314645846</v>
          </cell>
          <cell r="AJ43">
            <v>324280804</v>
          </cell>
        </row>
        <row r="44">
          <cell r="J44">
            <v>458061348</v>
          </cell>
          <cell r="K44">
            <v>444606417</v>
          </cell>
          <cell r="L44">
            <v>422222985</v>
          </cell>
          <cell r="M44">
            <v>427612535</v>
          </cell>
          <cell r="N44">
            <v>428298939</v>
          </cell>
          <cell r="O44">
            <v>426048278</v>
          </cell>
          <cell r="P44">
            <v>458919475</v>
          </cell>
          <cell r="Q44">
            <v>453189558</v>
          </cell>
          <cell r="R44">
            <v>456071954</v>
          </cell>
          <cell r="S44">
            <v>499347424</v>
          </cell>
          <cell r="T44">
            <v>461003541</v>
          </cell>
          <cell r="U44">
            <v>462838983</v>
          </cell>
          <cell r="V44">
            <v>464770845</v>
          </cell>
          <cell r="W44">
            <v>451662695</v>
          </cell>
          <cell r="X44">
            <v>440391952</v>
          </cell>
          <cell r="Y44">
            <v>424591402</v>
          </cell>
          <cell r="Z44">
            <v>429479422</v>
          </cell>
          <cell r="AA44">
            <v>420144187</v>
          </cell>
          <cell r="AB44">
            <v>436070806</v>
          </cell>
          <cell r="AC44">
            <v>438159483</v>
          </cell>
          <cell r="AD44">
            <v>449486108</v>
          </cell>
          <cell r="AE44">
            <v>471797149</v>
          </cell>
          <cell r="AF44">
            <v>464635083</v>
          </cell>
          <cell r="AG44">
            <v>454449553</v>
          </cell>
          <cell r="AH44">
            <v>459414836</v>
          </cell>
          <cell r="AJ44">
            <v>444606417</v>
          </cell>
        </row>
        <row r="45">
          <cell r="J45">
            <v>41051753</v>
          </cell>
          <cell r="K45">
            <v>40464689</v>
          </cell>
          <cell r="L45">
            <v>44400053</v>
          </cell>
          <cell r="M45">
            <v>47524035</v>
          </cell>
          <cell r="N45">
            <v>47036276</v>
          </cell>
          <cell r="O45">
            <v>49062950</v>
          </cell>
          <cell r="P45">
            <v>46726057</v>
          </cell>
          <cell r="Q45">
            <v>45725982</v>
          </cell>
          <cell r="R45">
            <v>41653502</v>
          </cell>
          <cell r="S45">
            <v>43540838</v>
          </cell>
          <cell r="T45">
            <v>41471734</v>
          </cell>
          <cell r="U45">
            <v>37636971</v>
          </cell>
          <cell r="V45">
            <v>43029626</v>
          </cell>
          <cell r="W45">
            <v>40748396</v>
          </cell>
          <cell r="X45">
            <v>45915756</v>
          </cell>
          <cell r="Y45">
            <v>48922730</v>
          </cell>
          <cell r="Z45">
            <v>48620235</v>
          </cell>
          <cell r="AA45">
            <v>50986883</v>
          </cell>
          <cell r="AB45">
            <v>44827516</v>
          </cell>
          <cell r="AC45">
            <v>43922254</v>
          </cell>
          <cell r="AD45">
            <v>40646644</v>
          </cell>
          <cell r="AE45">
            <v>41312924</v>
          </cell>
          <cell r="AF45">
            <v>41079125</v>
          </cell>
          <cell r="AG45">
            <v>35841365</v>
          </cell>
          <cell r="AH45">
            <v>41919123</v>
          </cell>
          <cell r="AJ45">
            <v>40464689</v>
          </cell>
        </row>
        <row r="46">
          <cell r="J46">
            <v>4262471</v>
          </cell>
          <cell r="K46">
            <v>4188599</v>
          </cell>
          <cell r="L46">
            <v>4576520</v>
          </cell>
          <cell r="M46">
            <v>5116286</v>
          </cell>
          <cell r="N46">
            <v>5106227</v>
          </cell>
          <cell r="O46">
            <v>5886500</v>
          </cell>
          <cell r="P46">
            <v>6100235</v>
          </cell>
          <cell r="Q46">
            <v>5559259</v>
          </cell>
          <cell r="R46">
            <v>5248977</v>
          </cell>
          <cell r="S46">
            <v>4857934</v>
          </cell>
          <cell r="T46">
            <v>4326706</v>
          </cell>
          <cell r="U46">
            <v>4270886</v>
          </cell>
          <cell r="V46">
            <v>4058532</v>
          </cell>
          <cell r="W46">
            <v>4076931</v>
          </cell>
          <cell r="X46">
            <v>4498007</v>
          </cell>
          <cell r="Y46">
            <v>5068226</v>
          </cell>
          <cell r="Z46">
            <v>5099089</v>
          </cell>
          <cell r="AA46">
            <v>5586954</v>
          </cell>
          <cell r="AB46">
            <v>6475862</v>
          </cell>
          <cell r="AC46">
            <v>5754170</v>
          </cell>
          <cell r="AD46">
            <v>5380564</v>
          </cell>
          <cell r="AE46">
            <v>4815634</v>
          </cell>
          <cell r="AF46">
            <v>4515600</v>
          </cell>
          <cell r="AG46">
            <v>4347822</v>
          </cell>
          <cell r="AH46">
            <v>4219468</v>
          </cell>
          <cell r="AJ46">
            <v>4188599</v>
          </cell>
        </row>
        <row r="47">
          <cell r="J47">
            <v>125487281</v>
          </cell>
          <cell r="K47">
            <v>113342398</v>
          </cell>
          <cell r="L47">
            <v>108088969</v>
          </cell>
          <cell r="M47">
            <v>109633801</v>
          </cell>
          <cell r="N47">
            <v>116675357</v>
          </cell>
          <cell r="O47">
            <v>121239038</v>
          </cell>
          <cell r="P47">
            <v>112691610</v>
          </cell>
          <cell r="Q47">
            <v>102228229</v>
          </cell>
          <cell r="R47">
            <v>115200135</v>
          </cell>
          <cell r="S47">
            <v>144121891</v>
          </cell>
          <cell r="T47">
            <v>129564720</v>
          </cell>
          <cell r="U47">
            <v>133066066</v>
          </cell>
          <cell r="V47">
            <v>120648071</v>
          </cell>
          <cell r="W47">
            <v>107652260</v>
          </cell>
          <cell r="X47">
            <v>105198162</v>
          </cell>
          <cell r="Y47">
            <v>107745101</v>
          </cell>
          <cell r="Z47">
            <v>112111053</v>
          </cell>
          <cell r="AA47">
            <v>114687368</v>
          </cell>
          <cell r="AB47">
            <v>114672698</v>
          </cell>
          <cell r="AC47">
            <v>102604299</v>
          </cell>
          <cell r="AD47">
            <v>113731529</v>
          </cell>
          <cell r="AE47">
            <v>139719175</v>
          </cell>
          <cell r="AF47">
            <v>131312225</v>
          </cell>
          <cell r="AG47">
            <v>130832395</v>
          </cell>
          <cell r="AH47">
            <v>118066259</v>
          </cell>
          <cell r="AJ47">
            <v>113342398</v>
          </cell>
        </row>
        <row r="48">
          <cell r="J48">
            <v>7328650</v>
          </cell>
          <cell r="K48">
            <v>6469062</v>
          </cell>
          <cell r="L48">
            <v>6792070</v>
          </cell>
          <cell r="M48">
            <v>6881070</v>
          </cell>
          <cell r="N48">
            <v>7269258</v>
          </cell>
          <cell r="O48">
            <v>7914433</v>
          </cell>
          <cell r="P48">
            <v>7079236</v>
          </cell>
          <cell r="Q48">
            <v>6357690</v>
          </cell>
          <cell r="R48">
            <v>6642771</v>
          </cell>
          <cell r="S48">
            <v>7389553</v>
          </cell>
          <cell r="T48">
            <v>6971102</v>
          </cell>
          <cell r="U48">
            <v>7565122</v>
          </cell>
          <cell r="V48">
            <v>6949076</v>
          </cell>
          <cell r="W48">
            <v>6410850</v>
          </cell>
          <cell r="X48">
            <v>6695783</v>
          </cell>
          <cell r="Y48">
            <v>6747031</v>
          </cell>
          <cell r="Z48">
            <v>7199795</v>
          </cell>
          <cell r="AA48">
            <v>7768520</v>
          </cell>
          <cell r="AB48">
            <v>7369886</v>
          </cell>
          <cell r="AC48">
            <v>6658170</v>
          </cell>
          <cell r="AD48">
            <v>6805989</v>
          </cell>
          <cell r="AE48">
            <v>7386413</v>
          </cell>
          <cell r="AF48">
            <v>7203842</v>
          </cell>
          <cell r="AG48">
            <v>7939602</v>
          </cell>
          <cell r="AH48">
            <v>7056039</v>
          </cell>
          <cell r="AJ48">
            <v>6469062</v>
          </cell>
        </row>
        <row r="49">
          <cell r="J49">
            <v>183979876</v>
          </cell>
          <cell r="K49">
            <v>155410564</v>
          </cell>
          <cell r="L49">
            <v>143248112</v>
          </cell>
          <cell r="M49">
            <v>155191874</v>
          </cell>
          <cell r="N49">
            <v>148130189</v>
          </cell>
          <cell r="O49">
            <v>167978825</v>
          </cell>
          <cell r="P49">
            <v>165283240</v>
          </cell>
          <cell r="Q49">
            <v>147678143</v>
          </cell>
          <cell r="R49">
            <v>151622300</v>
          </cell>
          <cell r="S49">
            <v>170317962</v>
          </cell>
          <cell r="T49">
            <v>206103593</v>
          </cell>
          <cell r="U49">
            <v>206577568</v>
          </cell>
          <cell r="V49">
            <v>185328431</v>
          </cell>
          <cell r="W49">
            <v>156323385</v>
          </cell>
          <cell r="X49">
            <v>144067280</v>
          </cell>
          <cell r="Y49">
            <v>156153907</v>
          </cell>
          <cell r="Z49">
            <v>148886597</v>
          </cell>
          <cell r="AA49">
            <v>169171204</v>
          </cell>
          <cell r="AB49">
            <v>160730705</v>
          </cell>
          <cell r="AC49">
            <v>145186498</v>
          </cell>
          <cell r="AD49">
            <v>145552985</v>
          </cell>
          <cell r="AE49">
            <v>160928684</v>
          </cell>
          <cell r="AF49">
            <v>197224462</v>
          </cell>
          <cell r="AG49">
            <v>197887348</v>
          </cell>
          <cell r="AH49">
            <v>177593886</v>
          </cell>
          <cell r="AJ49">
            <v>155410564</v>
          </cell>
        </row>
        <row r="50">
          <cell r="J50">
            <v>47416165</v>
          </cell>
          <cell r="K50">
            <v>30440713</v>
          </cell>
          <cell r="L50">
            <v>22512344</v>
          </cell>
          <cell r="M50">
            <v>92175162</v>
          </cell>
          <cell r="N50">
            <v>24038192</v>
          </cell>
          <cell r="O50">
            <v>65549101</v>
          </cell>
          <cell r="P50">
            <v>39038402</v>
          </cell>
          <cell r="Q50">
            <v>28193420</v>
          </cell>
          <cell r="R50">
            <v>101363630</v>
          </cell>
          <cell r="S50">
            <v>105870609</v>
          </cell>
          <cell r="T50">
            <v>90807833</v>
          </cell>
          <cell r="U50">
            <v>75762478</v>
          </cell>
          <cell r="V50">
            <v>96792375</v>
          </cell>
          <cell r="W50">
            <v>74579615</v>
          </cell>
          <cell r="X50">
            <v>5032100</v>
          </cell>
          <cell r="Y50">
            <v>12132019</v>
          </cell>
          <cell r="Z50">
            <v>8176886</v>
          </cell>
          <cell r="AA50">
            <v>33597823</v>
          </cell>
          <cell r="AB50">
            <v>191745071</v>
          </cell>
          <cell r="AC50">
            <v>168343361</v>
          </cell>
          <cell r="AD50">
            <v>108029900</v>
          </cell>
          <cell r="AE50">
            <v>126664640</v>
          </cell>
          <cell r="AF50">
            <v>120205704</v>
          </cell>
          <cell r="AG50">
            <v>136637911</v>
          </cell>
          <cell r="AH50">
            <v>195872184</v>
          </cell>
          <cell r="AJ50">
            <v>30440713</v>
          </cell>
        </row>
        <row r="51">
          <cell r="J51">
            <v>175947600</v>
          </cell>
          <cell r="K51">
            <v>185927700</v>
          </cell>
          <cell r="L51">
            <v>252458500</v>
          </cell>
          <cell r="M51">
            <v>361648800</v>
          </cell>
          <cell r="N51">
            <v>338225200</v>
          </cell>
          <cell r="O51">
            <v>382468700</v>
          </cell>
          <cell r="P51">
            <v>306898500</v>
          </cell>
          <cell r="Q51">
            <v>229405800</v>
          </cell>
          <cell r="R51">
            <v>239473700</v>
          </cell>
          <cell r="S51">
            <v>160869100</v>
          </cell>
          <cell r="T51">
            <v>91884000</v>
          </cell>
          <cell r="U51">
            <v>95087000</v>
          </cell>
          <cell r="V51">
            <v>122015000</v>
          </cell>
          <cell r="W51">
            <v>215816700</v>
          </cell>
          <cell r="X51">
            <v>60980400</v>
          </cell>
          <cell r="Y51">
            <v>114610400</v>
          </cell>
          <cell r="Z51">
            <v>201787700</v>
          </cell>
          <cell r="AA51">
            <v>305303400</v>
          </cell>
          <cell r="AB51">
            <v>298712200</v>
          </cell>
          <cell r="AC51">
            <v>216386900</v>
          </cell>
          <cell r="AD51">
            <v>117517800</v>
          </cell>
          <cell r="AE51">
            <v>196707500</v>
          </cell>
          <cell r="AF51">
            <v>172321200</v>
          </cell>
          <cell r="AG51">
            <v>177123200</v>
          </cell>
          <cell r="AH51">
            <v>213774200</v>
          </cell>
          <cell r="AJ51">
            <v>185927700</v>
          </cell>
        </row>
        <row r="53">
          <cell r="J53">
            <v>20464919.199999999</v>
          </cell>
          <cell r="K53">
            <v>17365725.25</v>
          </cell>
          <cell r="L53">
            <v>21638095</v>
          </cell>
          <cell r="M53">
            <v>24070398.18</v>
          </cell>
          <cell r="N53">
            <v>27076220.32</v>
          </cell>
          <cell r="O53">
            <v>32710652.719999999</v>
          </cell>
          <cell r="P53">
            <v>16235936.130000001</v>
          </cell>
          <cell r="Q53">
            <v>12499764.76</v>
          </cell>
          <cell r="R53">
            <v>11846860.26</v>
          </cell>
          <cell r="S53">
            <v>16936580.149999999</v>
          </cell>
          <cell r="T53">
            <v>18296121.940000001</v>
          </cell>
          <cell r="U53">
            <v>18766331.129999999</v>
          </cell>
          <cell r="V53">
            <v>13809638.060000001</v>
          </cell>
          <cell r="W53">
            <v>10828554.73</v>
          </cell>
          <cell r="X53">
            <v>12787200.060000001</v>
          </cell>
          <cell r="Y53">
            <v>14573396.93</v>
          </cell>
          <cell r="Z53">
            <v>16416466.359999999</v>
          </cell>
          <cell r="AA53">
            <v>18968768.629999999</v>
          </cell>
          <cell r="AB53">
            <v>13553577.619999999</v>
          </cell>
          <cell r="AC53">
            <v>10145911.52</v>
          </cell>
          <cell r="AD53">
            <v>10416325.800000001</v>
          </cell>
          <cell r="AE53">
            <v>13671137.43</v>
          </cell>
          <cell r="AF53">
            <v>16103841.15</v>
          </cell>
          <cell r="AG53">
            <v>15363798</v>
          </cell>
          <cell r="AH53">
            <v>12201239.01</v>
          </cell>
          <cell r="AJ53">
            <v>17365725.25</v>
          </cell>
        </row>
        <row r="54">
          <cell r="J54">
            <v>0</v>
          </cell>
          <cell r="K54">
            <v>0</v>
          </cell>
          <cell r="L54">
            <v>0</v>
          </cell>
          <cell r="M54">
            <v>0</v>
          </cell>
          <cell r="N54">
            <v>0</v>
          </cell>
          <cell r="O54">
            <v>0</v>
          </cell>
          <cell r="P54">
            <v>8597090.8499999996</v>
          </cell>
          <cell r="Q54">
            <v>6347891.0099999998</v>
          </cell>
          <cell r="R54">
            <v>5254660.68</v>
          </cell>
          <cell r="S54">
            <v>7040740.7300000004</v>
          </cell>
          <cell r="T54">
            <v>7614788.9100000001</v>
          </cell>
          <cell r="U54">
            <v>7897212.2199999997</v>
          </cell>
          <cell r="V54">
            <v>6062836.1699999999</v>
          </cell>
          <cell r="W54">
            <v>4954184.3</v>
          </cell>
          <cell r="X54">
            <v>6589052.0300000003</v>
          </cell>
          <cell r="Y54">
            <v>7916898.7599999998</v>
          </cell>
          <cell r="Z54">
            <v>9019161.6899999995</v>
          </cell>
          <cell r="AA54">
            <v>10584124.810000001</v>
          </cell>
          <cell r="AB54">
            <v>7062666.4699999997</v>
          </cell>
          <cell r="AC54">
            <v>5167909.67</v>
          </cell>
          <cell r="AD54">
            <v>4739439.1900000004</v>
          </cell>
          <cell r="AE54">
            <v>5712556.54</v>
          </cell>
          <cell r="AF54">
            <v>6666988.6299999999</v>
          </cell>
          <cell r="AG54">
            <v>6438229.75</v>
          </cell>
          <cell r="AH54">
            <v>5306957.99</v>
          </cell>
          <cell r="AJ54">
            <v>0</v>
          </cell>
        </row>
        <row r="55">
          <cell r="J55">
            <v>0</v>
          </cell>
          <cell r="K55">
            <v>0</v>
          </cell>
          <cell r="L55">
            <v>0</v>
          </cell>
          <cell r="M55">
            <v>0</v>
          </cell>
          <cell r="N55">
            <v>0</v>
          </cell>
          <cell r="O55">
            <v>0</v>
          </cell>
          <cell r="P55">
            <v>2476991.7999999998</v>
          </cell>
          <cell r="Q55">
            <v>2166741.9500000002</v>
          </cell>
          <cell r="R55">
            <v>2213519.6800000002</v>
          </cell>
          <cell r="S55">
            <v>2554650.6800000002</v>
          </cell>
          <cell r="T55">
            <v>2508296.89</v>
          </cell>
          <cell r="U55">
            <v>2520785.88</v>
          </cell>
          <cell r="V55">
            <v>2144159.11</v>
          </cell>
          <cell r="W55">
            <v>1878857.98</v>
          </cell>
          <cell r="X55">
            <v>2081555.91</v>
          </cell>
          <cell r="Y55">
            <v>2205114.86</v>
          </cell>
          <cell r="Z55">
            <v>2356621.9900000002</v>
          </cell>
          <cell r="AA55">
            <v>2566479.7999999998</v>
          </cell>
          <cell r="AB55">
            <v>2053377.71</v>
          </cell>
          <cell r="AC55">
            <v>1846341.8</v>
          </cell>
          <cell r="AD55">
            <v>1863665.61</v>
          </cell>
          <cell r="AE55">
            <v>2122990.71</v>
          </cell>
          <cell r="AF55">
            <v>2180389.6</v>
          </cell>
          <cell r="AG55">
            <v>2124817.77</v>
          </cell>
          <cell r="AH55">
            <v>1914698.84</v>
          </cell>
          <cell r="AJ55">
            <v>0</v>
          </cell>
        </row>
        <row r="56">
          <cell r="J56">
            <v>16762352.449999999</v>
          </cell>
          <cell r="K56">
            <v>15308596.16</v>
          </cell>
          <cell r="L56">
            <v>15214367.99</v>
          </cell>
          <cell r="M56">
            <v>15689268.09</v>
          </cell>
          <cell r="N56">
            <v>16449577.039999999</v>
          </cell>
          <cell r="O56">
            <v>17457219.140000001</v>
          </cell>
          <cell r="P56">
            <v>13614619.1</v>
          </cell>
          <cell r="Q56">
            <v>12426107.529999999</v>
          </cell>
          <cell r="R56">
            <v>13444904.050000001</v>
          </cell>
          <cell r="S56">
            <v>15716397.289999999</v>
          </cell>
          <cell r="T56">
            <v>15467415.310000001</v>
          </cell>
          <cell r="U56">
            <v>15925212.710000001</v>
          </cell>
          <cell r="V56">
            <v>13397413.109999999</v>
          </cell>
          <cell r="W56">
            <v>11725292.460000001</v>
          </cell>
          <cell r="X56">
            <v>11796703.73</v>
          </cell>
          <cell r="Y56">
            <v>11884037</v>
          </cell>
          <cell r="Z56">
            <v>12421394.130000001</v>
          </cell>
          <cell r="AA56">
            <v>13020573.310000001</v>
          </cell>
          <cell r="AB56">
            <v>11786006.59</v>
          </cell>
          <cell r="AC56">
            <v>10807855.85</v>
          </cell>
          <cell r="AD56">
            <v>11334372.619999999</v>
          </cell>
          <cell r="AE56">
            <v>13056567.27</v>
          </cell>
          <cell r="AF56">
            <v>13629194.84</v>
          </cell>
          <cell r="AG56">
            <v>13486996.960000001</v>
          </cell>
          <cell r="AH56">
            <v>12382154.48</v>
          </cell>
          <cell r="AJ56">
            <v>15308596.16</v>
          </cell>
        </row>
        <row r="57">
          <cell r="J57">
            <v>15161827.52</v>
          </cell>
          <cell r="K57">
            <v>14922702.85</v>
          </cell>
          <cell r="L57">
            <v>14434318.5</v>
          </cell>
          <cell r="M57">
            <v>14553985.210000001</v>
          </cell>
          <cell r="N57">
            <v>14585415.550000001</v>
          </cell>
          <cell r="O57">
            <v>14544691.43</v>
          </cell>
          <cell r="P57">
            <v>16228258.310000001</v>
          </cell>
          <cell r="Q57">
            <v>16109820.720000001</v>
          </cell>
          <cell r="R57">
            <v>16144608.42</v>
          </cell>
          <cell r="S57">
            <v>17514338.16</v>
          </cell>
          <cell r="T57">
            <v>16210790.74</v>
          </cell>
          <cell r="U57">
            <v>16516014.5</v>
          </cell>
          <cell r="V57">
            <v>15490355.6</v>
          </cell>
          <cell r="W57">
            <v>14860339.189999999</v>
          </cell>
          <cell r="X57">
            <v>14756612.470000001</v>
          </cell>
          <cell r="Y57">
            <v>14289022.6</v>
          </cell>
          <cell r="Z57">
            <v>14254704.07</v>
          </cell>
          <cell r="AA57">
            <v>14021779.699999999</v>
          </cell>
          <cell r="AB57">
            <v>13209185.85</v>
          </cell>
          <cell r="AC57">
            <v>13295197.77</v>
          </cell>
          <cell r="AD57">
            <v>13580499.279999999</v>
          </cell>
          <cell r="AE57">
            <v>14148245.59</v>
          </cell>
          <cell r="AF57">
            <v>13826937.779999999</v>
          </cell>
          <cell r="AG57">
            <v>13904196.369999999</v>
          </cell>
          <cell r="AH57">
            <v>14025518.91</v>
          </cell>
          <cell r="AJ57">
            <v>14922702.85</v>
          </cell>
        </row>
        <row r="58">
          <cell r="J58">
            <v>1693967.76</v>
          </cell>
          <cell r="K58">
            <v>1694971.61</v>
          </cell>
          <cell r="L58">
            <v>1786429.53</v>
          </cell>
          <cell r="M58">
            <v>1856084.55</v>
          </cell>
          <cell r="N58">
            <v>1865461.74</v>
          </cell>
          <cell r="O58">
            <v>1902369.67</v>
          </cell>
          <cell r="P58">
            <v>1855681.63</v>
          </cell>
          <cell r="Q58">
            <v>1820696.73</v>
          </cell>
          <cell r="R58">
            <v>1627570.74</v>
          </cell>
          <cell r="S58">
            <v>1782834.14</v>
          </cell>
          <cell r="T58">
            <v>1673394.55</v>
          </cell>
          <cell r="U58">
            <v>1561829.26</v>
          </cell>
          <cell r="V58">
            <v>1650612.2</v>
          </cell>
          <cell r="W58">
            <v>1567085.68</v>
          </cell>
          <cell r="X58">
            <v>1719595.97</v>
          </cell>
          <cell r="Y58">
            <v>1800306.29</v>
          </cell>
          <cell r="Z58">
            <v>1768195.58</v>
          </cell>
          <cell r="AA58">
            <v>1861713.47</v>
          </cell>
          <cell r="AB58">
            <v>1533159.98</v>
          </cell>
          <cell r="AC58">
            <v>1507831.41</v>
          </cell>
          <cell r="AD58">
            <v>1372766.57</v>
          </cell>
          <cell r="AE58">
            <v>1433965.68</v>
          </cell>
          <cell r="AF58">
            <v>1411530.95</v>
          </cell>
          <cell r="AG58">
            <v>1266717.24</v>
          </cell>
          <cell r="AH58">
            <v>1431675.53</v>
          </cell>
          <cell r="AJ58">
            <v>1694971.61</v>
          </cell>
        </row>
        <row r="59">
          <cell r="J59">
            <v>751629.42</v>
          </cell>
          <cell r="K59">
            <v>668689.89</v>
          </cell>
          <cell r="L59">
            <v>706333.88</v>
          </cell>
          <cell r="M59">
            <v>663018.16</v>
          </cell>
          <cell r="N59">
            <v>747210.15</v>
          </cell>
          <cell r="O59">
            <v>653749.61</v>
          </cell>
          <cell r="P59">
            <v>691547.69</v>
          </cell>
          <cell r="Q59">
            <v>673616.93</v>
          </cell>
          <cell r="R59">
            <v>660472.22</v>
          </cell>
          <cell r="S59">
            <v>672743.96</v>
          </cell>
          <cell r="T59">
            <v>635168.93999999994</v>
          </cell>
          <cell r="U59">
            <v>667839.61</v>
          </cell>
          <cell r="V59">
            <v>620474.04</v>
          </cell>
          <cell r="W59">
            <v>583373.68999999994</v>
          </cell>
          <cell r="X59">
            <v>607165.69999999995</v>
          </cell>
          <cell r="Y59">
            <v>616013.56999999995</v>
          </cell>
          <cell r="Z59">
            <v>626361.01</v>
          </cell>
          <cell r="AA59">
            <v>580256.96</v>
          </cell>
          <cell r="AB59">
            <v>627346.43000000005</v>
          </cell>
          <cell r="AC59">
            <v>596677.65</v>
          </cell>
          <cell r="AD59">
            <v>580907.37</v>
          </cell>
          <cell r="AE59">
            <v>573110.53</v>
          </cell>
          <cell r="AF59">
            <v>566088.62</v>
          </cell>
          <cell r="AG59">
            <v>583640.26</v>
          </cell>
          <cell r="AH59">
            <v>600714.97</v>
          </cell>
          <cell r="AJ59">
            <v>668689.89</v>
          </cell>
        </row>
        <row r="60">
          <cell r="J60">
            <v>4685455.45</v>
          </cell>
          <cell r="K60">
            <v>4466926.6100000003</v>
          </cell>
          <cell r="L60">
            <v>4325219.03</v>
          </cell>
          <cell r="M60">
            <v>4366182.5999999996</v>
          </cell>
          <cell r="N60">
            <v>4650938.8099999996</v>
          </cell>
          <cell r="O60">
            <v>4786841.51</v>
          </cell>
          <cell r="P60">
            <v>4597787.37</v>
          </cell>
          <cell r="Q60">
            <v>4282967.76</v>
          </cell>
          <cell r="R60">
            <v>4778669.6500000004</v>
          </cell>
          <cell r="S60">
            <v>5719904.1600000001</v>
          </cell>
          <cell r="T60">
            <v>5225322.4000000004</v>
          </cell>
          <cell r="U60">
            <v>5235649.3099999996</v>
          </cell>
          <cell r="V60">
            <v>4613826.22</v>
          </cell>
          <cell r="W60">
            <v>4102861.17</v>
          </cell>
          <cell r="X60">
            <v>4118479.74</v>
          </cell>
          <cell r="Y60">
            <v>4172804.5</v>
          </cell>
          <cell r="Z60">
            <v>4276183.84</v>
          </cell>
          <cell r="AA60">
            <v>4292654.4400000004</v>
          </cell>
          <cell r="AB60">
            <v>4022551.11</v>
          </cell>
          <cell r="AC60">
            <v>3700028.35</v>
          </cell>
          <cell r="AD60">
            <v>4051528.83</v>
          </cell>
          <cell r="AE60">
            <v>4777248.38</v>
          </cell>
          <cell r="AF60">
            <v>4570608.97</v>
          </cell>
          <cell r="AG60">
            <v>4429735.13</v>
          </cell>
          <cell r="AH60">
            <v>4127322.49</v>
          </cell>
          <cell r="AJ60">
            <v>4466926.6100000003</v>
          </cell>
        </row>
        <row r="61">
          <cell r="J61">
            <v>280843.3</v>
          </cell>
          <cell r="K61">
            <v>260537.57</v>
          </cell>
          <cell r="L61">
            <v>268048.82</v>
          </cell>
          <cell r="M61">
            <v>271382.88</v>
          </cell>
          <cell r="N61">
            <v>281237.34000000003</v>
          </cell>
          <cell r="O61">
            <v>295130.93</v>
          </cell>
          <cell r="P61">
            <v>299406.58</v>
          </cell>
          <cell r="Q61">
            <v>274408.63</v>
          </cell>
          <cell r="R61">
            <v>283715.43</v>
          </cell>
          <cell r="S61">
            <v>307668.02</v>
          </cell>
          <cell r="T61">
            <v>290728.40999999997</v>
          </cell>
          <cell r="U61">
            <v>314170.81</v>
          </cell>
          <cell r="V61">
            <v>273920.21999999997</v>
          </cell>
          <cell r="W61">
            <v>253748.14</v>
          </cell>
          <cell r="X61">
            <v>267532.03000000003</v>
          </cell>
          <cell r="Y61">
            <v>271881.59999999998</v>
          </cell>
          <cell r="Z61">
            <v>288356.02</v>
          </cell>
          <cell r="AA61">
            <v>303803</v>
          </cell>
          <cell r="AB61">
            <v>267527.69</v>
          </cell>
          <cell r="AC61">
            <v>245378.04</v>
          </cell>
          <cell r="AD61">
            <v>248836.89</v>
          </cell>
          <cell r="AE61">
            <v>263279.74</v>
          </cell>
          <cell r="AF61">
            <v>256900.92</v>
          </cell>
          <cell r="AG61">
            <v>282578.56</v>
          </cell>
          <cell r="AH61">
            <v>254485.68</v>
          </cell>
          <cell r="AJ61">
            <v>260537.57</v>
          </cell>
        </row>
        <row r="62">
          <cell r="J62">
            <v>7009536.4699999997</v>
          </cell>
          <cell r="K62">
            <v>6130903.1500000004</v>
          </cell>
          <cell r="L62">
            <v>5260523.2699999996</v>
          </cell>
          <cell r="M62">
            <v>5591777.0199999996</v>
          </cell>
          <cell r="N62">
            <v>5771234.29</v>
          </cell>
          <cell r="O62">
            <v>6273601.9800000004</v>
          </cell>
          <cell r="P62">
            <v>6141583.8099999996</v>
          </cell>
          <cell r="Q62">
            <v>5401431.7699999996</v>
          </cell>
          <cell r="R62">
            <v>6170107.5</v>
          </cell>
          <cell r="S62">
            <v>6554580.3300000001</v>
          </cell>
          <cell r="T62">
            <v>7878621.0300000003</v>
          </cell>
          <cell r="U62">
            <v>7964315.5999999996</v>
          </cell>
          <cell r="V62">
            <v>7156484.46</v>
          </cell>
          <cell r="W62">
            <v>6317860.3700000001</v>
          </cell>
          <cell r="X62">
            <v>5385005.6399999997</v>
          </cell>
          <cell r="Y62">
            <v>5794570.3300000001</v>
          </cell>
          <cell r="Z62">
            <v>5564802.5</v>
          </cell>
          <cell r="AA62">
            <v>6281490.3799999999</v>
          </cell>
          <cell r="AB62">
            <v>5963543.9100000001</v>
          </cell>
          <cell r="AC62">
            <v>5302029.71</v>
          </cell>
          <cell r="AD62">
            <v>5915411.8200000003</v>
          </cell>
          <cell r="AE62">
            <v>6184591.4500000002</v>
          </cell>
          <cell r="AF62">
            <v>7528415.1699999999</v>
          </cell>
          <cell r="AG62">
            <v>7618307.0599999996</v>
          </cell>
          <cell r="AH62">
            <v>6848105.7300000004</v>
          </cell>
          <cell r="AJ62">
            <v>6130903.1500000004</v>
          </cell>
        </row>
        <row r="63">
          <cell r="J63">
            <v>1661976.46</v>
          </cell>
          <cell r="K63">
            <v>1082037.52</v>
          </cell>
          <cell r="L63">
            <v>867376.37</v>
          </cell>
          <cell r="M63">
            <v>3886078.71</v>
          </cell>
          <cell r="N63">
            <v>1137548.54</v>
          </cell>
          <cell r="O63">
            <v>3190285.6</v>
          </cell>
          <cell r="P63">
            <v>1207531.8700000001</v>
          </cell>
          <cell r="Q63">
            <v>854895.19</v>
          </cell>
          <cell r="R63">
            <v>2845605.73</v>
          </cell>
          <cell r="S63">
            <v>3172485.57</v>
          </cell>
          <cell r="T63">
            <v>2859405.5</v>
          </cell>
          <cell r="U63">
            <v>2459611.37</v>
          </cell>
          <cell r="V63">
            <v>2900618.45</v>
          </cell>
          <cell r="W63">
            <v>2426461.02</v>
          </cell>
          <cell r="X63">
            <v>195473.68</v>
          </cell>
          <cell r="Y63">
            <v>404761.65</v>
          </cell>
          <cell r="Z63">
            <v>332229.84999999998</v>
          </cell>
          <cell r="AA63">
            <v>1414278.93</v>
          </cell>
          <cell r="AB63">
            <v>6571678.71</v>
          </cell>
          <cell r="AC63">
            <v>5666536.9000000004</v>
          </cell>
          <cell r="AD63">
            <v>4186291</v>
          </cell>
          <cell r="AE63">
            <v>4915142.8499999996</v>
          </cell>
          <cell r="AF63">
            <v>4740956.63</v>
          </cell>
          <cell r="AG63">
            <v>5335694.2300000004</v>
          </cell>
          <cell r="AH63">
            <v>7478989.1500000004</v>
          </cell>
          <cell r="AJ63">
            <v>1082037.52</v>
          </cell>
        </row>
        <row r="64">
          <cell r="J64">
            <v>3277772.5</v>
          </cell>
          <cell r="K64">
            <v>3347838.7</v>
          </cell>
          <cell r="L64">
            <v>4597812.2</v>
          </cell>
          <cell r="M64">
            <v>6689749.7999999998</v>
          </cell>
          <cell r="N64">
            <v>6429160.2000000002</v>
          </cell>
          <cell r="O64">
            <v>7353810.5999999996</v>
          </cell>
          <cell r="P64">
            <v>4787488.5999999996</v>
          </cell>
          <cell r="Q64">
            <v>3523788.3</v>
          </cell>
          <cell r="R64">
            <v>3657755.8</v>
          </cell>
          <cell r="S64">
            <v>2485773.9</v>
          </cell>
          <cell r="T64">
            <v>1531847.5</v>
          </cell>
          <cell r="U64">
            <v>1760673.4</v>
          </cell>
          <cell r="V64">
            <v>1957478.7</v>
          </cell>
          <cell r="W64">
            <v>3320781.5</v>
          </cell>
          <cell r="X64">
            <v>987715.1</v>
          </cell>
          <cell r="Y64">
            <v>1851247</v>
          </cell>
          <cell r="Z64">
            <v>3216087.5</v>
          </cell>
          <cell r="AA64">
            <v>4784593</v>
          </cell>
          <cell r="AB64">
            <v>4288304.3</v>
          </cell>
          <cell r="AC64">
            <v>3092725.7</v>
          </cell>
          <cell r="AD64">
            <v>1908267.8</v>
          </cell>
          <cell r="AE64">
            <v>3157592.5</v>
          </cell>
          <cell r="AF64">
            <v>2629318.9</v>
          </cell>
          <cell r="AG64">
            <v>2995602.7</v>
          </cell>
          <cell r="AH64">
            <v>3570020.5</v>
          </cell>
          <cell r="AJ64">
            <v>3347838.7</v>
          </cell>
        </row>
        <row r="66">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J66">
            <v>0</v>
          </cell>
        </row>
        <row r="67">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J67">
            <v>0</v>
          </cell>
        </row>
        <row r="68">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J68">
            <v>0</v>
          </cell>
        </row>
        <row r="69">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J69">
            <v>0</v>
          </cell>
        </row>
        <row r="70">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J70">
            <v>0</v>
          </cell>
        </row>
        <row r="71">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J71">
            <v>0</v>
          </cell>
        </row>
        <row r="72">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J72">
            <v>0</v>
          </cell>
        </row>
        <row r="73">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J73">
            <v>0</v>
          </cell>
        </row>
        <row r="74">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J74">
            <v>0</v>
          </cell>
        </row>
        <row r="75">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J75">
            <v>0</v>
          </cell>
        </row>
        <row r="76">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J76">
            <v>0</v>
          </cell>
        </row>
        <row r="77">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J77">
            <v>0</v>
          </cell>
        </row>
        <row r="79">
          <cell r="J79">
            <v>2038016.22</v>
          </cell>
          <cell r="K79">
            <v>1457718.13</v>
          </cell>
          <cell r="L79">
            <v>1532977.32</v>
          </cell>
          <cell r="M79">
            <v>1395034.45</v>
          </cell>
          <cell r="N79">
            <v>1963765.7</v>
          </cell>
          <cell r="O79">
            <v>1750524.52</v>
          </cell>
          <cell r="P79">
            <v>-55377.16</v>
          </cell>
          <cell r="Q79">
            <v>150705.15</v>
          </cell>
          <cell r="R79">
            <v>621426.39</v>
          </cell>
          <cell r="S79">
            <v>906991.31</v>
          </cell>
          <cell r="T79">
            <v>485722.9</v>
          </cell>
          <cell r="U79">
            <v>308628.58</v>
          </cell>
          <cell r="V79">
            <v>110973.43</v>
          </cell>
          <cell r="W79">
            <v>451078.13</v>
          </cell>
          <cell r="X79">
            <v>334413.96999999997</v>
          </cell>
          <cell r="Y79">
            <v>407432.37</v>
          </cell>
          <cell r="Z79">
            <v>158018</v>
          </cell>
          <cell r="AA79">
            <v>113228.15</v>
          </cell>
          <cell r="AB79">
            <v>878195.15</v>
          </cell>
          <cell r="AC79">
            <v>645976.43000000005</v>
          </cell>
          <cell r="AD79">
            <v>775434.05</v>
          </cell>
          <cell r="AE79">
            <v>1132802.31</v>
          </cell>
          <cell r="AF79">
            <v>1138550.1200000001</v>
          </cell>
          <cell r="AG79">
            <v>1021805.42</v>
          </cell>
          <cell r="AH79">
            <v>854694.3</v>
          </cell>
          <cell r="AJ79">
            <v>1457718.13</v>
          </cell>
        </row>
        <row r="80">
          <cell r="J80">
            <v>0</v>
          </cell>
          <cell r="K80">
            <v>0</v>
          </cell>
          <cell r="L80">
            <v>0</v>
          </cell>
          <cell r="M80">
            <v>0</v>
          </cell>
          <cell r="N80">
            <v>0</v>
          </cell>
          <cell r="O80">
            <v>0</v>
          </cell>
          <cell r="P80">
            <v>-30565.14</v>
          </cell>
          <cell r="Q80">
            <v>79612.47</v>
          </cell>
          <cell r="R80">
            <v>280157.82</v>
          </cell>
          <cell r="S80">
            <v>378948.01</v>
          </cell>
          <cell r="T80">
            <v>202838.5</v>
          </cell>
          <cell r="U80">
            <v>130464.48</v>
          </cell>
          <cell r="V80">
            <v>49125.58</v>
          </cell>
          <cell r="W80">
            <v>209963.77</v>
          </cell>
          <cell r="X80">
            <v>178986.04</v>
          </cell>
          <cell r="Y80">
            <v>231120.91</v>
          </cell>
          <cell r="Z80">
            <v>90566</v>
          </cell>
          <cell r="AA80">
            <v>65709.33</v>
          </cell>
          <cell r="AB80">
            <v>476369.32</v>
          </cell>
          <cell r="AC80">
            <v>341700.06</v>
          </cell>
          <cell r="AD80">
            <v>361063.3</v>
          </cell>
          <cell r="AE80">
            <v>479045.4</v>
          </cell>
          <cell r="AF80">
            <v>476802.45</v>
          </cell>
          <cell r="AG80">
            <v>433067.47</v>
          </cell>
          <cell r="AH80">
            <v>377179.07</v>
          </cell>
          <cell r="AJ80">
            <v>0</v>
          </cell>
        </row>
        <row r="81">
          <cell r="J81">
            <v>0</v>
          </cell>
          <cell r="K81">
            <v>0</v>
          </cell>
          <cell r="L81">
            <v>0</v>
          </cell>
          <cell r="M81">
            <v>0</v>
          </cell>
          <cell r="N81">
            <v>0</v>
          </cell>
          <cell r="O81">
            <v>0</v>
          </cell>
          <cell r="P81">
            <v>-7721.66</v>
          </cell>
          <cell r="Q81">
            <v>24482.68</v>
          </cell>
          <cell r="R81">
            <v>110385.98</v>
          </cell>
          <cell r="S81">
            <v>128487.47</v>
          </cell>
          <cell r="T81">
            <v>62149.34</v>
          </cell>
          <cell r="U81">
            <v>38518.69</v>
          </cell>
          <cell r="V81">
            <v>16478.25</v>
          </cell>
          <cell r="W81">
            <v>74411.41</v>
          </cell>
          <cell r="X81">
            <v>50604.94</v>
          </cell>
          <cell r="Y81">
            <v>56160.49</v>
          </cell>
          <cell r="Z81">
            <v>20596</v>
          </cell>
          <cell r="AA81">
            <v>13965.41</v>
          </cell>
          <cell r="AB81">
            <v>122342.41</v>
          </cell>
          <cell r="AC81">
            <v>110461.11</v>
          </cell>
          <cell r="AD81">
            <v>131784.53</v>
          </cell>
          <cell r="AE81">
            <v>165663.6</v>
          </cell>
          <cell r="AF81">
            <v>144095.85999999999</v>
          </cell>
          <cell r="AG81">
            <v>131382.98000000001</v>
          </cell>
          <cell r="AH81">
            <v>126576.08</v>
          </cell>
          <cell r="AJ81">
            <v>0</v>
          </cell>
        </row>
        <row r="82">
          <cell r="J82">
            <v>1810406.28</v>
          </cell>
          <cell r="K82">
            <v>1355580.03</v>
          </cell>
          <cell r="L82">
            <v>1090370.77</v>
          </cell>
          <cell r="M82">
            <v>914448.83</v>
          </cell>
          <cell r="N82">
            <v>1197489.48</v>
          </cell>
          <cell r="O82">
            <v>957606.79</v>
          </cell>
          <cell r="P82">
            <v>-48018.57</v>
          </cell>
          <cell r="Q82">
            <v>161493.21</v>
          </cell>
          <cell r="R82">
            <v>772008.13</v>
          </cell>
          <cell r="S82">
            <v>908141.05</v>
          </cell>
          <cell r="T82">
            <v>439362.98</v>
          </cell>
          <cell r="U82">
            <v>282531.94</v>
          </cell>
          <cell r="V82">
            <v>118306.61</v>
          </cell>
          <cell r="W82">
            <v>536917.25</v>
          </cell>
          <cell r="X82">
            <v>326776.87</v>
          </cell>
          <cell r="Y82">
            <v>341899.88</v>
          </cell>
          <cell r="Z82">
            <v>121983.65</v>
          </cell>
          <cell r="AA82">
            <v>80342.100000000006</v>
          </cell>
          <cell r="AB82">
            <v>798942.55</v>
          </cell>
          <cell r="AC82">
            <v>746524.15</v>
          </cell>
          <cell r="AD82">
            <v>927480.54</v>
          </cell>
          <cell r="AE82">
            <v>1173141.23</v>
          </cell>
          <cell r="AF82">
            <v>1032974.9</v>
          </cell>
          <cell r="AG82">
            <v>968724.55</v>
          </cell>
          <cell r="AH82">
            <v>941747.11</v>
          </cell>
          <cell r="AJ82">
            <v>1355580.03</v>
          </cell>
        </row>
        <row r="83">
          <cell r="J83">
            <v>2225246.9500000002</v>
          </cell>
          <cell r="K83">
            <v>1857422</v>
          </cell>
          <cell r="L83">
            <v>1453504.71</v>
          </cell>
          <cell r="M83">
            <v>1190622.04</v>
          </cell>
          <cell r="N83">
            <v>1479288.37</v>
          </cell>
          <cell r="O83">
            <v>1070602.4099999999</v>
          </cell>
          <cell r="P83">
            <v>-75003.350000000006</v>
          </cell>
          <cell r="Q83">
            <v>276096.56</v>
          </cell>
          <cell r="R83">
            <v>1209611.7</v>
          </cell>
          <cell r="S83">
            <v>1299046.3</v>
          </cell>
          <cell r="T83">
            <v>591756.25</v>
          </cell>
          <cell r="U83">
            <v>369336.11</v>
          </cell>
          <cell r="V83">
            <v>175274.27</v>
          </cell>
          <cell r="W83">
            <v>881874.8</v>
          </cell>
          <cell r="X83">
            <v>536060.46</v>
          </cell>
          <cell r="Y83">
            <v>535405.09</v>
          </cell>
          <cell r="Z83">
            <v>183165.53</v>
          </cell>
          <cell r="AA83">
            <v>109189.41</v>
          </cell>
          <cell r="AB83">
            <v>1177739.0900000001</v>
          </cell>
          <cell r="AC83">
            <v>1217399.53</v>
          </cell>
          <cell r="AD83">
            <v>1465594.14</v>
          </cell>
          <cell r="AE83">
            <v>1641179.79</v>
          </cell>
          <cell r="AF83">
            <v>1368364.45</v>
          </cell>
          <cell r="AG83">
            <v>1262853.1299999999</v>
          </cell>
          <cell r="AH83">
            <v>1375046.26</v>
          </cell>
          <cell r="AJ83">
            <v>1857422</v>
          </cell>
        </row>
        <row r="84">
          <cell r="J84">
            <v>201413.47</v>
          </cell>
          <cell r="K84">
            <v>170387.3</v>
          </cell>
          <cell r="L84">
            <v>151165.63</v>
          </cell>
          <cell r="M84">
            <v>132352.66</v>
          </cell>
          <cell r="N84">
            <v>160164.68</v>
          </cell>
          <cell r="O84">
            <v>122353.78</v>
          </cell>
          <cell r="P84">
            <v>-7636.66</v>
          </cell>
          <cell r="Q84">
            <v>27857.63</v>
          </cell>
          <cell r="R84">
            <v>110475.03</v>
          </cell>
          <cell r="S84">
            <v>113270.96</v>
          </cell>
          <cell r="T84">
            <v>53234.21</v>
          </cell>
          <cell r="U84">
            <v>30033.54</v>
          </cell>
          <cell r="V84">
            <v>16227.32</v>
          </cell>
          <cell r="W84">
            <v>79561.55</v>
          </cell>
          <cell r="X84">
            <v>55890.26</v>
          </cell>
          <cell r="Y84">
            <v>61691.03</v>
          </cell>
          <cell r="Z84">
            <v>20735.689999999999</v>
          </cell>
          <cell r="AA84">
            <v>13250.75</v>
          </cell>
          <cell r="AB84">
            <v>121070.06</v>
          </cell>
          <cell r="AC84">
            <v>122035.32</v>
          </cell>
          <cell r="AD84">
            <v>132532.42000000001</v>
          </cell>
          <cell r="AE84">
            <v>143709.93</v>
          </cell>
          <cell r="AF84">
            <v>120979.27</v>
          </cell>
          <cell r="AG84">
            <v>99598.25</v>
          </cell>
          <cell r="AH84">
            <v>125465.55</v>
          </cell>
          <cell r="AJ84">
            <v>170387.3</v>
          </cell>
        </row>
        <row r="85">
          <cell r="J85">
            <v>20723.46</v>
          </cell>
          <cell r="K85">
            <v>17509.88</v>
          </cell>
          <cell r="L85">
            <v>15738.62</v>
          </cell>
          <cell r="M85">
            <v>14245.83</v>
          </cell>
          <cell r="N85">
            <v>17612.22</v>
          </cell>
          <cell r="O85">
            <v>14780.7</v>
          </cell>
          <cell r="P85">
            <v>-996.99</v>
          </cell>
          <cell r="Q85">
            <v>3386.87</v>
          </cell>
          <cell r="R85">
            <v>13921.54</v>
          </cell>
          <cell r="S85">
            <v>12637.86</v>
          </cell>
          <cell r="T85">
            <v>5553.87</v>
          </cell>
          <cell r="U85">
            <v>3408.08</v>
          </cell>
          <cell r="V85">
            <v>1530.55</v>
          </cell>
          <cell r="W85">
            <v>7960.24</v>
          </cell>
          <cell r="X85">
            <v>5475.13</v>
          </cell>
          <cell r="Y85">
            <v>6390.98</v>
          </cell>
          <cell r="Z85">
            <v>2174.67</v>
          </cell>
          <cell r="AA85">
            <v>1451.97</v>
          </cell>
          <cell r="AB85">
            <v>17489.990000000002</v>
          </cell>
          <cell r="AC85">
            <v>15987.61</v>
          </cell>
          <cell r="AD85">
            <v>17543.86</v>
          </cell>
          <cell r="AE85">
            <v>16751.52</v>
          </cell>
          <cell r="AF85">
            <v>13298.58</v>
          </cell>
          <cell r="AG85">
            <v>12082</v>
          </cell>
          <cell r="AH85">
            <v>12629.03</v>
          </cell>
          <cell r="AJ85">
            <v>17509.88</v>
          </cell>
        </row>
        <row r="86">
          <cell r="J86">
            <v>610099.36</v>
          </cell>
          <cell r="K86">
            <v>473812.88</v>
          </cell>
          <cell r="L86">
            <v>371717.22</v>
          </cell>
          <cell r="M86">
            <v>305265.21000000002</v>
          </cell>
          <cell r="N86">
            <v>402432.56</v>
          </cell>
          <cell r="O86">
            <v>304425.09000000003</v>
          </cell>
          <cell r="P86">
            <v>-18417.72</v>
          </cell>
          <cell r="Q86">
            <v>62280.480000000003</v>
          </cell>
          <cell r="R86">
            <v>305538.26</v>
          </cell>
          <cell r="S86">
            <v>374931.36</v>
          </cell>
          <cell r="T86">
            <v>166312.68</v>
          </cell>
          <cell r="U86">
            <v>106184.02</v>
          </cell>
          <cell r="V86">
            <v>45498.77</v>
          </cell>
          <cell r="W86">
            <v>210191.85</v>
          </cell>
          <cell r="X86">
            <v>128050.88</v>
          </cell>
          <cell r="Y86">
            <v>135865.39000000001</v>
          </cell>
          <cell r="Z86">
            <v>47813.42</v>
          </cell>
          <cell r="AA86">
            <v>29805.59</v>
          </cell>
          <cell r="AB86">
            <v>309707.77</v>
          </cell>
          <cell r="AC86">
            <v>285079.82</v>
          </cell>
          <cell r="AD86">
            <v>370832.96</v>
          </cell>
          <cell r="AE86">
            <v>486023.04</v>
          </cell>
          <cell r="AF86">
            <v>386718.5</v>
          </cell>
          <cell r="AG86">
            <v>363565.32</v>
          </cell>
          <cell r="AH86">
            <v>353376.85</v>
          </cell>
          <cell r="AJ86">
            <v>473812.88</v>
          </cell>
        </row>
        <row r="87">
          <cell r="J87">
            <v>35630.75</v>
          </cell>
          <cell r="K87">
            <v>27043.06</v>
          </cell>
          <cell r="L87">
            <v>23357.87</v>
          </cell>
          <cell r="M87">
            <v>19159.7</v>
          </cell>
          <cell r="N87">
            <v>25072.85</v>
          </cell>
          <cell r="O87">
            <v>19872.73</v>
          </cell>
          <cell r="P87">
            <v>-1156.99</v>
          </cell>
          <cell r="Q87">
            <v>3873.29</v>
          </cell>
          <cell r="R87">
            <v>17618.21</v>
          </cell>
          <cell r="S87">
            <v>19223.830000000002</v>
          </cell>
          <cell r="T87">
            <v>8948.2900000000009</v>
          </cell>
          <cell r="U87">
            <v>6036.81</v>
          </cell>
          <cell r="V87">
            <v>2620.63</v>
          </cell>
          <cell r="W87">
            <v>12517.23</v>
          </cell>
          <cell r="X87">
            <v>8150.34</v>
          </cell>
          <cell r="Y87">
            <v>8507.93</v>
          </cell>
          <cell r="Z87">
            <v>3070.59</v>
          </cell>
          <cell r="AA87">
            <v>2018.93</v>
          </cell>
          <cell r="AB87">
            <v>19904.57</v>
          </cell>
          <cell r="AC87">
            <v>18499.32</v>
          </cell>
          <cell r="AD87">
            <v>22191.599999999999</v>
          </cell>
          <cell r="AE87">
            <v>25694.16</v>
          </cell>
          <cell r="AF87">
            <v>21215.53</v>
          </cell>
          <cell r="AG87">
            <v>22063.07</v>
          </cell>
          <cell r="AH87">
            <v>21119</v>
          </cell>
          <cell r="AJ87">
            <v>27043.06</v>
          </cell>
        </row>
        <row r="88">
          <cell r="J88">
            <v>-104113.72</v>
          </cell>
          <cell r="K88">
            <v>-180354.49</v>
          </cell>
          <cell r="L88">
            <v>-214538.4</v>
          </cell>
          <cell r="M88">
            <v>-369259.33</v>
          </cell>
          <cell r="N88">
            <v>-213206.53</v>
          </cell>
          <cell r="O88">
            <v>-427441.14</v>
          </cell>
          <cell r="P88">
            <v>-853737.94</v>
          </cell>
          <cell r="Q88">
            <v>-665107.73</v>
          </cell>
          <cell r="R88">
            <v>-509636.08</v>
          </cell>
          <cell r="S88">
            <v>-537604.39</v>
          </cell>
          <cell r="T88">
            <v>-702508.15</v>
          </cell>
          <cell r="U88">
            <v>-777601.75</v>
          </cell>
          <cell r="V88">
            <v>-828039.1</v>
          </cell>
          <cell r="W88">
            <v>-553983.63</v>
          </cell>
          <cell r="X88">
            <v>-600880.79</v>
          </cell>
          <cell r="Y88">
            <v>-571657.80000000005</v>
          </cell>
          <cell r="Z88">
            <v>-663600.54</v>
          </cell>
          <cell r="AA88">
            <v>-653475.96</v>
          </cell>
          <cell r="AB88">
            <v>-801636.34</v>
          </cell>
          <cell r="AC88">
            <v>-696669.16</v>
          </cell>
          <cell r="AD88">
            <v>-694172.78</v>
          </cell>
          <cell r="AE88">
            <v>-755261.83</v>
          </cell>
          <cell r="AF88">
            <v>-831388.59</v>
          </cell>
          <cell r="AG88">
            <v>-792367.44</v>
          </cell>
          <cell r="AH88">
            <v>-805634.7</v>
          </cell>
          <cell r="AJ88">
            <v>-180354.49</v>
          </cell>
        </row>
        <row r="89">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J89">
            <v>0</v>
          </cell>
        </row>
        <row r="90">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J90">
            <v>0</v>
          </cell>
        </row>
        <row r="92">
          <cell r="J92">
            <v>336166.47</v>
          </cell>
          <cell r="K92">
            <v>336166.47</v>
          </cell>
          <cell r="L92">
            <v>336166.47</v>
          </cell>
          <cell r="M92">
            <v>336166.47</v>
          </cell>
          <cell r="N92">
            <v>336166.47</v>
          </cell>
          <cell r="O92">
            <v>336166.47</v>
          </cell>
          <cell r="P92">
            <v>197321.5</v>
          </cell>
          <cell r="Q92">
            <v>200378.73</v>
          </cell>
          <cell r="R92">
            <v>211073.69</v>
          </cell>
          <cell r="S92">
            <v>215989.85</v>
          </cell>
          <cell r="T92">
            <v>216021.32</v>
          </cell>
          <cell r="U92">
            <v>215243.61</v>
          </cell>
          <cell r="V92">
            <v>212266.3</v>
          </cell>
          <cell r="W92">
            <v>208964.97</v>
          </cell>
          <cell r="X92">
            <v>199470.76</v>
          </cell>
          <cell r="Y92">
            <v>195393.04</v>
          </cell>
          <cell r="Z92">
            <v>194663.3</v>
          </cell>
          <cell r="AA92">
            <v>193777.71</v>
          </cell>
          <cell r="AB92">
            <v>177742.52</v>
          </cell>
          <cell r="AC92">
            <v>179308.94</v>
          </cell>
          <cell r="AD92">
            <v>187058.06</v>
          </cell>
          <cell r="AE92">
            <v>192677.1</v>
          </cell>
          <cell r="AF92">
            <v>193234.56</v>
          </cell>
          <cell r="AG92">
            <v>192549.82</v>
          </cell>
          <cell r="AH92">
            <v>190214.98</v>
          </cell>
          <cell r="AJ92">
            <v>336166.47</v>
          </cell>
        </row>
        <row r="93">
          <cell r="J93">
            <v>0</v>
          </cell>
          <cell r="K93">
            <v>0</v>
          </cell>
          <cell r="L93">
            <v>0</v>
          </cell>
          <cell r="M93">
            <v>0</v>
          </cell>
          <cell r="N93">
            <v>0</v>
          </cell>
          <cell r="O93">
            <v>0</v>
          </cell>
          <cell r="P93">
            <v>108910.59</v>
          </cell>
          <cell r="Q93">
            <v>105853.36</v>
          </cell>
          <cell r="R93">
            <v>95158.41</v>
          </cell>
          <cell r="S93">
            <v>90242.240000000005</v>
          </cell>
          <cell r="T93">
            <v>90210.77</v>
          </cell>
          <cell r="U93">
            <v>90988.479999999996</v>
          </cell>
          <cell r="V93">
            <v>93965.79</v>
          </cell>
          <cell r="W93">
            <v>97267.12</v>
          </cell>
          <cell r="X93">
            <v>106761.33</v>
          </cell>
          <cell r="Y93">
            <v>110839.05</v>
          </cell>
          <cell r="Z93">
            <v>111568.79</v>
          </cell>
          <cell r="AA93">
            <v>112454.39</v>
          </cell>
          <cell r="AB93">
            <v>96414.88</v>
          </cell>
          <cell r="AC93">
            <v>94848.47</v>
          </cell>
          <cell r="AD93">
            <v>87099.35</v>
          </cell>
          <cell r="AE93">
            <v>81480.3</v>
          </cell>
          <cell r="AF93">
            <v>80922.84</v>
          </cell>
          <cell r="AG93">
            <v>81607.58</v>
          </cell>
          <cell r="AH93">
            <v>83942.42</v>
          </cell>
          <cell r="AJ93">
            <v>0</v>
          </cell>
        </row>
        <row r="94">
          <cell r="J94">
            <v>0</v>
          </cell>
          <cell r="K94">
            <v>0</v>
          </cell>
          <cell r="L94">
            <v>0</v>
          </cell>
          <cell r="M94">
            <v>0</v>
          </cell>
          <cell r="N94">
            <v>0</v>
          </cell>
          <cell r="O94">
            <v>0</v>
          </cell>
          <cell r="P94">
            <v>5140.8</v>
          </cell>
          <cell r="Q94">
            <v>4885.3</v>
          </cell>
          <cell r="R94">
            <v>4642.38</v>
          </cell>
          <cell r="S94">
            <v>4599.67</v>
          </cell>
          <cell r="T94">
            <v>4598.79</v>
          </cell>
          <cell r="U94">
            <v>4452.33</v>
          </cell>
          <cell r="V94">
            <v>4536.8999999999996</v>
          </cell>
          <cell r="W94">
            <v>4517.04</v>
          </cell>
          <cell r="X94">
            <v>4976.24</v>
          </cell>
          <cell r="Y94">
            <v>5235.6499999999996</v>
          </cell>
          <cell r="Z94">
            <v>5360.61</v>
          </cell>
          <cell r="AA94">
            <v>5495.36</v>
          </cell>
          <cell r="AB94">
            <v>4453.03</v>
          </cell>
          <cell r="AC94">
            <v>4322.2299999999996</v>
          </cell>
          <cell r="AD94">
            <v>4171.88</v>
          </cell>
          <cell r="AE94">
            <v>4149.37</v>
          </cell>
          <cell r="AF94">
            <v>4105.08</v>
          </cell>
          <cell r="AG94">
            <v>4004.76</v>
          </cell>
          <cell r="AH94">
            <v>3973.02</v>
          </cell>
          <cell r="AJ94">
            <v>0</v>
          </cell>
        </row>
        <row r="95">
          <cell r="J95">
            <v>40221.46</v>
          </cell>
          <cell r="K95">
            <v>40221.46</v>
          </cell>
          <cell r="L95">
            <v>40221.46</v>
          </cell>
          <cell r="M95">
            <v>40221.46</v>
          </cell>
          <cell r="N95">
            <v>40221.46</v>
          </cell>
          <cell r="O95">
            <v>40221.46</v>
          </cell>
          <cell r="P95">
            <v>31969.03</v>
          </cell>
          <cell r="Q95">
            <v>32224.53</v>
          </cell>
          <cell r="R95">
            <v>32467.45</v>
          </cell>
          <cell r="S95">
            <v>32510.16</v>
          </cell>
          <cell r="T95">
            <v>32511.040000000001</v>
          </cell>
          <cell r="U95">
            <v>32657.5</v>
          </cell>
          <cell r="V95">
            <v>32572.93</v>
          </cell>
          <cell r="W95">
            <v>32592.79</v>
          </cell>
          <cell r="X95">
            <v>32133.59</v>
          </cell>
          <cell r="Y95">
            <v>31874.18</v>
          </cell>
          <cell r="Z95">
            <v>31749.22</v>
          </cell>
          <cell r="AA95">
            <v>31614.46</v>
          </cell>
          <cell r="AB95">
            <v>29079.96</v>
          </cell>
          <cell r="AC95">
            <v>29210.75</v>
          </cell>
          <cell r="AD95">
            <v>29361.1</v>
          </cell>
          <cell r="AE95">
            <v>29383.62</v>
          </cell>
          <cell r="AF95">
            <v>29427.91</v>
          </cell>
          <cell r="AG95">
            <v>29528.23</v>
          </cell>
          <cell r="AH95">
            <v>29559.96</v>
          </cell>
          <cell r="AJ95">
            <v>40221.46</v>
          </cell>
        </row>
        <row r="96">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J96">
            <v>0</v>
          </cell>
        </row>
        <row r="97">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J97">
            <v>0</v>
          </cell>
        </row>
        <row r="98">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J98">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J99">
            <v>0</v>
          </cell>
        </row>
        <row r="100">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J100">
            <v>0</v>
          </cell>
        </row>
        <row r="101">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J101">
            <v>0</v>
          </cell>
        </row>
        <row r="102">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J102">
            <v>0</v>
          </cell>
        </row>
        <row r="103">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J103">
            <v>0</v>
          </cell>
        </row>
        <row r="105">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J105">
            <v>0</v>
          </cell>
        </row>
        <row r="106">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J106">
            <v>0</v>
          </cell>
        </row>
        <row r="107">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J107">
            <v>0</v>
          </cell>
        </row>
        <row r="108">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J108">
            <v>0</v>
          </cell>
        </row>
        <row r="109">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J109">
            <v>0</v>
          </cell>
        </row>
        <row r="110">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J110">
            <v>0</v>
          </cell>
        </row>
        <row r="111">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J111">
            <v>0</v>
          </cell>
        </row>
        <row r="112">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J112">
            <v>0</v>
          </cell>
        </row>
        <row r="113">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J113">
            <v>0</v>
          </cell>
        </row>
        <row r="114">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J114">
            <v>0</v>
          </cell>
        </row>
        <row r="115">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J115">
            <v>0</v>
          </cell>
        </row>
        <row r="116">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J116">
            <v>0</v>
          </cell>
        </row>
        <row r="118">
          <cell r="J118">
            <v>914201.74</v>
          </cell>
          <cell r="K118">
            <v>824658.61</v>
          </cell>
          <cell r="L118">
            <v>889694.85</v>
          </cell>
          <cell r="M118">
            <v>860985.63</v>
          </cell>
          <cell r="N118">
            <v>925975.92</v>
          </cell>
          <cell r="O118">
            <v>963129.57</v>
          </cell>
          <cell r="P118">
            <v>681305.08</v>
          </cell>
          <cell r="Q118">
            <v>560036.43000000005</v>
          </cell>
          <cell r="R118">
            <v>535417.67000000004</v>
          </cell>
          <cell r="S118">
            <v>625861.87</v>
          </cell>
          <cell r="T118">
            <v>662357</v>
          </cell>
          <cell r="U118">
            <v>658163.24</v>
          </cell>
          <cell r="V118">
            <v>581709.94999999995</v>
          </cell>
          <cell r="W118">
            <v>491011.44</v>
          </cell>
          <cell r="X118">
            <v>490191.48</v>
          </cell>
          <cell r="Y118">
            <v>496871.7</v>
          </cell>
          <cell r="Z118">
            <v>468317.99</v>
          </cell>
          <cell r="AA118">
            <v>484914.21</v>
          </cell>
          <cell r="AB118">
            <v>735583.13</v>
          </cell>
          <cell r="AC118">
            <v>631625.04</v>
          </cell>
          <cell r="AD118">
            <v>609599.32999999996</v>
          </cell>
          <cell r="AE118">
            <v>652817.88</v>
          </cell>
          <cell r="AF118">
            <v>684024.11</v>
          </cell>
          <cell r="AG118">
            <v>623247.56000000006</v>
          </cell>
          <cell r="AH118">
            <v>503351.31</v>
          </cell>
          <cell r="AJ118">
            <v>824658.61</v>
          </cell>
        </row>
        <row r="119">
          <cell r="J119">
            <v>0</v>
          </cell>
          <cell r="K119">
            <v>0</v>
          </cell>
          <cell r="L119">
            <v>0</v>
          </cell>
          <cell r="M119">
            <v>0</v>
          </cell>
          <cell r="N119">
            <v>0</v>
          </cell>
          <cell r="O119">
            <v>0</v>
          </cell>
          <cell r="P119">
            <v>353833.14</v>
          </cell>
          <cell r="Q119">
            <v>279607.55</v>
          </cell>
          <cell r="R119">
            <v>235848.78</v>
          </cell>
          <cell r="S119">
            <v>259595.8</v>
          </cell>
          <cell r="T119">
            <v>275254.96999999997</v>
          </cell>
          <cell r="U119">
            <v>276409.17</v>
          </cell>
          <cell r="V119">
            <v>254396.26</v>
          </cell>
          <cell r="W119">
            <v>222814.58</v>
          </cell>
          <cell r="X119">
            <v>247968.19</v>
          </cell>
          <cell r="Y119">
            <v>264011.25</v>
          </cell>
          <cell r="Z119">
            <v>251636.63</v>
          </cell>
          <cell r="AA119">
            <v>264908.71000000002</v>
          </cell>
          <cell r="AB119">
            <v>376510.84</v>
          </cell>
          <cell r="AC119">
            <v>316701.89</v>
          </cell>
          <cell r="AD119">
            <v>274755.15999999997</v>
          </cell>
          <cell r="AE119">
            <v>271376.77</v>
          </cell>
          <cell r="AF119">
            <v>281769.46999999997</v>
          </cell>
          <cell r="AG119">
            <v>259889.97</v>
          </cell>
          <cell r="AH119">
            <v>217598.48</v>
          </cell>
          <cell r="AJ119">
            <v>0</v>
          </cell>
        </row>
        <row r="120">
          <cell r="J120">
            <v>0</v>
          </cell>
          <cell r="K120">
            <v>0</v>
          </cell>
          <cell r="L120">
            <v>0</v>
          </cell>
          <cell r="M120">
            <v>0</v>
          </cell>
          <cell r="N120">
            <v>0</v>
          </cell>
          <cell r="O120">
            <v>0</v>
          </cell>
          <cell r="P120">
            <v>107992.53</v>
          </cell>
          <cell r="Q120">
            <v>99637.92</v>
          </cell>
          <cell r="R120">
            <v>102108.22</v>
          </cell>
          <cell r="S120">
            <v>96952.43</v>
          </cell>
          <cell r="T120">
            <v>93513.16</v>
          </cell>
          <cell r="U120">
            <v>91194.95</v>
          </cell>
          <cell r="V120">
            <v>92160.639999999999</v>
          </cell>
          <cell r="W120">
            <v>87158.49</v>
          </cell>
          <cell r="X120">
            <v>82451.08</v>
          </cell>
          <cell r="Y120">
            <v>78497.279999999999</v>
          </cell>
          <cell r="Z120">
            <v>70376.039999999994</v>
          </cell>
          <cell r="AA120">
            <v>68639.23</v>
          </cell>
          <cell r="AB120">
            <v>115321.72</v>
          </cell>
          <cell r="AC120">
            <v>117754.64</v>
          </cell>
          <cell r="AD120">
            <v>111273.61</v>
          </cell>
          <cell r="AE120">
            <v>103906.21</v>
          </cell>
          <cell r="AF120">
            <v>95231.59</v>
          </cell>
          <cell r="AG120">
            <v>88808.22</v>
          </cell>
          <cell r="AH120">
            <v>80846.259999999995</v>
          </cell>
          <cell r="AJ120">
            <v>0</v>
          </cell>
        </row>
        <row r="121">
          <cell r="J121">
            <v>720879.35</v>
          </cell>
          <cell r="K121">
            <v>709859.49</v>
          </cell>
          <cell r="L121">
            <v>622357.85</v>
          </cell>
          <cell r="M121">
            <v>559760.93999999994</v>
          </cell>
          <cell r="N121">
            <v>561608.56000000006</v>
          </cell>
          <cell r="O121">
            <v>508006.27</v>
          </cell>
          <cell r="P121">
            <v>562488.85</v>
          </cell>
          <cell r="Q121">
            <v>538522.47</v>
          </cell>
          <cell r="R121">
            <v>583518.41</v>
          </cell>
          <cell r="S121">
            <v>560393.91</v>
          </cell>
          <cell r="T121">
            <v>542429.84</v>
          </cell>
          <cell r="U121">
            <v>538950.37</v>
          </cell>
          <cell r="V121">
            <v>538283.25</v>
          </cell>
          <cell r="W121">
            <v>506980.54</v>
          </cell>
          <cell r="X121">
            <v>439563.84</v>
          </cell>
          <cell r="Y121">
            <v>399347.93</v>
          </cell>
          <cell r="Z121">
            <v>350699.74</v>
          </cell>
          <cell r="AA121">
            <v>326994.18</v>
          </cell>
          <cell r="AB121">
            <v>626866.25</v>
          </cell>
          <cell r="AC121">
            <v>649678.4</v>
          </cell>
          <cell r="AD121">
            <v>636781.52</v>
          </cell>
          <cell r="AE121">
            <v>600942.06000000006</v>
          </cell>
          <cell r="AF121">
            <v>560855.03</v>
          </cell>
          <cell r="AG121">
            <v>528241.85</v>
          </cell>
          <cell r="AH121">
            <v>492515.44</v>
          </cell>
          <cell r="AJ121">
            <v>709859.49</v>
          </cell>
        </row>
        <row r="122">
          <cell r="J122">
            <v>535455.31000000006</v>
          </cell>
          <cell r="K122">
            <v>561728.48</v>
          </cell>
          <cell r="L122">
            <v>482691.11</v>
          </cell>
          <cell r="M122">
            <v>423892.02</v>
          </cell>
          <cell r="N122">
            <v>408214.38</v>
          </cell>
          <cell r="O122">
            <v>353348.38</v>
          </cell>
          <cell r="P122">
            <v>571445.14</v>
          </cell>
          <cell r="Q122">
            <v>594075.49</v>
          </cell>
          <cell r="R122">
            <v>598573.92000000004</v>
          </cell>
          <cell r="S122">
            <v>536540.82999999996</v>
          </cell>
          <cell r="T122">
            <v>488451.75</v>
          </cell>
          <cell r="U122">
            <v>486534.35</v>
          </cell>
          <cell r="V122">
            <v>528155.29</v>
          </cell>
          <cell r="W122">
            <v>539963.07999999996</v>
          </cell>
          <cell r="X122">
            <v>461650.65</v>
          </cell>
          <cell r="Y122">
            <v>405076.47999999998</v>
          </cell>
          <cell r="Z122">
            <v>337360.07</v>
          </cell>
          <cell r="AA122">
            <v>301419.3</v>
          </cell>
          <cell r="AB122">
            <v>600225.03</v>
          </cell>
          <cell r="AC122">
            <v>680622.26</v>
          </cell>
          <cell r="AD122">
            <v>650607.13</v>
          </cell>
          <cell r="AE122">
            <v>559861.57999999996</v>
          </cell>
          <cell r="AF122">
            <v>485610.71</v>
          </cell>
          <cell r="AG122">
            <v>475093.58</v>
          </cell>
          <cell r="AH122">
            <v>482029.83</v>
          </cell>
          <cell r="AJ122">
            <v>561728.48</v>
          </cell>
        </row>
        <row r="123">
          <cell r="J123">
            <v>69561.8</v>
          </cell>
          <cell r="K123">
            <v>73973.929999999993</v>
          </cell>
          <cell r="L123">
            <v>66710.11</v>
          </cell>
          <cell r="M123">
            <v>59496.05</v>
          </cell>
          <cell r="N123">
            <v>57978.33</v>
          </cell>
          <cell r="O123">
            <v>50515.7</v>
          </cell>
          <cell r="P123">
            <v>70582.75</v>
          </cell>
          <cell r="Q123">
            <v>72360.929999999993</v>
          </cell>
          <cell r="R123">
            <v>64487.59</v>
          </cell>
          <cell r="S123">
            <v>60427.51</v>
          </cell>
          <cell r="T123">
            <v>55208.82</v>
          </cell>
          <cell r="U123">
            <v>50650.66</v>
          </cell>
          <cell r="V123">
            <v>62275.45</v>
          </cell>
          <cell r="W123">
            <v>63784.19</v>
          </cell>
          <cell r="X123">
            <v>58353.88</v>
          </cell>
          <cell r="Y123">
            <v>54519.18</v>
          </cell>
          <cell r="Z123">
            <v>44839.53</v>
          </cell>
          <cell r="AA123">
            <v>42809.49</v>
          </cell>
          <cell r="AB123">
            <v>75331.37</v>
          </cell>
          <cell r="AC123">
            <v>83546.929999999993</v>
          </cell>
          <cell r="AD123">
            <v>70717.84</v>
          </cell>
          <cell r="AE123">
            <v>62329.65</v>
          </cell>
          <cell r="AF123">
            <v>54443.21</v>
          </cell>
          <cell r="AG123">
            <v>47347.18</v>
          </cell>
          <cell r="AH123">
            <v>52868.31</v>
          </cell>
          <cell r="AJ123">
            <v>73973.929999999993</v>
          </cell>
        </row>
        <row r="124">
          <cell r="J124">
            <v>44283.26</v>
          </cell>
          <cell r="K124">
            <v>41118.22</v>
          </cell>
          <cell r="L124">
            <v>37893.96</v>
          </cell>
          <cell r="M124">
            <v>30451.09</v>
          </cell>
          <cell r="N124">
            <v>33454.61</v>
          </cell>
          <cell r="O124">
            <v>24442.28</v>
          </cell>
          <cell r="P124">
            <v>36609.199999999997</v>
          </cell>
          <cell r="Q124">
            <v>37566.32</v>
          </cell>
          <cell r="R124">
            <v>37338.49</v>
          </cell>
          <cell r="S124">
            <v>32028.15</v>
          </cell>
          <cell r="T124">
            <v>29889.89</v>
          </cell>
          <cell r="U124">
            <v>30608.94</v>
          </cell>
          <cell r="V124">
            <v>34596.15</v>
          </cell>
          <cell r="W124">
            <v>34774.92</v>
          </cell>
          <cell r="X124">
            <v>30484.36</v>
          </cell>
          <cell r="Y124">
            <v>27544.77</v>
          </cell>
          <cell r="Z124">
            <v>23679.8</v>
          </cell>
          <cell r="AA124">
            <v>19334.39</v>
          </cell>
          <cell r="AB124">
            <v>42441.99</v>
          </cell>
          <cell r="AC124">
            <v>45869</v>
          </cell>
          <cell r="AD124">
            <v>42147.42</v>
          </cell>
          <cell r="AE124">
            <v>34954.639999999999</v>
          </cell>
          <cell r="AF124">
            <v>30999.8</v>
          </cell>
          <cell r="AG124">
            <v>30708.48</v>
          </cell>
          <cell r="AH124">
            <v>32027.67</v>
          </cell>
          <cell r="AJ124">
            <v>41118.22</v>
          </cell>
        </row>
        <row r="125">
          <cell r="J125">
            <v>180923.34</v>
          </cell>
          <cell r="K125">
            <v>188158.44</v>
          </cell>
          <cell r="L125">
            <v>160992.12</v>
          </cell>
          <cell r="M125">
            <v>141631.43</v>
          </cell>
          <cell r="N125">
            <v>144993.67000000001</v>
          </cell>
          <cell r="O125">
            <v>128540.24</v>
          </cell>
          <cell r="P125">
            <v>177687.87</v>
          </cell>
          <cell r="Q125">
            <v>175291.92</v>
          </cell>
          <cell r="R125">
            <v>196142.79</v>
          </cell>
          <cell r="S125">
            <v>190339.76</v>
          </cell>
          <cell r="T125">
            <v>172343.11</v>
          </cell>
          <cell r="U125">
            <v>164572.09</v>
          </cell>
          <cell r="V125">
            <v>173731.36</v>
          </cell>
          <cell r="W125">
            <v>166034.85999999999</v>
          </cell>
          <cell r="X125">
            <v>143783.56</v>
          </cell>
          <cell r="Y125">
            <v>130669.18</v>
          </cell>
          <cell r="Z125">
            <v>111957.72</v>
          </cell>
          <cell r="AA125">
            <v>100380.34</v>
          </cell>
          <cell r="AB125">
            <v>200526.3</v>
          </cell>
          <cell r="AC125">
            <v>210714.79</v>
          </cell>
          <cell r="AD125">
            <v>215157.34</v>
          </cell>
          <cell r="AE125">
            <v>205860.07</v>
          </cell>
          <cell r="AF125">
            <v>177595.91</v>
          </cell>
          <cell r="AG125">
            <v>161557.67000000001</v>
          </cell>
          <cell r="AH125">
            <v>154459.68</v>
          </cell>
          <cell r="AJ125">
            <v>188158.44</v>
          </cell>
        </row>
        <row r="126">
          <cell r="J126">
            <v>11030.02</v>
          </cell>
          <cell r="K126">
            <v>11118.17</v>
          </cell>
          <cell r="L126">
            <v>9894.34</v>
          </cell>
          <cell r="M126">
            <v>8751.4500000000007</v>
          </cell>
          <cell r="N126">
            <v>8608.18</v>
          </cell>
          <cell r="O126">
            <v>7641.46</v>
          </cell>
          <cell r="P126">
            <v>11807.11</v>
          </cell>
          <cell r="Q126">
            <v>11413.42</v>
          </cell>
          <cell r="R126">
            <v>11833.85</v>
          </cell>
          <cell r="S126">
            <v>10527.3</v>
          </cell>
          <cell r="T126">
            <v>9774.91</v>
          </cell>
          <cell r="U126">
            <v>10193.030000000001</v>
          </cell>
          <cell r="V126">
            <v>10511.66</v>
          </cell>
          <cell r="W126">
            <v>10514.39</v>
          </cell>
          <cell r="X126">
            <v>9456.23</v>
          </cell>
          <cell r="Y126">
            <v>8721.89</v>
          </cell>
          <cell r="Z126">
            <v>7781.26</v>
          </cell>
          <cell r="AA126">
            <v>7306.67</v>
          </cell>
          <cell r="AB126">
            <v>13587.65</v>
          </cell>
          <cell r="AC126">
            <v>14135.35</v>
          </cell>
          <cell r="AD126">
            <v>13399.81</v>
          </cell>
          <cell r="AE126">
            <v>11614.55</v>
          </cell>
          <cell r="AF126">
            <v>10117.700000000001</v>
          </cell>
          <cell r="AG126">
            <v>10603.02</v>
          </cell>
          <cell r="AH126">
            <v>9688.58</v>
          </cell>
          <cell r="AJ126">
            <v>11118.17</v>
          </cell>
        </row>
        <row r="127">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J127">
            <v>0</v>
          </cell>
        </row>
        <row r="128">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J128">
            <v>0</v>
          </cell>
        </row>
        <row r="129">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J129">
            <v>0</v>
          </cell>
        </row>
        <row r="131">
          <cell r="J131">
            <v>-528463.68999999994</v>
          </cell>
          <cell r="K131">
            <v>-452328.2</v>
          </cell>
          <cell r="L131">
            <v>-558820.05000000005</v>
          </cell>
          <cell r="M131">
            <v>-679004.48</v>
          </cell>
          <cell r="N131">
            <v>-714068.61</v>
          </cell>
          <cell r="O131">
            <v>-887608.31999999995</v>
          </cell>
          <cell r="P131">
            <v>-435494.58</v>
          </cell>
          <cell r="Q131">
            <v>-333315</v>
          </cell>
          <cell r="R131">
            <v>-336380.4</v>
          </cell>
          <cell r="S131">
            <v>-442963.57</v>
          </cell>
          <cell r="T131">
            <v>-470137.79</v>
          </cell>
          <cell r="U131">
            <v>-480164.76</v>
          </cell>
          <cell r="V131">
            <v>-441613.87</v>
          </cell>
          <cell r="W131">
            <v>-364821.78</v>
          </cell>
          <cell r="X131">
            <v>-373323.54</v>
          </cell>
          <cell r="Y131">
            <v>-431898.38</v>
          </cell>
          <cell r="Z131">
            <v>-491134.63</v>
          </cell>
          <cell r="AA131">
            <v>-593400.4</v>
          </cell>
          <cell r="AB131">
            <v>-390455.53</v>
          </cell>
          <cell r="AC131">
            <v>-297957.23</v>
          </cell>
          <cell r="AD131">
            <v>-306352.34999999998</v>
          </cell>
          <cell r="AE131">
            <v>-395053.07</v>
          </cell>
          <cell r="AF131">
            <v>-463791.16</v>
          </cell>
          <cell r="AG131">
            <v>-443064.16</v>
          </cell>
          <cell r="AH131">
            <v>-355216.09</v>
          </cell>
          <cell r="AJ131">
            <v>-452328.2</v>
          </cell>
        </row>
        <row r="132">
          <cell r="J132">
            <v>0</v>
          </cell>
          <cell r="K132">
            <v>0</v>
          </cell>
          <cell r="L132">
            <v>0</v>
          </cell>
          <cell r="M132">
            <v>0</v>
          </cell>
          <cell r="N132">
            <v>0</v>
          </cell>
          <cell r="O132">
            <v>0</v>
          </cell>
          <cell r="P132">
            <v>-226172.42</v>
          </cell>
          <cell r="Q132">
            <v>-166413.07999999999</v>
          </cell>
          <cell r="R132">
            <v>-148173.87</v>
          </cell>
          <cell r="S132">
            <v>-183733.01</v>
          </cell>
          <cell r="T132">
            <v>-195374.65</v>
          </cell>
          <cell r="U132">
            <v>-201655.05</v>
          </cell>
          <cell r="V132">
            <v>-193128.75</v>
          </cell>
          <cell r="W132">
            <v>-165551.35999999999</v>
          </cell>
          <cell r="X132">
            <v>-188849.39</v>
          </cell>
          <cell r="Y132">
            <v>-229487.87</v>
          </cell>
          <cell r="Z132">
            <v>-263896.46999999997</v>
          </cell>
          <cell r="AA132">
            <v>-324174.74</v>
          </cell>
          <cell r="AB132">
            <v>-199856.05</v>
          </cell>
          <cell r="AC132">
            <v>-149398.16</v>
          </cell>
          <cell r="AD132">
            <v>-138077.4</v>
          </cell>
          <cell r="AE132">
            <v>-164223.79</v>
          </cell>
          <cell r="AF132">
            <v>-191049.1</v>
          </cell>
          <cell r="AG132">
            <v>-184754.72</v>
          </cell>
          <cell r="AH132">
            <v>-153559.71</v>
          </cell>
          <cell r="AJ132">
            <v>0</v>
          </cell>
        </row>
        <row r="133">
          <cell r="J133">
            <v>0</v>
          </cell>
          <cell r="K133">
            <v>0</v>
          </cell>
          <cell r="L133">
            <v>0</v>
          </cell>
          <cell r="M133">
            <v>0</v>
          </cell>
          <cell r="N133">
            <v>0</v>
          </cell>
          <cell r="O133">
            <v>0</v>
          </cell>
          <cell r="P133">
            <v>-69029.52</v>
          </cell>
          <cell r="Q133">
            <v>-59301.17</v>
          </cell>
          <cell r="R133">
            <v>-64150.3</v>
          </cell>
          <cell r="S133">
            <v>-68619.600000000006</v>
          </cell>
          <cell r="T133">
            <v>-66375.19</v>
          </cell>
          <cell r="U133">
            <v>-66531.520000000004</v>
          </cell>
          <cell r="V133">
            <v>-69965.14</v>
          </cell>
          <cell r="W133">
            <v>-64758.81</v>
          </cell>
          <cell r="X133">
            <v>-62793.69</v>
          </cell>
          <cell r="Y133">
            <v>-68232.600000000006</v>
          </cell>
          <cell r="Z133">
            <v>-73804.789999999994</v>
          </cell>
          <cell r="AA133">
            <v>-83995.36</v>
          </cell>
          <cell r="AB133">
            <v>-61214.02</v>
          </cell>
          <cell r="AC133">
            <v>-55548.54</v>
          </cell>
          <cell r="AD133">
            <v>-55920.22</v>
          </cell>
          <cell r="AE133">
            <v>-62878.9</v>
          </cell>
          <cell r="AF133">
            <v>-64570.19</v>
          </cell>
          <cell r="AG133">
            <v>-63133.41</v>
          </cell>
          <cell r="AH133">
            <v>-57053.38</v>
          </cell>
          <cell r="AJ133">
            <v>0</v>
          </cell>
        </row>
        <row r="134">
          <cell r="J134">
            <v>-416711.7</v>
          </cell>
          <cell r="K134">
            <v>-389360.47</v>
          </cell>
          <cell r="L134">
            <v>-390904.86</v>
          </cell>
          <cell r="M134">
            <v>-441447.77</v>
          </cell>
          <cell r="N134">
            <v>-433085.82</v>
          </cell>
          <cell r="O134">
            <v>-468172.3</v>
          </cell>
          <cell r="P134">
            <v>-359546.48</v>
          </cell>
          <cell r="Q134">
            <v>-320510.61</v>
          </cell>
          <cell r="R134">
            <v>-366600.07</v>
          </cell>
          <cell r="S134">
            <v>-396627.6</v>
          </cell>
          <cell r="T134">
            <v>-385014.08</v>
          </cell>
          <cell r="U134">
            <v>-393192.69</v>
          </cell>
          <cell r="V134">
            <v>-408645.83</v>
          </cell>
          <cell r="W134">
            <v>-376686.83</v>
          </cell>
          <cell r="X134">
            <v>-334766.18</v>
          </cell>
          <cell r="Y134">
            <v>-347127.28</v>
          </cell>
          <cell r="Z134">
            <v>-367785.97</v>
          </cell>
          <cell r="AA134">
            <v>-400150.12</v>
          </cell>
          <cell r="AB134">
            <v>-332747.42</v>
          </cell>
          <cell r="AC134">
            <v>-306473.57</v>
          </cell>
          <cell r="AD134">
            <v>-320012.68</v>
          </cell>
          <cell r="AE134">
            <v>-363660.39</v>
          </cell>
          <cell r="AF134">
            <v>-380278.42</v>
          </cell>
          <cell r="AG134">
            <v>-375524.99</v>
          </cell>
          <cell r="AH134">
            <v>-347569.19</v>
          </cell>
          <cell r="AJ134">
            <v>-389360.47</v>
          </cell>
        </row>
        <row r="135">
          <cell r="J135">
            <v>-333142.57</v>
          </cell>
          <cell r="K135">
            <v>-332026.90999999997</v>
          </cell>
          <cell r="L135">
            <v>-328140.56</v>
          </cell>
          <cell r="M135">
            <v>-352668.57</v>
          </cell>
          <cell r="N135">
            <v>-337296.75</v>
          </cell>
          <cell r="O135">
            <v>-345846.14</v>
          </cell>
          <cell r="P135">
            <v>-352517.15</v>
          </cell>
          <cell r="Q135">
            <v>-344083.3</v>
          </cell>
          <cell r="R135">
            <v>-360294.84</v>
          </cell>
          <cell r="S135">
            <v>-362952.72</v>
          </cell>
          <cell r="T135">
            <v>-339127.73</v>
          </cell>
          <cell r="U135">
            <v>-345077.22</v>
          </cell>
          <cell r="V135">
            <v>-378246.38</v>
          </cell>
          <cell r="W135">
            <v>-378416.42</v>
          </cell>
          <cell r="X135">
            <v>-342650.89</v>
          </cell>
          <cell r="Y135">
            <v>-343025.47</v>
          </cell>
          <cell r="Z135">
            <v>-344243.71</v>
          </cell>
          <cell r="AA135">
            <v>-355099.88</v>
          </cell>
          <cell r="AB135">
            <v>-318605.98</v>
          </cell>
          <cell r="AC135">
            <v>-321070.75</v>
          </cell>
          <cell r="AD135">
            <v>-326960.7</v>
          </cell>
          <cell r="AE135">
            <v>-338800.52</v>
          </cell>
          <cell r="AF135">
            <v>-329260.26</v>
          </cell>
          <cell r="AG135">
            <v>-337742.1</v>
          </cell>
          <cell r="AH135">
            <v>-340169.48</v>
          </cell>
          <cell r="AJ135">
            <v>-332026.90999999997</v>
          </cell>
        </row>
        <row r="136">
          <cell r="J136">
            <v>-40210.910000000003</v>
          </cell>
          <cell r="K136">
            <v>-40574.97</v>
          </cell>
          <cell r="L136">
            <v>-41900.83</v>
          </cell>
          <cell r="M136">
            <v>-46920.74</v>
          </cell>
          <cell r="N136">
            <v>-44710.13</v>
          </cell>
          <cell r="O136">
            <v>-46554.65</v>
          </cell>
          <cell r="P136">
            <v>-45116.95</v>
          </cell>
          <cell r="Q136">
            <v>-43066.81</v>
          </cell>
          <cell r="R136">
            <v>-40514.839999999997</v>
          </cell>
          <cell r="S136">
            <v>-42768.52</v>
          </cell>
          <cell r="T136">
            <v>-39186.949999999997</v>
          </cell>
          <cell r="U136">
            <v>-36952.32</v>
          </cell>
          <cell r="V136">
            <v>-47277.34</v>
          </cell>
          <cell r="W136">
            <v>-47391.69</v>
          </cell>
          <cell r="X136">
            <v>-44441.57</v>
          </cell>
          <cell r="Y136">
            <v>-47389.99</v>
          </cell>
          <cell r="Z136">
            <v>-47024.13</v>
          </cell>
          <cell r="AA136">
            <v>-52386.93</v>
          </cell>
          <cell r="AB136">
            <v>-39986.71</v>
          </cell>
          <cell r="AC136">
            <v>-39411.69</v>
          </cell>
          <cell r="AD136">
            <v>-35539.040000000001</v>
          </cell>
          <cell r="AE136">
            <v>-37718.82</v>
          </cell>
          <cell r="AF136">
            <v>-36914.31</v>
          </cell>
          <cell r="AG136">
            <v>-33658.92</v>
          </cell>
          <cell r="AH136">
            <v>-37309.279999999999</v>
          </cell>
          <cell r="AJ136">
            <v>-40574.97</v>
          </cell>
        </row>
        <row r="137">
          <cell r="J137">
            <v>-25598.39</v>
          </cell>
          <cell r="K137">
            <v>-22553.49</v>
          </cell>
          <cell r="L137">
            <v>-23801.31</v>
          </cell>
          <cell r="M137">
            <v>-24014.83</v>
          </cell>
          <cell r="N137">
            <v>-25798.6</v>
          </cell>
          <cell r="O137">
            <v>-22525.71</v>
          </cell>
          <cell r="P137">
            <v>-23400.84</v>
          </cell>
          <cell r="Q137">
            <v>-22358.22</v>
          </cell>
          <cell r="R137">
            <v>-23458.2</v>
          </cell>
          <cell r="S137">
            <v>-22668.42</v>
          </cell>
          <cell r="T137">
            <v>-21215.7</v>
          </cell>
          <cell r="U137">
            <v>-22330.84</v>
          </cell>
          <cell r="V137">
            <v>-26264.19</v>
          </cell>
          <cell r="W137">
            <v>-25837.78</v>
          </cell>
          <cell r="X137">
            <v>-23216.5</v>
          </cell>
          <cell r="Y137">
            <v>-23942.89</v>
          </cell>
          <cell r="Z137">
            <v>-24833.49</v>
          </cell>
          <cell r="AA137">
            <v>-23659.919999999998</v>
          </cell>
          <cell r="AB137">
            <v>-22528.67</v>
          </cell>
          <cell r="AC137">
            <v>-21637.84</v>
          </cell>
          <cell r="AD137">
            <v>-21181.06</v>
          </cell>
          <cell r="AE137">
            <v>-21152.82</v>
          </cell>
          <cell r="AF137">
            <v>-21018.9</v>
          </cell>
          <cell r="AG137">
            <v>-21830.53</v>
          </cell>
          <cell r="AH137">
            <v>-22602</v>
          </cell>
          <cell r="AJ137">
            <v>-22553.49</v>
          </cell>
        </row>
        <row r="138">
          <cell r="J138">
            <v>-104584.59</v>
          </cell>
          <cell r="K138">
            <v>-103205.58</v>
          </cell>
          <cell r="L138">
            <v>-101119.64</v>
          </cell>
          <cell r="M138">
            <v>-111695.67999999999</v>
          </cell>
          <cell r="N138">
            <v>-111812.23</v>
          </cell>
          <cell r="O138">
            <v>-118461.1</v>
          </cell>
          <cell r="P138">
            <v>-113579.23</v>
          </cell>
          <cell r="Q138">
            <v>-104327.9</v>
          </cell>
          <cell r="R138">
            <v>-123228.26</v>
          </cell>
          <cell r="S138">
            <v>-134715.95000000001</v>
          </cell>
          <cell r="T138">
            <v>-122328.3</v>
          </cell>
          <cell r="U138">
            <v>-120064.01</v>
          </cell>
          <cell r="V138">
            <v>-131890.78</v>
          </cell>
          <cell r="W138">
            <v>-123363.99</v>
          </cell>
          <cell r="X138">
            <v>-109503.72</v>
          </cell>
          <cell r="Y138">
            <v>-113582.25</v>
          </cell>
          <cell r="Z138">
            <v>-117412.34</v>
          </cell>
          <cell r="AA138">
            <v>-122837.68</v>
          </cell>
          <cell r="AB138">
            <v>-106441.54</v>
          </cell>
          <cell r="AC138">
            <v>-99400.74</v>
          </cell>
          <cell r="AD138">
            <v>-108126.69</v>
          </cell>
          <cell r="AE138">
            <v>-124576.33</v>
          </cell>
          <cell r="AF138">
            <v>-120415.95</v>
          </cell>
          <cell r="AG138">
            <v>-114850.69</v>
          </cell>
          <cell r="AH138">
            <v>-109002.52</v>
          </cell>
          <cell r="AJ138">
            <v>-103205.58</v>
          </cell>
        </row>
        <row r="139">
          <cell r="J139">
            <v>-6376.02</v>
          </cell>
          <cell r="K139">
            <v>-6098.35</v>
          </cell>
          <cell r="L139">
            <v>-6214.66</v>
          </cell>
          <cell r="M139">
            <v>-6901.71</v>
          </cell>
          <cell r="N139">
            <v>-6638.22</v>
          </cell>
          <cell r="O139">
            <v>-7042.27</v>
          </cell>
          <cell r="P139">
            <v>-7547.18</v>
          </cell>
          <cell r="Q139">
            <v>-6792.89</v>
          </cell>
          <cell r="R139">
            <v>-7434.71</v>
          </cell>
          <cell r="S139">
            <v>-7450.86</v>
          </cell>
          <cell r="T139">
            <v>-6938.19</v>
          </cell>
          <cell r="U139">
            <v>-7436.36</v>
          </cell>
          <cell r="V139">
            <v>-7980.08</v>
          </cell>
          <cell r="W139">
            <v>-7812.2</v>
          </cell>
          <cell r="X139">
            <v>-7201.75</v>
          </cell>
          <cell r="Y139">
            <v>-7581.37</v>
          </cell>
          <cell r="Z139">
            <v>-8160.36</v>
          </cell>
          <cell r="AA139">
            <v>-8941.33</v>
          </cell>
          <cell r="AB139">
            <v>-7212.47</v>
          </cell>
          <cell r="AC139">
            <v>-6668.09</v>
          </cell>
          <cell r="AD139">
            <v>-6734.04</v>
          </cell>
          <cell r="AE139">
            <v>-7028.55</v>
          </cell>
          <cell r="AF139">
            <v>-6860.14</v>
          </cell>
          <cell r="AG139">
            <v>-7537.65</v>
          </cell>
          <cell r="AH139">
            <v>-6837.25</v>
          </cell>
          <cell r="AJ139">
            <v>-6098.35</v>
          </cell>
        </row>
        <row r="140">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J140">
            <v>0</v>
          </cell>
        </row>
        <row r="141">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J141">
            <v>0</v>
          </cell>
        </row>
        <row r="142">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J142">
            <v>0</v>
          </cell>
        </row>
        <row r="144">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J144">
            <v>0</v>
          </cell>
        </row>
        <row r="145">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J145">
            <v>0</v>
          </cell>
        </row>
        <row r="146">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J146">
            <v>0</v>
          </cell>
        </row>
        <row r="147">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J147">
            <v>0</v>
          </cell>
        </row>
        <row r="148">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J148">
            <v>0</v>
          </cell>
        </row>
        <row r="149">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J149">
            <v>0</v>
          </cell>
        </row>
        <row r="150">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J150">
            <v>0</v>
          </cell>
        </row>
        <row r="151">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J151">
            <v>0</v>
          </cell>
        </row>
        <row r="152">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J152">
            <v>0</v>
          </cell>
        </row>
        <row r="153">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J153">
            <v>0</v>
          </cell>
        </row>
        <row r="154">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J154">
            <v>0</v>
          </cell>
        </row>
        <row r="155">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J155">
            <v>0</v>
          </cell>
        </row>
        <row r="157">
          <cell r="J157">
            <v>-103140.85</v>
          </cell>
          <cell r="K157">
            <v>-90019.6</v>
          </cell>
          <cell r="L157">
            <v>-98569.62</v>
          </cell>
          <cell r="M157">
            <v>-116234.25</v>
          </cell>
          <cell r="N157">
            <v>-120866.56</v>
          </cell>
          <cell r="O157">
            <v>-147140.07999999999</v>
          </cell>
          <cell r="P157">
            <v>-71039.08</v>
          </cell>
          <cell r="Q157">
            <v>-54012.480000000003</v>
          </cell>
          <cell r="R157">
            <v>-45446.53</v>
          </cell>
          <cell r="S157">
            <v>-58047.040000000001</v>
          </cell>
          <cell r="T157">
            <v>-75437.77</v>
          </cell>
          <cell r="U157">
            <v>-81181.460000000006</v>
          </cell>
          <cell r="V157">
            <v>-64387.11</v>
          </cell>
          <cell r="W157">
            <v>-48742.69</v>
          </cell>
          <cell r="X157">
            <v>-49838.43</v>
          </cell>
          <cell r="Y157">
            <v>-60069.84</v>
          </cell>
          <cell r="Z157">
            <v>-65618.58</v>
          </cell>
          <cell r="AA157">
            <v>-85593.02</v>
          </cell>
          <cell r="AB157">
            <v>-52023.49</v>
          </cell>
          <cell r="AC157">
            <v>-36248.43</v>
          </cell>
          <cell r="AD157">
            <v>-35952.379999999997</v>
          </cell>
          <cell r="AE157">
            <v>-41852.879999999997</v>
          </cell>
          <cell r="AF157">
            <v>-57441.31</v>
          </cell>
          <cell r="AG157">
            <v>-60255.519999999997</v>
          </cell>
          <cell r="AH157">
            <v>-46714.8</v>
          </cell>
          <cell r="AJ157">
            <v>-90019.6</v>
          </cell>
        </row>
        <row r="158">
          <cell r="J158">
            <v>0</v>
          </cell>
          <cell r="K158">
            <v>0</v>
          </cell>
          <cell r="L158">
            <v>0</v>
          </cell>
          <cell r="M158">
            <v>0</v>
          </cell>
          <cell r="N158">
            <v>0</v>
          </cell>
          <cell r="O158">
            <v>0</v>
          </cell>
          <cell r="P158">
            <v>-37506.32</v>
          </cell>
          <cell r="Q158">
            <v>-28677.279999999999</v>
          </cell>
          <cell r="R158">
            <v>-20543.59</v>
          </cell>
          <cell r="S158">
            <v>-23907.06</v>
          </cell>
          <cell r="T158">
            <v>-31136.21</v>
          </cell>
          <cell r="U158">
            <v>-33549.22</v>
          </cell>
          <cell r="V158">
            <v>-27666.04</v>
          </cell>
          <cell r="W158">
            <v>-20649.73</v>
          </cell>
          <cell r="X158">
            <v>-24682.93</v>
          </cell>
          <cell r="Y158">
            <v>-31881.37</v>
          </cell>
          <cell r="Z158">
            <v>-34991.31</v>
          </cell>
          <cell r="AA158">
            <v>-47533.52</v>
          </cell>
          <cell r="AB158">
            <v>-27001.68</v>
          </cell>
          <cell r="AC158">
            <v>-19573.28</v>
          </cell>
          <cell r="AD158">
            <v>-17041.95</v>
          </cell>
          <cell r="AE158">
            <v>-17364.61</v>
          </cell>
          <cell r="AF158">
            <v>-23497.08</v>
          </cell>
          <cell r="AG158">
            <v>-24686.03</v>
          </cell>
          <cell r="AH158">
            <v>-19813.2</v>
          </cell>
          <cell r="AJ158">
            <v>0</v>
          </cell>
        </row>
        <row r="159">
          <cell r="J159">
            <v>0</v>
          </cell>
          <cell r="K159">
            <v>0</v>
          </cell>
          <cell r="L159">
            <v>0</v>
          </cell>
          <cell r="M159">
            <v>0</v>
          </cell>
          <cell r="N159">
            <v>0</v>
          </cell>
          <cell r="O159">
            <v>0</v>
          </cell>
          <cell r="P159">
            <v>-10598.5</v>
          </cell>
          <cell r="Q159">
            <v>-9392.2900000000009</v>
          </cell>
          <cell r="R159">
            <v>-9804.14</v>
          </cell>
          <cell r="S159">
            <v>-9469.9599999999991</v>
          </cell>
          <cell r="T159">
            <v>-10723.09</v>
          </cell>
          <cell r="U159">
            <v>-10465.61</v>
          </cell>
          <cell r="V159">
            <v>-9944.6</v>
          </cell>
          <cell r="W159">
            <v>-8965.7999999999993</v>
          </cell>
          <cell r="X159">
            <v>-8704.41</v>
          </cell>
          <cell r="Y159">
            <v>-9627.81</v>
          </cell>
          <cell r="Z159">
            <v>-10133.23</v>
          </cell>
          <cell r="AA159">
            <v>-11611.28</v>
          </cell>
          <cell r="AB159">
            <v>-7414.81</v>
          </cell>
          <cell r="AC159">
            <v>-6925.97</v>
          </cell>
          <cell r="AD159">
            <v>-7266.07</v>
          </cell>
          <cell r="AE159">
            <v>-7300.52</v>
          </cell>
          <cell r="AF159">
            <v>-7866.17</v>
          </cell>
          <cell r="AG159">
            <v>-8007.41</v>
          </cell>
          <cell r="AH159">
            <v>-7365.23</v>
          </cell>
          <cell r="AJ159">
            <v>0</v>
          </cell>
        </row>
        <row r="160">
          <cell r="J160">
            <v>-79905.16</v>
          </cell>
          <cell r="K160">
            <v>-75248.95</v>
          </cell>
          <cell r="L160">
            <v>-68684.87</v>
          </cell>
          <cell r="M160">
            <v>-75554.899999999994</v>
          </cell>
          <cell r="N160">
            <v>-74796.33</v>
          </cell>
          <cell r="O160">
            <v>-69946.36</v>
          </cell>
          <cell r="P160">
            <v>-53293.17</v>
          </cell>
          <cell r="Q160">
            <v>-49827.74</v>
          </cell>
          <cell r="R160">
            <v>-55852.78</v>
          </cell>
          <cell r="S160">
            <v>-54711.35</v>
          </cell>
          <cell r="T160">
            <v>-61063.199999999997</v>
          </cell>
          <cell r="U160">
            <v>-62957.49</v>
          </cell>
          <cell r="V160">
            <v>-57696.74</v>
          </cell>
          <cell r="W160">
            <v>-54747.24</v>
          </cell>
          <cell r="X160">
            <v>-47319.01</v>
          </cell>
          <cell r="Y160">
            <v>-49381.79</v>
          </cell>
          <cell r="Z160">
            <v>-51086.65</v>
          </cell>
          <cell r="AA160">
            <v>-53738.6</v>
          </cell>
          <cell r="AB160">
            <v>-39034.94</v>
          </cell>
          <cell r="AC160">
            <v>-37688.449999999997</v>
          </cell>
          <cell r="AD160">
            <v>-41605.01</v>
          </cell>
          <cell r="AE160">
            <v>-41807.01</v>
          </cell>
          <cell r="AF160">
            <v>-45494.53</v>
          </cell>
          <cell r="AG160">
            <v>-47859.58</v>
          </cell>
          <cell r="AH160">
            <v>-44870.1</v>
          </cell>
          <cell r="AJ160">
            <v>-75248.95</v>
          </cell>
        </row>
        <row r="161">
          <cell r="J161">
            <v>-60378.38</v>
          </cell>
          <cell r="K161">
            <v>-59168.44</v>
          </cell>
          <cell r="L161">
            <v>-53391.86</v>
          </cell>
          <cell r="M161">
            <v>-56833.53</v>
          </cell>
          <cell r="N161">
            <v>-52688.74</v>
          </cell>
          <cell r="O161">
            <v>-52755.49</v>
          </cell>
          <cell r="P161">
            <v>-52663.73</v>
          </cell>
          <cell r="Q161">
            <v>-57620.46</v>
          </cell>
          <cell r="R161">
            <v>-58913.95</v>
          </cell>
          <cell r="S161">
            <v>-53632.29</v>
          </cell>
          <cell r="T161">
            <v>-55734.080000000002</v>
          </cell>
          <cell r="U161">
            <v>-52777.38</v>
          </cell>
          <cell r="V161">
            <v>-55038.44</v>
          </cell>
          <cell r="W161">
            <v>-58851.54</v>
          </cell>
          <cell r="X161">
            <v>-51093.38</v>
          </cell>
          <cell r="Y161">
            <v>-50857.55</v>
          </cell>
          <cell r="Z161">
            <v>-51752.15</v>
          </cell>
          <cell r="AA161">
            <v>-45402.8</v>
          </cell>
          <cell r="AB161">
            <v>-36881.49</v>
          </cell>
          <cell r="AC161">
            <v>-40033.49</v>
          </cell>
          <cell r="AD161">
            <v>-43824.72</v>
          </cell>
          <cell r="AE161">
            <v>-39828.639999999999</v>
          </cell>
          <cell r="AF161">
            <v>-40349.449999999997</v>
          </cell>
          <cell r="AG161">
            <v>-39661.93</v>
          </cell>
          <cell r="AH161">
            <v>-42311.27</v>
          </cell>
          <cell r="AJ161">
            <v>-59168.44</v>
          </cell>
        </row>
        <row r="162">
          <cell r="J162">
            <v>-7957.21</v>
          </cell>
          <cell r="K162">
            <v>-8144.29</v>
          </cell>
          <cell r="L162">
            <v>-7401.06</v>
          </cell>
          <cell r="M162">
            <v>-7912.13</v>
          </cell>
          <cell r="N162">
            <v>-7530.01</v>
          </cell>
          <cell r="O162">
            <v>-7405.78</v>
          </cell>
          <cell r="P162">
            <v>-6370.38</v>
          </cell>
          <cell r="Q162">
            <v>-7462.06</v>
          </cell>
          <cell r="R162">
            <v>-6678.84</v>
          </cell>
          <cell r="S162">
            <v>-5573.38</v>
          </cell>
          <cell r="T162">
            <v>-6739.54</v>
          </cell>
          <cell r="U162">
            <v>-4944.66</v>
          </cell>
          <cell r="V162">
            <v>-6546.06</v>
          </cell>
          <cell r="W162">
            <v>-6556.37</v>
          </cell>
          <cell r="X162">
            <v>-6372.72</v>
          </cell>
          <cell r="Y162">
            <v>-6994.02</v>
          </cell>
          <cell r="Z162">
            <v>-6636.89</v>
          </cell>
          <cell r="AA162">
            <v>-6794.72</v>
          </cell>
          <cell r="AB162">
            <v>-4399.5200000000004</v>
          </cell>
          <cell r="AC162">
            <v>-5289.45</v>
          </cell>
          <cell r="AD162">
            <v>-5025.33</v>
          </cell>
          <cell r="AE162">
            <v>-4258.1899999999996</v>
          </cell>
          <cell r="AF162">
            <v>-4791.66</v>
          </cell>
          <cell r="AG162">
            <v>-3508.03</v>
          </cell>
          <cell r="AH162">
            <v>-4891.57</v>
          </cell>
          <cell r="AJ162">
            <v>-8144.29</v>
          </cell>
        </row>
        <row r="163">
          <cell r="J163">
            <v>-5305.73</v>
          </cell>
          <cell r="K163">
            <v>-4476.16</v>
          </cell>
          <cell r="L163">
            <v>-4541.01</v>
          </cell>
          <cell r="M163">
            <v>-3832.61</v>
          </cell>
          <cell r="N163">
            <v>-4949.33</v>
          </cell>
          <cell r="O163">
            <v>-3829.81</v>
          </cell>
          <cell r="P163">
            <v>-3531.94</v>
          </cell>
          <cell r="Q163">
            <v>-3628.09</v>
          </cell>
          <cell r="R163">
            <v>-3813.42</v>
          </cell>
          <cell r="S163">
            <v>-3098.32</v>
          </cell>
          <cell r="T163">
            <v>-3342.2</v>
          </cell>
          <cell r="U163">
            <v>-3341.88</v>
          </cell>
          <cell r="V163">
            <v>-3373.91</v>
          </cell>
          <cell r="W163">
            <v>-3705.87</v>
          </cell>
          <cell r="X163">
            <v>-3261.38</v>
          </cell>
          <cell r="Y163">
            <v>-3677.08</v>
          </cell>
          <cell r="Z163">
            <v>-3383.49</v>
          </cell>
          <cell r="AA163">
            <v>-3184.4</v>
          </cell>
          <cell r="AB163">
            <v>-2778.29</v>
          </cell>
          <cell r="AC163">
            <v>-2761.2</v>
          </cell>
          <cell r="AD163">
            <v>-3034.85</v>
          </cell>
          <cell r="AE163">
            <v>-2388.3000000000002</v>
          </cell>
          <cell r="AF163">
            <v>-2488.25</v>
          </cell>
          <cell r="AG163">
            <v>-2549.56</v>
          </cell>
          <cell r="AH163">
            <v>-2692.52</v>
          </cell>
          <cell r="AJ163">
            <v>-4476.16</v>
          </cell>
        </row>
        <row r="164">
          <cell r="J164">
            <v>-20083.22</v>
          </cell>
          <cell r="K164">
            <v>-20008.009999999998</v>
          </cell>
          <cell r="L164">
            <v>-17758.419999999998</v>
          </cell>
          <cell r="M164">
            <v>-18989.62</v>
          </cell>
          <cell r="N164">
            <v>-18884.54</v>
          </cell>
          <cell r="O164">
            <v>-19965.96</v>
          </cell>
          <cell r="P164">
            <v>-16824.2</v>
          </cell>
          <cell r="Q164">
            <v>-15770.51</v>
          </cell>
          <cell r="R164">
            <v>-18374.09</v>
          </cell>
          <cell r="S164">
            <v>-19686.23</v>
          </cell>
          <cell r="T164">
            <v>-19279.150000000001</v>
          </cell>
          <cell r="U164">
            <v>-19319.72</v>
          </cell>
          <cell r="V164">
            <v>-18190.59</v>
          </cell>
          <cell r="W164">
            <v>-17950.849999999999</v>
          </cell>
          <cell r="X164">
            <v>-15386.09</v>
          </cell>
          <cell r="Y164">
            <v>-16369.31</v>
          </cell>
          <cell r="Z164">
            <v>-16832.63</v>
          </cell>
          <cell r="AA164">
            <v>-16089.84</v>
          </cell>
          <cell r="AB164">
            <v>-12626.49</v>
          </cell>
          <cell r="AC164">
            <v>-11598.28</v>
          </cell>
          <cell r="AD164">
            <v>-13829.69</v>
          </cell>
          <cell r="AE164">
            <v>-15346.03</v>
          </cell>
          <cell r="AF164">
            <v>-14203.65</v>
          </cell>
          <cell r="AG164">
            <v>-14953.29</v>
          </cell>
          <cell r="AH164">
            <v>-13439.73</v>
          </cell>
          <cell r="AJ164">
            <v>-20008.009999999998</v>
          </cell>
        </row>
        <row r="165">
          <cell r="J165">
            <v>-1222.1400000000001</v>
          </cell>
          <cell r="K165">
            <v>-1205.95</v>
          </cell>
          <cell r="L165">
            <v>-1088.42</v>
          </cell>
          <cell r="M165">
            <v>-1189.6600000000001</v>
          </cell>
          <cell r="N165">
            <v>-1147.28</v>
          </cell>
          <cell r="O165">
            <v>-1067.96</v>
          </cell>
          <cell r="P165">
            <v>-1133.21</v>
          </cell>
          <cell r="Q165">
            <v>-1075.49</v>
          </cell>
          <cell r="R165">
            <v>-1164.6400000000001</v>
          </cell>
          <cell r="S165">
            <v>-1049.57</v>
          </cell>
          <cell r="T165">
            <v>-1076.6199999999999</v>
          </cell>
          <cell r="U165">
            <v>-1171.48</v>
          </cell>
          <cell r="V165">
            <v>-1102.3900000000001</v>
          </cell>
          <cell r="W165">
            <v>-1101.3800000000001</v>
          </cell>
          <cell r="X165">
            <v>-1032.73</v>
          </cell>
          <cell r="Y165">
            <v>-1063.6300000000001</v>
          </cell>
          <cell r="Z165">
            <v>-1132.17</v>
          </cell>
          <cell r="AA165">
            <v>-1219.05</v>
          </cell>
          <cell r="AB165">
            <v>-862.83</v>
          </cell>
          <cell r="AC165">
            <v>-834.62</v>
          </cell>
          <cell r="AD165">
            <v>-916.78</v>
          </cell>
          <cell r="AE165">
            <v>-837.3</v>
          </cell>
          <cell r="AF165">
            <v>-770.09</v>
          </cell>
          <cell r="AG165">
            <v>-966.7</v>
          </cell>
          <cell r="AH165">
            <v>-855.88</v>
          </cell>
          <cell r="AJ165">
            <v>-1205.95</v>
          </cell>
        </row>
        <row r="166">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J166">
            <v>0</v>
          </cell>
        </row>
        <row r="167">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J167">
            <v>0</v>
          </cell>
        </row>
        <row r="168">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J168">
            <v>0</v>
          </cell>
        </row>
        <row r="170">
          <cell r="J170">
            <v>23121699.089999992</v>
          </cell>
          <cell r="K170">
            <v>19441920.659999996</v>
          </cell>
          <cell r="L170">
            <v>23739543.969999999</v>
          </cell>
          <cell r="M170">
            <v>25867345.999999996</v>
          </cell>
          <cell r="N170">
            <v>29467193.240000002</v>
          </cell>
          <cell r="O170">
            <v>34725724.880000003</v>
          </cell>
          <cell r="P170">
            <v>16552651.890000001</v>
          </cell>
          <cell r="Q170">
            <v>13023557.59</v>
          </cell>
          <cell r="R170">
            <v>12832951.08</v>
          </cell>
          <cell r="S170">
            <v>18184412.57</v>
          </cell>
          <cell r="T170">
            <v>19114647.600000001</v>
          </cell>
          <cell r="U170">
            <v>19387020.339999992</v>
          </cell>
          <cell r="V170">
            <v>14208586.760000002</v>
          </cell>
          <cell r="W170">
            <v>11566044.800000003</v>
          </cell>
          <cell r="X170">
            <v>13388114.300000003</v>
          </cell>
          <cell r="Y170">
            <v>15181125.819999997</v>
          </cell>
          <cell r="Z170">
            <v>16680712.439999998</v>
          </cell>
          <cell r="AA170">
            <v>19081695.280000001</v>
          </cell>
          <cell r="AB170">
            <v>14902619.4</v>
          </cell>
          <cell r="AC170">
            <v>11268616.27</v>
          </cell>
          <cell r="AD170">
            <v>11646112.510000002</v>
          </cell>
          <cell r="AE170">
            <v>15212528.77</v>
          </cell>
          <cell r="AF170">
            <v>17598417.469999999</v>
          </cell>
          <cell r="AG170">
            <v>16698081.120000001</v>
          </cell>
          <cell r="AH170">
            <v>13347568.710000001</v>
          </cell>
          <cell r="AJ170">
            <v>19441920.659999996</v>
          </cell>
        </row>
        <row r="171">
          <cell r="J171">
            <v>0</v>
          </cell>
          <cell r="K171">
            <v>0</v>
          </cell>
          <cell r="L171">
            <v>0</v>
          </cell>
          <cell r="M171">
            <v>0</v>
          </cell>
          <cell r="N171">
            <v>0</v>
          </cell>
          <cell r="O171">
            <v>0</v>
          </cell>
          <cell r="P171">
            <v>8765590.6999999993</v>
          </cell>
          <cell r="Q171">
            <v>6617874.0299999993</v>
          </cell>
          <cell r="R171">
            <v>5697108.2300000004</v>
          </cell>
          <cell r="S171">
            <v>7561886.7100000009</v>
          </cell>
          <cell r="T171">
            <v>7956582.2899999991</v>
          </cell>
          <cell r="U171">
            <v>8159870.0800000019</v>
          </cell>
          <cell r="V171">
            <v>6239529.0099999998</v>
          </cell>
          <cell r="W171">
            <v>5298028.68</v>
          </cell>
          <cell r="X171">
            <v>6909235.2700000014</v>
          </cell>
          <cell r="Y171">
            <v>8261500.7299999986</v>
          </cell>
          <cell r="Z171">
            <v>9174045.3299999982</v>
          </cell>
          <cell r="AA171">
            <v>10655488.980000002</v>
          </cell>
          <cell r="AB171">
            <v>7785103.7800000003</v>
          </cell>
          <cell r="AC171">
            <v>5752188.6499999985</v>
          </cell>
          <cell r="AD171">
            <v>5307237.6500000004</v>
          </cell>
          <cell r="AE171">
            <v>6362870.6099999994</v>
          </cell>
          <cell r="AF171">
            <v>7291937.21</v>
          </cell>
          <cell r="AG171">
            <v>7003354.0199999996</v>
          </cell>
          <cell r="AH171">
            <v>5812305.0500000007</v>
          </cell>
          <cell r="AJ171">
            <v>0</v>
          </cell>
        </row>
        <row r="172">
          <cell r="J172">
            <v>0</v>
          </cell>
          <cell r="K172">
            <v>0</v>
          </cell>
          <cell r="L172">
            <v>0</v>
          </cell>
          <cell r="M172">
            <v>0</v>
          </cell>
          <cell r="N172">
            <v>0</v>
          </cell>
          <cell r="O172">
            <v>0</v>
          </cell>
          <cell r="P172">
            <v>2502775.4500000002</v>
          </cell>
          <cell r="Q172">
            <v>2227054.39</v>
          </cell>
          <cell r="R172">
            <v>2356701.8199999998</v>
          </cell>
          <cell r="S172">
            <v>2706600.69</v>
          </cell>
          <cell r="T172">
            <v>2591459.9</v>
          </cell>
          <cell r="U172">
            <v>2577954.7200000002</v>
          </cell>
          <cell r="V172">
            <v>2177425.16</v>
          </cell>
          <cell r="W172">
            <v>1971220.31</v>
          </cell>
          <cell r="X172">
            <v>2148090.0699999998</v>
          </cell>
          <cell r="Y172">
            <v>2267147.87</v>
          </cell>
          <cell r="Z172">
            <v>2369016.62</v>
          </cell>
          <cell r="AA172">
            <v>2558973.16</v>
          </cell>
          <cell r="AB172">
            <v>2226866.04</v>
          </cell>
          <cell r="AC172">
            <v>2016405.27</v>
          </cell>
          <cell r="AD172">
            <v>2047709.34</v>
          </cell>
          <cell r="AE172">
            <v>2326530.4700000002</v>
          </cell>
          <cell r="AF172">
            <v>2351385.77</v>
          </cell>
          <cell r="AG172">
            <v>2277872.91</v>
          </cell>
          <cell r="AH172">
            <v>2061675.59</v>
          </cell>
          <cell r="AJ172">
            <v>0</v>
          </cell>
        </row>
        <row r="173">
          <cell r="J173">
            <v>18837242.680000003</v>
          </cell>
          <cell r="K173">
            <v>16949647.720000003</v>
          </cell>
          <cell r="L173">
            <v>16507728.340000002</v>
          </cell>
          <cell r="M173">
            <v>16686696.65</v>
          </cell>
          <cell r="N173">
            <v>17741014.390000001</v>
          </cell>
          <cell r="O173">
            <v>18424935</v>
          </cell>
          <cell r="P173">
            <v>13748218.759999998</v>
          </cell>
          <cell r="Q173">
            <v>12788009.390000001</v>
          </cell>
          <cell r="R173">
            <v>14410445.190000001</v>
          </cell>
          <cell r="S173">
            <v>16766103.459999999</v>
          </cell>
          <cell r="T173">
            <v>16035641.890000001</v>
          </cell>
          <cell r="U173">
            <v>16323202.34</v>
          </cell>
          <cell r="V173">
            <v>13620233.329999998</v>
          </cell>
          <cell r="W173">
            <v>12370348.969999999</v>
          </cell>
          <cell r="X173">
            <v>12213092.84</v>
          </cell>
          <cell r="Y173">
            <v>12260649.920000002</v>
          </cell>
          <cell r="Z173">
            <v>12506954.120000001</v>
          </cell>
          <cell r="AA173">
            <v>13005635.330000002</v>
          </cell>
          <cell r="AB173">
            <v>12869112.990000002</v>
          </cell>
          <cell r="AC173">
            <v>11889107.130000001</v>
          </cell>
          <cell r="AD173">
            <v>12566378.09</v>
          </cell>
          <cell r="AE173">
            <v>14454566.779999999</v>
          </cell>
          <cell r="AF173">
            <v>14826679.73</v>
          </cell>
          <cell r="AG173">
            <v>14590107.020000001</v>
          </cell>
          <cell r="AH173">
            <v>13453537.700000001</v>
          </cell>
          <cell r="AJ173">
            <v>16949647.720000003</v>
          </cell>
        </row>
        <row r="174">
          <cell r="J174">
            <v>17529008.829999998</v>
          </cell>
          <cell r="K174">
            <v>16950657.98</v>
          </cell>
          <cell r="L174">
            <v>15988981.9</v>
          </cell>
          <cell r="M174">
            <v>15758997.17</v>
          </cell>
          <cell r="N174">
            <v>16082932.810000002</v>
          </cell>
          <cell r="O174">
            <v>15570040.59</v>
          </cell>
          <cell r="P174">
            <v>16319519.220000001</v>
          </cell>
          <cell r="Q174">
            <v>16578289.009999998</v>
          </cell>
          <cell r="R174">
            <v>17533585.250000004</v>
          </cell>
          <cell r="S174">
            <v>18933340.280000001</v>
          </cell>
          <cell r="T174">
            <v>16896136.930000003</v>
          </cell>
          <cell r="U174">
            <v>16974030.360000003</v>
          </cell>
          <cell r="V174">
            <v>15760500.34</v>
          </cell>
          <cell r="W174">
            <v>15844909.110000001</v>
          </cell>
          <cell r="X174">
            <v>15360579.309999999</v>
          </cell>
          <cell r="Y174">
            <v>14835621.149999999</v>
          </cell>
          <cell r="Z174">
            <v>14379233.809999999</v>
          </cell>
          <cell r="AA174">
            <v>14031885.729999999</v>
          </cell>
          <cell r="AB174">
            <v>14631662.499999998</v>
          </cell>
          <cell r="AC174">
            <v>14832115.319999998</v>
          </cell>
          <cell r="AD174">
            <v>15325915.130000001</v>
          </cell>
          <cell r="AE174">
            <v>15970657.799999999</v>
          </cell>
          <cell r="AF174">
            <v>15311303.23</v>
          </cell>
          <cell r="AG174">
            <v>15264739.050000001</v>
          </cell>
          <cell r="AH174">
            <v>15500114.25</v>
          </cell>
          <cell r="AJ174">
            <v>16950657.98</v>
          </cell>
        </row>
        <row r="175">
          <cell r="J175">
            <v>1916774.9100000001</v>
          </cell>
          <cell r="K175">
            <v>1890613.58</v>
          </cell>
          <cell r="L175">
            <v>1955003.38</v>
          </cell>
          <cell r="M175">
            <v>1993100.39</v>
          </cell>
          <cell r="N175">
            <v>2031364.61</v>
          </cell>
          <cell r="O175">
            <v>2021278.72</v>
          </cell>
          <cell r="P175">
            <v>1867140.39</v>
          </cell>
          <cell r="Q175">
            <v>1870386.42</v>
          </cell>
          <cell r="R175">
            <v>1755339.68</v>
          </cell>
          <cell r="S175">
            <v>1908190.71</v>
          </cell>
          <cell r="T175">
            <v>1735911.09</v>
          </cell>
          <cell r="U175">
            <v>1600616.48</v>
          </cell>
          <cell r="V175">
            <v>1675291.57</v>
          </cell>
          <cell r="W175">
            <v>1656483.36</v>
          </cell>
          <cell r="X175">
            <v>1783025.82</v>
          </cell>
          <cell r="Y175">
            <v>1862132.49</v>
          </cell>
          <cell r="Z175">
            <v>1780109.78</v>
          </cell>
          <cell r="AA175">
            <v>1858592.06</v>
          </cell>
          <cell r="AB175">
            <v>1685175.18</v>
          </cell>
          <cell r="AC175">
            <v>1668712.52</v>
          </cell>
          <cell r="AD175">
            <v>1535452.46</v>
          </cell>
          <cell r="AE175">
            <v>1598028.25</v>
          </cell>
          <cell r="AF175">
            <v>1545247.46</v>
          </cell>
          <cell r="AG175">
            <v>1376495.72</v>
          </cell>
          <cell r="AH175">
            <v>1567808.54</v>
          </cell>
          <cell r="AJ175">
            <v>1890613.58</v>
          </cell>
        </row>
        <row r="176">
          <cell r="J176">
            <v>785732.02</v>
          </cell>
          <cell r="K176">
            <v>700288.34</v>
          </cell>
          <cell r="L176">
            <v>731624.14</v>
          </cell>
          <cell r="M176">
            <v>679867.64</v>
          </cell>
          <cell r="N176">
            <v>767529.05</v>
          </cell>
          <cell r="O176">
            <v>666617.06999999995</v>
          </cell>
          <cell r="P176">
            <v>700227.12</v>
          </cell>
          <cell r="Q176">
            <v>688583.81</v>
          </cell>
          <cell r="R176">
            <v>684460.63</v>
          </cell>
          <cell r="S176">
            <v>691643.23</v>
          </cell>
          <cell r="T176">
            <v>646054.80000000005</v>
          </cell>
          <cell r="U176">
            <v>676183.91</v>
          </cell>
          <cell r="V176">
            <v>626962.64</v>
          </cell>
          <cell r="W176">
            <v>596565.19999999995</v>
          </cell>
          <cell r="X176">
            <v>616647.31000000006</v>
          </cell>
          <cell r="Y176">
            <v>622329.35</v>
          </cell>
          <cell r="Z176">
            <v>623998.5</v>
          </cell>
          <cell r="AA176">
            <v>574199</v>
          </cell>
          <cell r="AB176">
            <v>661971.44999999995</v>
          </cell>
          <cell r="AC176">
            <v>634135.22</v>
          </cell>
          <cell r="AD176">
            <v>616382.74</v>
          </cell>
          <cell r="AE176">
            <v>601275.56999999995</v>
          </cell>
          <cell r="AF176">
            <v>586879.85</v>
          </cell>
          <cell r="AG176">
            <v>602050.65</v>
          </cell>
          <cell r="AH176">
            <v>620077.15</v>
          </cell>
          <cell r="AJ176">
            <v>700288.34</v>
          </cell>
        </row>
        <row r="177">
          <cell r="J177">
            <v>5351810.3400000008</v>
          </cell>
          <cell r="K177">
            <v>5005684.34</v>
          </cell>
          <cell r="L177">
            <v>4739050.3099999996</v>
          </cell>
          <cell r="M177">
            <v>4682393.9400000004</v>
          </cell>
          <cell r="N177">
            <v>5067668.2699999996</v>
          </cell>
          <cell r="O177">
            <v>5081379.78</v>
          </cell>
          <cell r="P177">
            <v>4626654.09</v>
          </cell>
          <cell r="Q177">
            <v>4400441.75</v>
          </cell>
          <cell r="R177">
            <v>5138748.3499999996</v>
          </cell>
          <cell r="S177">
            <v>6130773.0999999996</v>
          </cell>
          <cell r="T177">
            <v>5422370.7400000002</v>
          </cell>
          <cell r="U177">
            <v>5367021.6900000004</v>
          </cell>
          <cell r="V177">
            <v>4682974.9800000004</v>
          </cell>
          <cell r="W177">
            <v>4337773.04</v>
          </cell>
          <cell r="X177">
            <v>4265424.37</v>
          </cell>
          <cell r="Y177">
            <v>4309387.51</v>
          </cell>
          <cell r="Z177">
            <v>4301710.01</v>
          </cell>
          <cell r="AA177">
            <v>4283912.8499999996</v>
          </cell>
          <cell r="AB177">
            <v>4413717.1500000004</v>
          </cell>
          <cell r="AC177">
            <v>4084823.94</v>
          </cell>
          <cell r="AD177">
            <v>4515562.75</v>
          </cell>
          <cell r="AE177">
            <v>5329209.13</v>
          </cell>
          <cell r="AF177">
            <v>5000303.78</v>
          </cell>
          <cell r="AG177">
            <v>4825054.1399999997</v>
          </cell>
          <cell r="AH177">
            <v>4512716.7699999996</v>
          </cell>
          <cell r="AJ177">
            <v>5005684.34</v>
          </cell>
        </row>
        <row r="178">
          <cell r="J178">
            <v>319905.90999999997</v>
          </cell>
          <cell r="K178">
            <v>291394.5</v>
          </cell>
          <cell r="L178">
            <v>293997.95</v>
          </cell>
          <cell r="M178">
            <v>291202.65999999997</v>
          </cell>
          <cell r="N178">
            <v>307132.87</v>
          </cell>
          <cell r="O178">
            <v>314534.89</v>
          </cell>
          <cell r="P178">
            <v>301376.31</v>
          </cell>
          <cell r="Q178">
            <v>281826.96000000002</v>
          </cell>
          <cell r="R178">
            <v>304568.14</v>
          </cell>
          <cell r="S178">
            <v>328918.71999999997</v>
          </cell>
          <cell r="T178">
            <v>301436.79999999999</v>
          </cell>
          <cell r="U178">
            <v>321792.81</v>
          </cell>
          <cell r="V178">
            <v>277970.03999999998</v>
          </cell>
          <cell r="W178">
            <v>267866.18</v>
          </cell>
          <cell r="X178">
            <v>276904.12</v>
          </cell>
          <cell r="Y178">
            <v>280466.42</v>
          </cell>
          <cell r="Z178">
            <v>289915.34000000003</v>
          </cell>
          <cell r="AA178">
            <v>302968.21999999997</v>
          </cell>
          <cell r="AB178">
            <v>292944.61</v>
          </cell>
          <cell r="AC178">
            <v>270510</v>
          </cell>
          <cell r="AD178">
            <v>276777.48</v>
          </cell>
          <cell r="AE178">
            <v>292722.59999999998</v>
          </cell>
          <cell r="AF178">
            <v>280603.92</v>
          </cell>
          <cell r="AG178">
            <v>306740.3</v>
          </cell>
          <cell r="AH178">
            <v>277600.13</v>
          </cell>
          <cell r="AJ178">
            <v>291394.5</v>
          </cell>
        </row>
        <row r="179">
          <cell r="J179">
            <v>6905422.75</v>
          </cell>
          <cell r="K179">
            <v>5950548.6600000001</v>
          </cell>
          <cell r="L179">
            <v>5045984.87</v>
          </cell>
          <cell r="M179">
            <v>5222517.6900000004</v>
          </cell>
          <cell r="N179">
            <v>5558027.7599999998</v>
          </cell>
          <cell r="O179">
            <v>5846160.8400000008</v>
          </cell>
          <cell r="P179">
            <v>5287845.87</v>
          </cell>
          <cell r="Q179">
            <v>4736324.04</v>
          </cell>
          <cell r="R179">
            <v>5660471.4199999999</v>
          </cell>
          <cell r="S179">
            <v>6016975.9400000004</v>
          </cell>
          <cell r="T179">
            <v>7176112.8799999999</v>
          </cell>
          <cell r="U179">
            <v>7186713.8499999996</v>
          </cell>
          <cell r="V179">
            <v>6328445.3600000003</v>
          </cell>
          <cell r="W179">
            <v>5763876.7400000002</v>
          </cell>
          <cell r="X179">
            <v>4784124.8499999996</v>
          </cell>
          <cell r="Y179">
            <v>5222912.53</v>
          </cell>
          <cell r="Z179">
            <v>4901201.96</v>
          </cell>
          <cell r="AA179">
            <v>5628014.4199999999</v>
          </cell>
          <cell r="AB179">
            <v>5161907.57</v>
          </cell>
          <cell r="AC179">
            <v>4605360.55</v>
          </cell>
          <cell r="AD179">
            <v>5221239.04</v>
          </cell>
          <cell r="AE179">
            <v>5429329.6200000001</v>
          </cell>
          <cell r="AF179">
            <v>6697026.5800000001</v>
          </cell>
          <cell r="AG179">
            <v>6825939.6199999992</v>
          </cell>
          <cell r="AH179">
            <v>6042471.0300000003</v>
          </cell>
          <cell r="AJ179">
            <v>5950548.6600000001</v>
          </cell>
        </row>
        <row r="180">
          <cell r="J180">
            <v>1661976.46</v>
          </cell>
          <cell r="K180">
            <v>1082037.52</v>
          </cell>
          <cell r="L180">
            <v>867376.37</v>
          </cell>
          <cell r="M180">
            <v>3886078.71</v>
          </cell>
          <cell r="N180">
            <v>1137548.54</v>
          </cell>
          <cell r="O180">
            <v>3190285.6</v>
          </cell>
          <cell r="P180">
            <v>1207531.8700000001</v>
          </cell>
          <cell r="Q180">
            <v>854895.19</v>
          </cell>
          <cell r="R180">
            <v>2845605.73</v>
          </cell>
          <cell r="S180">
            <v>3172485.57</v>
          </cell>
          <cell r="T180">
            <v>2859405.5</v>
          </cell>
          <cell r="U180">
            <v>2459611.37</v>
          </cell>
          <cell r="V180">
            <v>2900618.45</v>
          </cell>
          <cell r="W180">
            <v>2426461.02</v>
          </cell>
          <cell r="X180">
            <v>195473.68</v>
          </cell>
          <cell r="Y180">
            <v>404761.65</v>
          </cell>
          <cell r="Z180">
            <v>332229.84999999998</v>
          </cell>
          <cell r="AA180">
            <v>1414278.93</v>
          </cell>
          <cell r="AB180">
            <v>6571678.71</v>
          </cell>
          <cell r="AC180">
            <v>5666536.9000000004</v>
          </cell>
          <cell r="AD180">
            <v>4186291</v>
          </cell>
          <cell r="AE180">
            <v>4915142.8499999996</v>
          </cell>
          <cell r="AF180">
            <v>4740956.63</v>
          </cell>
          <cell r="AG180">
            <v>5335694.2300000004</v>
          </cell>
          <cell r="AH180">
            <v>7478989.1500000004</v>
          </cell>
          <cell r="AJ180">
            <v>1082037.52</v>
          </cell>
        </row>
        <row r="181">
          <cell r="J181">
            <v>3277772.5</v>
          </cell>
          <cell r="K181">
            <v>3347838.7</v>
          </cell>
          <cell r="L181">
            <v>4597812.2</v>
          </cell>
          <cell r="M181">
            <v>6689749.7999999998</v>
          </cell>
          <cell r="N181">
            <v>6429160.2000000002</v>
          </cell>
          <cell r="O181">
            <v>7353810.5999999996</v>
          </cell>
          <cell r="P181">
            <v>4787488.5999999996</v>
          </cell>
          <cell r="Q181">
            <v>3523788.3</v>
          </cell>
          <cell r="R181">
            <v>3657755.8</v>
          </cell>
          <cell r="S181">
            <v>2485773.9</v>
          </cell>
          <cell r="T181">
            <v>1531847.5</v>
          </cell>
          <cell r="U181">
            <v>1760673.4</v>
          </cell>
          <cell r="V181">
            <v>1957478.7</v>
          </cell>
          <cell r="W181">
            <v>3320781.5</v>
          </cell>
          <cell r="X181">
            <v>987715.1</v>
          </cell>
          <cell r="Y181">
            <v>1851247</v>
          </cell>
          <cell r="Z181">
            <v>3216087.5</v>
          </cell>
          <cell r="AA181">
            <v>4784593</v>
          </cell>
          <cell r="AB181">
            <v>4288304.3</v>
          </cell>
          <cell r="AC181">
            <v>3092725.7</v>
          </cell>
          <cell r="AD181">
            <v>1908267.8</v>
          </cell>
          <cell r="AE181">
            <v>3157592.5</v>
          </cell>
          <cell r="AF181">
            <v>2629318.9</v>
          </cell>
          <cell r="AG181">
            <v>2995602.7</v>
          </cell>
          <cell r="AH181">
            <v>3570020.5</v>
          </cell>
          <cell r="AJ181">
            <v>3347838.7</v>
          </cell>
        </row>
        <row r="183">
          <cell r="J183">
            <v>748621.41</v>
          </cell>
          <cell r="K183">
            <v>872082.93</v>
          </cell>
          <cell r="L183">
            <v>715061.83</v>
          </cell>
          <cell r="M183">
            <v>824286.75</v>
          </cell>
          <cell r="N183">
            <v>736657.18</v>
          </cell>
          <cell r="O183">
            <v>799104.67</v>
          </cell>
          <cell r="P183">
            <v>13592.96</v>
          </cell>
          <cell r="Q183">
            <v>24186.560000000001</v>
          </cell>
          <cell r="R183">
            <v>24196.36</v>
          </cell>
          <cell r="S183">
            <v>29893.86</v>
          </cell>
          <cell r="T183">
            <v>-1255.3399999999999</v>
          </cell>
          <cell r="U183">
            <v>21224.18</v>
          </cell>
          <cell r="V183">
            <v>19703.32</v>
          </cell>
          <cell r="W183">
            <v>99989.42</v>
          </cell>
          <cell r="X183">
            <v>42389.06</v>
          </cell>
          <cell r="Y183">
            <v>24938.15</v>
          </cell>
          <cell r="Z183">
            <v>27220.78</v>
          </cell>
          <cell r="AA183">
            <v>35535.629999999997</v>
          </cell>
          <cell r="AB183">
            <v>1154586.79</v>
          </cell>
          <cell r="AC183">
            <v>954915.48</v>
          </cell>
          <cell r="AD183">
            <v>755405.71</v>
          </cell>
          <cell r="AE183">
            <v>1100029.57</v>
          </cell>
          <cell r="AF183">
            <v>1055087.44</v>
          </cell>
          <cell r="AG183">
            <v>1047373.96</v>
          </cell>
          <cell r="AH183">
            <v>1250298.4099999999</v>
          </cell>
          <cell r="AJ183">
            <v>872082.93</v>
          </cell>
        </row>
        <row r="184">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270000</v>
          </cell>
          <cell r="AC184">
            <v>270000</v>
          </cell>
          <cell r="AD184">
            <v>270000</v>
          </cell>
          <cell r="AE184">
            <v>270000</v>
          </cell>
          <cell r="AF184">
            <v>270000</v>
          </cell>
          <cell r="AG184">
            <v>270000</v>
          </cell>
          <cell r="AH184">
            <v>270000</v>
          </cell>
          <cell r="AJ184">
            <v>0</v>
          </cell>
        </row>
        <row r="186">
          <cell r="J186">
            <v>453639.21</v>
          </cell>
          <cell r="K186">
            <v>477137.5</v>
          </cell>
          <cell r="L186">
            <v>475663.03</v>
          </cell>
          <cell r="M186">
            <v>456540.07</v>
          </cell>
          <cell r="N186">
            <v>414321.11</v>
          </cell>
          <cell r="O186">
            <v>412852.3</v>
          </cell>
          <cell r="P186">
            <v>854671.23</v>
          </cell>
          <cell r="Q186">
            <v>1145881.78</v>
          </cell>
          <cell r="R186">
            <v>1044729.23</v>
          </cell>
          <cell r="S186">
            <v>1065261.1399999999</v>
          </cell>
          <cell r="T186">
            <v>628268.77</v>
          </cell>
          <cell r="U186">
            <v>867696.66</v>
          </cell>
          <cell r="V186">
            <v>1043053.26</v>
          </cell>
          <cell r="W186">
            <v>1260887.94</v>
          </cell>
          <cell r="X186">
            <v>870781.29</v>
          </cell>
          <cell r="Y186">
            <v>906320.94</v>
          </cell>
          <cell r="Z186">
            <v>912298.68</v>
          </cell>
          <cell r="AA186">
            <v>1089143.24</v>
          </cell>
          <cell r="AB186">
            <v>1125351.72</v>
          </cell>
          <cell r="AC186">
            <v>474933.24</v>
          </cell>
          <cell r="AD186">
            <v>478133.13</v>
          </cell>
          <cell r="AE186">
            <v>647241.44999999995</v>
          </cell>
          <cell r="AF186">
            <v>470144.78</v>
          </cell>
          <cell r="AG186">
            <v>475520.68</v>
          </cell>
          <cell r="AH186">
            <v>517686.11</v>
          </cell>
          <cell r="AJ186">
            <v>477137.5</v>
          </cell>
        </row>
        <row r="188">
          <cell r="J188">
            <v>24429864.309999999</v>
          </cell>
          <cell r="K188">
            <v>15769750.630000001</v>
          </cell>
          <cell r="L188">
            <v>-27183889.789999999</v>
          </cell>
          <cell r="M188">
            <v>681211.69</v>
          </cell>
          <cell r="N188">
            <v>-41548252.659999996</v>
          </cell>
          <cell r="O188">
            <v>-27839281.280000001</v>
          </cell>
          <cell r="P188">
            <v>39845051.590000004</v>
          </cell>
          <cell r="Q188">
            <v>25240248.879999999</v>
          </cell>
          <cell r="R188">
            <v>-13831776.050000001</v>
          </cell>
          <cell r="S188">
            <v>-58319134.539999999</v>
          </cell>
          <cell r="T188">
            <v>10308580.33</v>
          </cell>
          <cell r="U188">
            <v>31708881.780000001</v>
          </cell>
          <cell r="V188">
            <v>26350872.690000001</v>
          </cell>
          <cell r="W188">
            <v>5471390.2199999997</v>
          </cell>
          <cell r="X188">
            <v>-31387758.390000001</v>
          </cell>
          <cell r="Y188">
            <v>-21310240.52</v>
          </cell>
          <cell r="Z188">
            <v>-28586129.039999999</v>
          </cell>
          <cell r="AA188">
            <v>23148594.09</v>
          </cell>
          <cell r="AB188">
            <v>39649177.020000003</v>
          </cell>
          <cell r="AC188">
            <v>9036219.3599999994</v>
          </cell>
          <cell r="AD188">
            <v>-8854679.5500000007</v>
          </cell>
          <cell r="AE188">
            <v>-53693682.810000002</v>
          </cell>
          <cell r="AF188">
            <v>2415502.75</v>
          </cell>
          <cell r="AG188">
            <v>42060567.869999997</v>
          </cell>
          <cell r="AH188">
            <v>26864344.129999999</v>
          </cell>
          <cell r="AJ188">
            <v>15769750.630000001</v>
          </cell>
        </row>
        <row r="189">
          <cell r="J189">
            <v>0</v>
          </cell>
          <cell r="K189">
            <v>0</v>
          </cell>
          <cell r="L189">
            <v>0</v>
          </cell>
          <cell r="M189">
            <v>0</v>
          </cell>
          <cell r="N189">
            <v>0</v>
          </cell>
          <cell r="O189">
            <v>0</v>
          </cell>
          <cell r="P189">
            <v>25370112.129999999</v>
          </cell>
          <cell r="Q189">
            <v>22425720.02</v>
          </cell>
          <cell r="R189">
            <v>-1901697.62</v>
          </cell>
          <cell r="S189">
            <v>-24327042.559999999</v>
          </cell>
          <cell r="T189">
            <v>3386719.38</v>
          </cell>
          <cell r="U189">
            <v>10459687.09</v>
          </cell>
          <cell r="V189">
            <v>8902622.0700000003</v>
          </cell>
          <cell r="W189">
            <v>-5525334.3899999997</v>
          </cell>
          <cell r="X189">
            <v>-21512829.699999999</v>
          </cell>
          <cell r="Y189">
            <v>-13078017.43</v>
          </cell>
          <cell r="Z189">
            <v>-17800181.18</v>
          </cell>
          <cell r="AA189">
            <v>18373849.039999999</v>
          </cell>
          <cell r="AB189">
            <v>23708602.449999999</v>
          </cell>
          <cell r="AC189">
            <v>14554869.77</v>
          </cell>
          <cell r="AD189">
            <v>2851763.98</v>
          </cell>
          <cell r="AE189">
            <v>-21816016.879999999</v>
          </cell>
          <cell r="AF189">
            <v>-70472.44</v>
          </cell>
          <cell r="AG189">
            <v>14813302.380000001</v>
          </cell>
          <cell r="AH189">
            <v>8973207.1799999997</v>
          </cell>
          <cell r="AJ189">
            <v>0</v>
          </cell>
        </row>
        <row r="190">
          <cell r="J190">
            <v>0</v>
          </cell>
          <cell r="K190">
            <v>0</v>
          </cell>
          <cell r="L190">
            <v>0</v>
          </cell>
          <cell r="M190">
            <v>0</v>
          </cell>
          <cell r="N190">
            <v>0</v>
          </cell>
          <cell r="O190">
            <v>0</v>
          </cell>
          <cell r="P190">
            <v>2265084.11</v>
          </cell>
          <cell r="Q190">
            <v>2321938.04</v>
          </cell>
          <cell r="R190">
            <v>2260512.54</v>
          </cell>
          <cell r="S190">
            <v>-5659357.2800000003</v>
          </cell>
          <cell r="T190">
            <v>1878070.35</v>
          </cell>
          <cell r="U190">
            <v>466811.97</v>
          </cell>
          <cell r="V190">
            <v>1911469.49</v>
          </cell>
          <cell r="W190">
            <v>2487027.36</v>
          </cell>
          <cell r="X190">
            <v>-2765637.72</v>
          </cell>
          <cell r="Y190">
            <v>-1677887.12</v>
          </cell>
          <cell r="Z190">
            <v>-2344906.66</v>
          </cell>
          <cell r="AA190">
            <v>356926.63</v>
          </cell>
          <cell r="AB190">
            <v>359411.49</v>
          </cell>
          <cell r="AC190">
            <v>1663641.54</v>
          </cell>
          <cell r="AD190">
            <v>2264839.62</v>
          </cell>
          <cell r="AE190">
            <v>-3536895.96</v>
          </cell>
          <cell r="AF190">
            <v>-210739.93</v>
          </cell>
          <cell r="AG190">
            <v>2062365.07</v>
          </cell>
          <cell r="AH190">
            <v>2597851.81</v>
          </cell>
          <cell r="AJ190">
            <v>0</v>
          </cell>
        </row>
        <row r="191">
          <cell r="J191">
            <v>21691143.609999999</v>
          </cell>
          <cell r="K191">
            <v>14656861.91</v>
          </cell>
          <cell r="L191">
            <v>-19323074.039999999</v>
          </cell>
          <cell r="M191">
            <v>446286.01</v>
          </cell>
          <cell r="N191">
            <v>-25319764.579999998</v>
          </cell>
          <cell r="O191">
            <v>-15220044.75</v>
          </cell>
          <cell r="P191">
            <v>5376022.9800000004</v>
          </cell>
          <cell r="Q191">
            <v>6988512.0499999998</v>
          </cell>
          <cell r="R191">
            <v>14433358.51</v>
          </cell>
          <cell r="S191">
            <v>-40033182.090000004</v>
          </cell>
          <cell r="T191">
            <v>7351643.4800000004</v>
          </cell>
          <cell r="U191">
            <v>6810777.4500000002</v>
          </cell>
          <cell r="V191">
            <v>13040518.33</v>
          </cell>
          <cell r="W191">
            <v>31164198.629999999</v>
          </cell>
          <cell r="X191">
            <v>-10369257.93</v>
          </cell>
          <cell r="Y191">
            <v>-6550865.7999999998</v>
          </cell>
          <cell r="Z191">
            <v>-9769723.3200000003</v>
          </cell>
          <cell r="AA191">
            <v>-9254329.4100000001</v>
          </cell>
          <cell r="AB191">
            <v>-3879188.9</v>
          </cell>
          <cell r="AC191">
            <v>4027909.37</v>
          </cell>
          <cell r="AD191">
            <v>15352320.039999999</v>
          </cell>
          <cell r="AE191">
            <v>-27527205.829999998</v>
          </cell>
          <cell r="AF191">
            <v>-6640905.3600000003</v>
          </cell>
          <cell r="AG191">
            <v>13316602.99</v>
          </cell>
          <cell r="AH191">
            <v>22106059.440000001</v>
          </cell>
          <cell r="AJ191">
            <v>14656861.91</v>
          </cell>
        </row>
        <row r="192">
          <cell r="J192">
            <v>26308966.780000001</v>
          </cell>
          <cell r="K192">
            <v>19807534.170000002</v>
          </cell>
          <cell r="L192">
            <v>-25343209.850000001</v>
          </cell>
          <cell r="M192">
            <v>572179.29</v>
          </cell>
          <cell r="N192">
            <v>-30713604.629999999</v>
          </cell>
          <cell r="O192">
            <v>-16700633.07</v>
          </cell>
          <cell r="P192">
            <v>-14007908.51</v>
          </cell>
          <cell r="Q192">
            <v>32091873.859999999</v>
          </cell>
          <cell r="R192">
            <v>39683356.219999999</v>
          </cell>
          <cell r="S192">
            <v>-42236452.18</v>
          </cell>
          <cell r="T192">
            <v>16016819.08</v>
          </cell>
          <cell r="U192">
            <v>-18076838.359999999</v>
          </cell>
          <cell r="V192">
            <v>-3565749.24</v>
          </cell>
          <cell r="W192">
            <v>50892851.600000001</v>
          </cell>
          <cell r="X192">
            <v>-7721026.54</v>
          </cell>
          <cell r="Y192">
            <v>-1671722.45</v>
          </cell>
          <cell r="Z192">
            <v>5390085.0099999998</v>
          </cell>
          <cell r="AA192">
            <v>-36343412.07</v>
          </cell>
          <cell r="AB192">
            <v>-23587998.52</v>
          </cell>
          <cell r="AC192">
            <v>9141191.8499999996</v>
          </cell>
          <cell r="AD192">
            <v>41481693.119999997</v>
          </cell>
          <cell r="AE192">
            <v>-20602494.579999998</v>
          </cell>
          <cell r="AF192">
            <v>-1720755.46</v>
          </cell>
          <cell r="AG192">
            <v>-9071355.2300000004</v>
          </cell>
          <cell r="AH192">
            <v>6996556.2599999998</v>
          </cell>
          <cell r="AJ192">
            <v>19807534.170000002</v>
          </cell>
        </row>
        <row r="193">
          <cell r="J193">
            <v>2789990.36</v>
          </cell>
          <cell r="K193">
            <v>2137497.9300000002</v>
          </cell>
          <cell r="L193">
            <v>-3124246.61</v>
          </cell>
          <cell r="M193">
            <v>74096.19</v>
          </cell>
          <cell r="N193">
            <v>-3989139.4</v>
          </cell>
          <cell r="O193">
            <v>-2280661.52</v>
          </cell>
          <cell r="P193">
            <v>-1349069.83</v>
          </cell>
          <cell r="Q193">
            <v>6212280.9299999997</v>
          </cell>
          <cell r="R193">
            <v>5392621.4800000004</v>
          </cell>
          <cell r="S193">
            <v>-5147449.93</v>
          </cell>
          <cell r="T193">
            <v>3772113.66</v>
          </cell>
          <cell r="U193">
            <v>-4591851.71</v>
          </cell>
          <cell r="V193">
            <v>-137950.15</v>
          </cell>
          <cell r="W193">
            <v>2588681.23</v>
          </cell>
          <cell r="X193">
            <v>-3027353</v>
          </cell>
          <cell r="Y193">
            <v>-70657.63</v>
          </cell>
          <cell r="Z193">
            <v>-1106255.02</v>
          </cell>
          <cell r="AA193">
            <v>-1963895.73</v>
          </cell>
          <cell r="AB193">
            <v>-2886445.95</v>
          </cell>
          <cell r="AC193">
            <v>4451734.8499999996</v>
          </cell>
          <cell r="AD193">
            <v>5650611.6699999999</v>
          </cell>
          <cell r="AE193">
            <v>-2307907.73</v>
          </cell>
          <cell r="AF193">
            <v>2146453</v>
          </cell>
          <cell r="AG193">
            <v>-4403820.37</v>
          </cell>
          <cell r="AH193">
            <v>1620944.23</v>
          </cell>
          <cell r="AJ193">
            <v>2137497.9300000002</v>
          </cell>
        </row>
        <row r="194">
          <cell r="J194">
            <v>248412.55</v>
          </cell>
          <cell r="K194">
            <v>189422.67</v>
          </cell>
          <cell r="L194">
            <v>-279087.21000000002</v>
          </cell>
          <cell r="M194">
            <v>6956.37</v>
          </cell>
          <cell r="N194">
            <v>-372626.91</v>
          </cell>
          <cell r="O194">
            <v>-235061.79</v>
          </cell>
          <cell r="P194">
            <v>79712.179999999993</v>
          </cell>
          <cell r="Q194">
            <v>575559.37</v>
          </cell>
          <cell r="R194">
            <v>801618.95</v>
          </cell>
          <cell r="S194">
            <v>-338770.27</v>
          </cell>
          <cell r="T194">
            <v>188062.88</v>
          </cell>
          <cell r="U194">
            <v>-55517.38</v>
          </cell>
          <cell r="V194">
            <v>-103787.87</v>
          </cell>
          <cell r="W194">
            <v>244079.98</v>
          </cell>
          <cell r="X194">
            <v>-412920.57</v>
          </cell>
          <cell r="Y194">
            <v>-10257.07</v>
          </cell>
          <cell r="Z194">
            <v>-208453.74</v>
          </cell>
          <cell r="AA194">
            <v>-572618.80000000005</v>
          </cell>
          <cell r="AB194">
            <v>-10.119999999999999</v>
          </cell>
          <cell r="AC194">
            <v>551599.4</v>
          </cell>
          <cell r="AD194">
            <v>1078423.05</v>
          </cell>
          <cell r="AE194">
            <v>-120065.65</v>
          </cell>
          <cell r="AF194">
            <v>-2646.82</v>
          </cell>
          <cell r="AG194">
            <v>-11558.74</v>
          </cell>
          <cell r="AH194">
            <v>49513.3</v>
          </cell>
          <cell r="AJ194">
            <v>189422.67</v>
          </cell>
        </row>
        <row r="195">
          <cell r="J195">
            <v>7313270.0300000003</v>
          </cell>
          <cell r="K195">
            <v>5125733.18</v>
          </cell>
          <cell r="L195">
            <v>-6591502.2999999998</v>
          </cell>
          <cell r="M195">
            <v>149063.29</v>
          </cell>
          <cell r="N195">
            <v>-8514374.3599999994</v>
          </cell>
          <cell r="O195">
            <v>-4841305.04</v>
          </cell>
          <cell r="P195">
            <v>1743352.51</v>
          </cell>
          <cell r="Q195">
            <v>1223805.23</v>
          </cell>
          <cell r="R195">
            <v>3474837.84</v>
          </cell>
          <cell r="S195">
            <v>-10652855.119999999</v>
          </cell>
          <cell r="T195">
            <v>3234052.03</v>
          </cell>
          <cell r="U195">
            <v>1179256.03</v>
          </cell>
          <cell r="V195">
            <v>4019070.98</v>
          </cell>
          <cell r="W195">
            <v>12162543.34</v>
          </cell>
          <cell r="X195">
            <v>-4744615.83</v>
          </cell>
          <cell r="Y195">
            <v>-1904723.66</v>
          </cell>
          <cell r="Z195">
            <v>-897164.34</v>
          </cell>
          <cell r="AA195">
            <v>-5384893.1799999997</v>
          </cell>
          <cell r="AB195">
            <v>-497555.38</v>
          </cell>
          <cell r="AC195">
            <v>-1710542.96</v>
          </cell>
          <cell r="AD195">
            <v>3791041.45</v>
          </cell>
          <cell r="AE195">
            <v>-3648049.9</v>
          </cell>
          <cell r="AF195">
            <v>-2644271.87</v>
          </cell>
          <cell r="AG195">
            <v>5023925.5</v>
          </cell>
          <cell r="AH195">
            <v>4448307.07</v>
          </cell>
          <cell r="AJ195">
            <v>5125733.18</v>
          </cell>
        </row>
        <row r="196">
          <cell r="J196">
            <v>427108.7</v>
          </cell>
          <cell r="K196">
            <v>292554.76</v>
          </cell>
          <cell r="L196">
            <v>-414199.01</v>
          </cell>
          <cell r="M196">
            <v>9355.91</v>
          </cell>
          <cell r="N196">
            <v>-530477.38</v>
          </cell>
          <cell r="O196">
            <v>-316043.81</v>
          </cell>
          <cell r="P196">
            <v>146570.35</v>
          </cell>
          <cell r="Q196">
            <v>337541.55</v>
          </cell>
          <cell r="R196">
            <v>547061.82999999996</v>
          </cell>
          <cell r="S196">
            <v>-710504.84</v>
          </cell>
          <cell r="T196">
            <v>-13994.08</v>
          </cell>
          <cell r="U196">
            <v>21945.200000000001</v>
          </cell>
          <cell r="V196">
            <v>121170.72</v>
          </cell>
          <cell r="W196">
            <v>542701.79</v>
          </cell>
          <cell r="X196">
            <v>-251529.3</v>
          </cell>
          <cell r="Y196">
            <v>-200792</v>
          </cell>
          <cell r="Z196">
            <v>-240013.75</v>
          </cell>
          <cell r="AA196">
            <v>-83313.89</v>
          </cell>
          <cell r="AB196">
            <v>-77019.83</v>
          </cell>
          <cell r="AC196">
            <v>261781.29</v>
          </cell>
          <cell r="AD196">
            <v>715300.78</v>
          </cell>
          <cell r="AE196">
            <v>-339935.59</v>
          </cell>
          <cell r="AF196">
            <v>-589454.29</v>
          </cell>
          <cell r="AG196">
            <v>370781.64</v>
          </cell>
          <cell r="AH196">
            <v>251268.37</v>
          </cell>
          <cell r="AJ196">
            <v>292554.76</v>
          </cell>
        </row>
        <row r="197">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J197">
            <v>0</v>
          </cell>
        </row>
        <row r="198">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J198">
            <v>0</v>
          </cell>
        </row>
        <row r="199">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J199">
            <v>0</v>
          </cell>
        </row>
        <row r="201">
          <cell r="J201">
            <v>992468.09</v>
          </cell>
          <cell r="K201">
            <v>1022709.1</v>
          </cell>
          <cell r="L201">
            <v>-1212003.95</v>
          </cell>
          <cell r="M201">
            <v>137325.04999999999</v>
          </cell>
          <cell r="N201">
            <v>-1812528.29</v>
          </cell>
          <cell r="O201">
            <v>-1554994.63</v>
          </cell>
          <cell r="P201">
            <v>1723346.89</v>
          </cell>
          <cell r="Q201">
            <v>754015.53</v>
          </cell>
          <cell r="R201">
            <v>-928894.46</v>
          </cell>
          <cell r="S201">
            <v>-2543848.0099999998</v>
          </cell>
          <cell r="T201">
            <v>764937.53</v>
          </cell>
          <cell r="U201">
            <v>1514690.08</v>
          </cell>
          <cell r="V201">
            <v>1037148.22</v>
          </cell>
          <cell r="W201">
            <v>83155.94</v>
          </cell>
          <cell r="X201">
            <v>-1376122.94</v>
          </cell>
          <cell r="Y201">
            <v>-782641.22</v>
          </cell>
          <cell r="Z201">
            <v>-1003989.59</v>
          </cell>
          <cell r="AA201">
            <v>1198252.6200000001</v>
          </cell>
          <cell r="AB201">
            <v>1446010.68</v>
          </cell>
          <cell r="AC201">
            <v>87144.54</v>
          </cell>
          <cell r="AD201">
            <v>-515840.76</v>
          </cell>
          <cell r="AE201">
            <v>-2179717.8199999998</v>
          </cell>
          <cell r="AF201">
            <v>294116.05</v>
          </cell>
          <cell r="AG201">
            <v>1882516.34</v>
          </cell>
          <cell r="AH201">
            <v>1028492.19</v>
          </cell>
          <cell r="AJ201">
            <v>1022709.1</v>
          </cell>
        </row>
        <row r="202">
          <cell r="J202">
            <v>0</v>
          </cell>
          <cell r="K202">
            <v>0</v>
          </cell>
          <cell r="L202">
            <v>0</v>
          </cell>
          <cell r="M202">
            <v>0</v>
          </cell>
          <cell r="N202">
            <v>0</v>
          </cell>
          <cell r="O202">
            <v>0</v>
          </cell>
          <cell r="P202">
            <v>1063981.6100000001</v>
          </cell>
          <cell r="Q202">
            <v>791291.83</v>
          </cell>
          <cell r="R202">
            <v>-256565.53</v>
          </cell>
          <cell r="S202">
            <v>-1083856.8</v>
          </cell>
          <cell r="T202">
            <v>270746.28000000003</v>
          </cell>
          <cell r="U202">
            <v>506946.71</v>
          </cell>
          <cell r="V202">
            <v>337449.23</v>
          </cell>
          <cell r="W202">
            <v>-327587.38</v>
          </cell>
          <cell r="X202">
            <v>-866603.45</v>
          </cell>
          <cell r="Y202">
            <v>-450184.05</v>
          </cell>
          <cell r="Z202">
            <v>-613311.56000000006</v>
          </cell>
          <cell r="AA202">
            <v>862817.11</v>
          </cell>
          <cell r="AB202">
            <v>866136.65</v>
          </cell>
          <cell r="AC202">
            <v>474306.73</v>
          </cell>
          <cell r="AD202">
            <v>40777.18</v>
          </cell>
          <cell r="AE202">
            <v>-904925.64</v>
          </cell>
          <cell r="AF202">
            <v>72779.399999999994</v>
          </cell>
          <cell r="AG202">
            <v>656177.67000000004</v>
          </cell>
          <cell r="AH202">
            <v>327562.02</v>
          </cell>
          <cell r="AJ202">
            <v>0</v>
          </cell>
        </row>
        <row r="203">
          <cell r="J203">
            <v>0</v>
          </cell>
          <cell r="K203">
            <v>0</v>
          </cell>
          <cell r="L203">
            <v>0</v>
          </cell>
          <cell r="M203">
            <v>0</v>
          </cell>
          <cell r="N203">
            <v>0</v>
          </cell>
          <cell r="O203">
            <v>0</v>
          </cell>
          <cell r="P203">
            <v>107821.7</v>
          </cell>
          <cell r="Q203">
            <v>68441.23</v>
          </cell>
          <cell r="R203">
            <v>88503.53</v>
          </cell>
          <cell r="S203">
            <v>-260849.29</v>
          </cell>
          <cell r="T203">
            <v>122807</v>
          </cell>
          <cell r="U203">
            <v>25476.92</v>
          </cell>
          <cell r="V203">
            <v>89288.29</v>
          </cell>
          <cell r="W203">
            <v>91381.47</v>
          </cell>
          <cell r="X203">
            <v>-142430.92000000001</v>
          </cell>
          <cell r="Y203">
            <v>-74785.58</v>
          </cell>
          <cell r="Z203">
            <v>-81443.490000000005</v>
          </cell>
          <cell r="AA203">
            <v>46423.72</v>
          </cell>
          <cell r="AB203">
            <v>-9567.75</v>
          </cell>
          <cell r="AC203">
            <v>49473.279999999999</v>
          </cell>
          <cell r="AD203">
            <v>107938.78</v>
          </cell>
          <cell r="AE203">
            <v>-139305.01999999999</v>
          </cell>
          <cell r="AF203">
            <v>4734.38</v>
          </cell>
          <cell r="AG203">
            <v>92656.21</v>
          </cell>
          <cell r="AH203">
            <v>111692.96</v>
          </cell>
          <cell r="AJ203">
            <v>0</v>
          </cell>
        </row>
        <row r="204">
          <cell r="J204">
            <v>613980.61</v>
          </cell>
          <cell r="K204">
            <v>574554.71</v>
          </cell>
          <cell r="L204">
            <v>-890714.5</v>
          </cell>
          <cell r="M204">
            <v>87375.91</v>
          </cell>
          <cell r="N204">
            <v>-886840.99</v>
          </cell>
          <cell r="O204">
            <v>-1930028.92</v>
          </cell>
          <cell r="P204">
            <v>191547.94</v>
          </cell>
          <cell r="Q204">
            <v>117100.4</v>
          </cell>
          <cell r="R204">
            <v>450966.04</v>
          </cell>
          <cell r="S204">
            <v>-1638970.03</v>
          </cell>
          <cell r="T204">
            <v>519020.85</v>
          </cell>
          <cell r="U204">
            <v>401453.31</v>
          </cell>
          <cell r="V204">
            <v>502577.33</v>
          </cell>
          <cell r="W204">
            <v>1172199.51</v>
          </cell>
          <cell r="X204">
            <v>-532453.07999999996</v>
          </cell>
          <cell r="Y204">
            <v>-286979.61</v>
          </cell>
          <cell r="Z204">
            <v>-267727.21999999997</v>
          </cell>
          <cell r="AA204">
            <v>-185914.96</v>
          </cell>
          <cell r="AB204">
            <v>-393616.14</v>
          </cell>
          <cell r="AC204">
            <v>87260.160000000003</v>
          </cell>
          <cell r="AD204">
            <v>642873.1</v>
          </cell>
          <cell r="AE204">
            <v>-1008668.57</v>
          </cell>
          <cell r="AF204">
            <v>-201343.21</v>
          </cell>
          <cell r="AG204">
            <v>619633.42000000004</v>
          </cell>
          <cell r="AH204">
            <v>770862.21</v>
          </cell>
          <cell r="AJ204">
            <v>574554.71</v>
          </cell>
        </row>
        <row r="205">
          <cell r="J205">
            <v>755971.97</v>
          </cell>
          <cell r="K205">
            <v>522980.91</v>
          </cell>
          <cell r="L205">
            <v>-828162.43</v>
          </cell>
          <cell r="M205">
            <v>14716.44</v>
          </cell>
          <cell r="N205">
            <v>-1069814.01</v>
          </cell>
          <cell r="O205">
            <v>-843763.06</v>
          </cell>
          <cell r="P205">
            <v>-254584.35</v>
          </cell>
          <cell r="Q205">
            <v>851214.08</v>
          </cell>
          <cell r="R205">
            <v>997304.8</v>
          </cell>
          <cell r="S205">
            <v>-1440925.71</v>
          </cell>
          <cell r="T205">
            <v>832238.06</v>
          </cell>
          <cell r="U205">
            <v>-617176.86</v>
          </cell>
          <cell r="V205">
            <v>30349.32</v>
          </cell>
          <cell r="W205">
            <v>1506168.61</v>
          </cell>
          <cell r="X205">
            <v>-244638.87</v>
          </cell>
          <cell r="Y205">
            <v>-94362.28</v>
          </cell>
          <cell r="Z205">
            <v>429899.58</v>
          </cell>
          <cell r="AA205">
            <v>-1225430.3400000001</v>
          </cell>
          <cell r="AB205">
            <v>-779307.09</v>
          </cell>
          <cell r="AC205">
            <v>273801.53000000003</v>
          </cell>
          <cell r="AD205">
            <v>1313001.06</v>
          </cell>
          <cell r="AE205">
            <v>-688208.3</v>
          </cell>
          <cell r="AF205">
            <v>91413.42</v>
          </cell>
          <cell r="AG205">
            <v>-433782.33</v>
          </cell>
          <cell r="AH205">
            <v>204373.55</v>
          </cell>
          <cell r="AJ205">
            <v>522980.91</v>
          </cell>
        </row>
        <row r="206">
          <cell r="J206">
            <v>105129.15</v>
          </cell>
          <cell r="K206">
            <v>112505.42</v>
          </cell>
          <cell r="L206">
            <v>-105632.04</v>
          </cell>
          <cell r="M206">
            <v>-7348.84</v>
          </cell>
          <cell r="N206">
            <v>-139659.10999999999</v>
          </cell>
          <cell r="O206">
            <v>-138626.54</v>
          </cell>
          <cell r="P206">
            <v>-47201.919999999998</v>
          </cell>
          <cell r="Q206">
            <v>208757.26</v>
          </cell>
          <cell r="R206">
            <v>178004.49</v>
          </cell>
          <cell r="S206">
            <v>-241631.18</v>
          </cell>
          <cell r="T206">
            <v>192202.25</v>
          </cell>
          <cell r="U206">
            <v>-192895.15</v>
          </cell>
          <cell r="V206">
            <v>15812.65</v>
          </cell>
          <cell r="W206">
            <v>62417.85</v>
          </cell>
          <cell r="X206">
            <v>-77648.69</v>
          </cell>
          <cell r="Y206">
            <v>12919.44</v>
          </cell>
          <cell r="Z206">
            <v>-8133.49</v>
          </cell>
          <cell r="AA206">
            <v>-71669.070000000007</v>
          </cell>
          <cell r="AB206">
            <v>-142159.34</v>
          </cell>
          <cell r="AC206">
            <v>158858.92000000001</v>
          </cell>
          <cell r="AD206">
            <v>211217</v>
          </cell>
          <cell r="AE206">
            <v>-112005.11</v>
          </cell>
          <cell r="AF206">
            <v>100348.1</v>
          </cell>
          <cell r="AG206">
            <v>-184856.46</v>
          </cell>
          <cell r="AH206">
            <v>84815.99</v>
          </cell>
          <cell r="AJ206">
            <v>112505.42</v>
          </cell>
        </row>
        <row r="207">
          <cell r="J207">
            <v>78630.460000000006</v>
          </cell>
          <cell r="K207">
            <v>40307.46</v>
          </cell>
          <cell r="L207">
            <v>10783.58</v>
          </cell>
          <cell r="M207">
            <v>-35418.35</v>
          </cell>
          <cell r="N207">
            <v>35132.78</v>
          </cell>
          <cell r="O207">
            <v>-18660.150000000001</v>
          </cell>
          <cell r="P207">
            <v>12549.27</v>
          </cell>
          <cell r="Q207">
            <v>38896.559999999998</v>
          </cell>
          <cell r="R207">
            <v>77531.8</v>
          </cell>
          <cell r="S207">
            <v>-64201.53</v>
          </cell>
          <cell r="T207">
            <v>11983.72</v>
          </cell>
          <cell r="U207">
            <v>-23965.759999999998</v>
          </cell>
          <cell r="V207">
            <v>-37368.9</v>
          </cell>
          <cell r="W207">
            <v>52971.47</v>
          </cell>
          <cell r="X207">
            <v>-39489.68</v>
          </cell>
          <cell r="Y207">
            <v>29656.59</v>
          </cell>
          <cell r="Z207">
            <v>-26759.01</v>
          </cell>
          <cell r="AA207">
            <v>-11253.86</v>
          </cell>
          <cell r="AB207">
            <v>4386.79</v>
          </cell>
          <cell r="AC207">
            <v>30843.14</v>
          </cell>
          <cell r="AD207">
            <v>103358.76</v>
          </cell>
          <cell r="AE207">
            <v>-41886.22</v>
          </cell>
          <cell r="AF207">
            <v>-15078.6</v>
          </cell>
          <cell r="AG207">
            <v>-23664.54</v>
          </cell>
          <cell r="AH207">
            <v>-14056.8</v>
          </cell>
          <cell r="AJ207">
            <v>40307.46</v>
          </cell>
        </row>
        <row r="208">
          <cell r="J208">
            <v>186185</v>
          </cell>
          <cell r="K208">
            <v>179773.39</v>
          </cell>
          <cell r="L208">
            <v>-255510.21</v>
          </cell>
          <cell r="M208">
            <v>4333.92</v>
          </cell>
          <cell r="N208">
            <v>-319762.5</v>
          </cell>
          <cell r="O208">
            <v>-177120.08</v>
          </cell>
          <cell r="P208">
            <v>68308.27</v>
          </cell>
          <cell r="Q208">
            <v>-54934.07</v>
          </cell>
          <cell r="R208">
            <v>47481.02</v>
          </cell>
          <cell r="S208">
            <v>-333443.08</v>
          </cell>
          <cell r="T208">
            <v>174322.59</v>
          </cell>
          <cell r="U208">
            <v>128809.98</v>
          </cell>
          <cell r="V208">
            <v>96555.15</v>
          </cell>
          <cell r="W208">
            <v>405652.03</v>
          </cell>
          <cell r="X208">
            <v>-204920.85</v>
          </cell>
          <cell r="Y208">
            <v>-57650.31</v>
          </cell>
          <cell r="Z208">
            <v>37793.379999999997</v>
          </cell>
          <cell r="AA208">
            <v>-157325.85</v>
          </cell>
          <cell r="AB208">
            <v>-87179.79</v>
          </cell>
          <cell r="AC208">
            <v>-142849.16</v>
          </cell>
          <cell r="AD208">
            <v>144118.29999999999</v>
          </cell>
          <cell r="AE208">
            <v>-52464.959999999999</v>
          </cell>
          <cell r="AF208">
            <v>-105854.95</v>
          </cell>
          <cell r="AG208">
            <v>269136.28000000003</v>
          </cell>
          <cell r="AH208">
            <v>75199.48</v>
          </cell>
          <cell r="AJ208">
            <v>179773.39</v>
          </cell>
        </row>
        <row r="209">
          <cell r="J209">
            <v>10749.35</v>
          </cell>
          <cell r="K209">
            <v>13873.93</v>
          </cell>
          <cell r="L209">
            <v>-16268.66</v>
          </cell>
          <cell r="M209">
            <v>2611.92</v>
          </cell>
          <cell r="N209">
            <v>-15602.25</v>
          </cell>
          <cell r="O209">
            <v>-28057.34</v>
          </cell>
          <cell r="P209">
            <v>7178.74</v>
          </cell>
          <cell r="Q209">
            <v>8110.57</v>
          </cell>
          <cell r="R209">
            <v>17811.099999999999</v>
          </cell>
          <cell r="S209">
            <v>-26666.25</v>
          </cell>
          <cell r="T209">
            <v>3821.91</v>
          </cell>
          <cell r="U209">
            <v>3125.91</v>
          </cell>
          <cell r="V209">
            <v>4172.7700000000004</v>
          </cell>
          <cell r="W209">
            <v>16694.419999999998</v>
          </cell>
          <cell r="X209">
            <v>-9337.86</v>
          </cell>
          <cell r="Y209">
            <v>-9526.92</v>
          </cell>
          <cell r="Z209">
            <v>-6179.14</v>
          </cell>
          <cell r="AA209">
            <v>620.29</v>
          </cell>
          <cell r="AB209">
            <v>-5125.91</v>
          </cell>
          <cell r="AC209">
            <v>7421.94</v>
          </cell>
          <cell r="AD209">
            <v>27645.84</v>
          </cell>
          <cell r="AE209">
            <v>-10709.29</v>
          </cell>
          <cell r="AF209">
            <v>-20672.93</v>
          </cell>
          <cell r="AG209">
            <v>15323.38</v>
          </cell>
          <cell r="AH209">
            <v>6877.12</v>
          </cell>
          <cell r="AJ209">
            <v>13873.93</v>
          </cell>
        </row>
        <row r="210">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J210">
            <v>0</v>
          </cell>
        </row>
        <row r="211">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J211">
            <v>0</v>
          </cell>
        </row>
        <row r="212">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J212">
            <v>0</v>
          </cell>
        </row>
        <row r="214">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J214">
            <v>0</v>
          </cell>
        </row>
        <row r="215">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J215">
            <v>0</v>
          </cell>
        </row>
        <row r="216">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J216">
            <v>0</v>
          </cell>
        </row>
        <row r="217">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J217">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J218">
            <v>0</v>
          </cell>
        </row>
        <row r="219">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J219">
            <v>0</v>
          </cell>
        </row>
        <row r="220">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J220">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J221">
            <v>0</v>
          </cell>
        </row>
        <row r="222">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J222">
            <v>0</v>
          </cell>
        </row>
        <row r="224">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12598000</v>
          </cell>
          <cell r="AC224">
            <v>0</v>
          </cell>
          <cell r="AD224">
            <v>0</v>
          </cell>
          <cell r="AE224">
            <v>0</v>
          </cell>
          <cell r="AF224">
            <v>0</v>
          </cell>
          <cell r="AG224">
            <v>0</v>
          </cell>
          <cell r="AH224">
            <v>0</v>
          </cell>
          <cell r="AJ224">
            <v>0</v>
          </cell>
        </row>
        <row r="226">
          <cell r="J226">
            <v>0</v>
          </cell>
          <cell r="K226">
            <v>0</v>
          </cell>
          <cell r="L226">
            <v>0</v>
          </cell>
          <cell r="M226">
            <v>0</v>
          </cell>
          <cell r="N226">
            <v>0</v>
          </cell>
          <cell r="O226">
            <v>0</v>
          </cell>
          <cell r="P226">
            <v>2267791537.5700002</v>
          </cell>
          <cell r="Q226">
            <v>1967499913.9000001</v>
          </cell>
          <cell r="R226">
            <v>1990300889.75</v>
          </cell>
          <cell r="S226">
            <v>1986463315.24</v>
          </cell>
          <cell r="T226">
            <v>2170761144.6300001</v>
          </cell>
          <cell r="U226">
            <v>2168125375.25</v>
          </cell>
          <cell r="V226">
            <v>2026105664.25</v>
          </cell>
          <cell r="W226">
            <v>1954265390.9200001</v>
          </cell>
          <cell r="X226">
            <v>1606236217.6900001</v>
          </cell>
          <cell r="Y226">
            <v>1821300431.6300001</v>
          </cell>
          <cell r="Z226">
            <v>1999786686.54</v>
          </cell>
          <cell r="AA226">
            <v>2357052016.1999998</v>
          </cell>
          <cell r="AB226">
            <v>2348637744.5500002</v>
          </cell>
          <cell r="AC226">
            <v>2008674747.0899999</v>
          </cell>
          <cell r="AD226">
            <v>1888883716.1900001</v>
          </cell>
          <cell r="AE226">
            <v>2024327675.46</v>
          </cell>
          <cell r="AF226">
            <v>2258213062.23</v>
          </cell>
          <cell r="AG226">
            <v>2315774283.4699998</v>
          </cell>
          <cell r="AH226">
            <v>2225264495.8499999</v>
          </cell>
          <cell r="AJ226">
            <v>0</v>
          </cell>
        </row>
        <row r="227">
          <cell r="J227">
            <v>0</v>
          </cell>
          <cell r="K227">
            <v>0</v>
          </cell>
          <cell r="L227">
            <v>0</v>
          </cell>
          <cell r="M227">
            <v>0</v>
          </cell>
          <cell r="N227">
            <v>0</v>
          </cell>
          <cell r="O227">
            <v>0</v>
          </cell>
          <cell r="P227">
            <v>87571678.200000003</v>
          </cell>
          <cell r="Q227">
            <v>78490138.819999993</v>
          </cell>
          <cell r="R227">
            <v>76398536.030000001</v>
          </cell>
          <cell r="S227">
            <v>80195187.760000005</v>
          </cell>
          <cell r="T227">
            <v>92824456.75</v>
          </cell>
          <cell r="U227">
            <v>93357371.640000001</v>
          </cell>
          <cell r="V227">
            <v>84416894.819999993</v>
          </cell>
          <cell r="W227">
            <v>77301710.5</v>
          </cell>
          <cell r="X227">
            <v>70955916.689999998</v>
          </cell>
          <cell r="Y227">
            <v>77450769.810000002</v>
          </cell>
          <cell r="Z227">
            <v>82013807.900000006</v>
          </cell>
          <cell r="AA227">
            <v>82013807.900000006</v>
          </cell>
          <cell r="AB227">
            <v>109041000</v>
          </cell>
          <cell r="AC227">
            <v>93315000</v>
          </cell>
          <cell r="AD227">
            <v>89916000</v>
          </cell>
          <cell r="AE227">
            <v>97275000</v>
          </cell>
          <cell r="AF227">
            <v>108740000</v>
          </cell>
          <cell r="AG227">
            <v>119995000</v>
          </cell>
          <cell r="AH227">
            <v>100003000</v>
          </cell>
          <cell r="AJ227">
            <v>0</v>
          </cell>
        </row>
        <row r="228">
          <cell r="J228">
            <v>0</v>
          </cell>
          <cell r="K228">
            <v>0</v>
          </cell>
          <cell r="L228">
            <v>0</v>
          </cell>
          <cell r="M228">
            <v>0</v>
          </cell>
          <cell r="N228">
            <v>0</v>
          </cell>
          <cell r="O228">
            <v>0</v>
          </cell>
          <cell r="P228">
            <v>109739867.69</v>
          </cell>
          <cell r="Q228">
            <v>88724989.409999996</v>
          </cell>
          <cell r="R228">
            <v>71961139.969999999</v>
          </cell>
          <cell r="S228">
            <v>63372074.719999999</v>
          </cell>
          <cell r="T228">
            <v>71151338.180000007</v>
          </cell>
          <cell r="U228">
            <v>70036204.420000002</v>
          </cell>
          <cell r="V228">
            <v>64338309.229999997</v>
          </cell>
          <cell r="W228">
            <v>66822999.060000002</v>
          </cell>
          <cell r="X228">
            <v>71792248.969999999</v>
          </cell>
          <cell r="Y228">
            <v>91085101.590000004</v>
          </cell>
          <cell r="Z228">
            <v>93516091.390000001</v>
          </cell>
          <cell r="AA228">
            <v>93516091.390000001</v>
          </cell>
          <cell r="AB228">
            <v>103544836.27</v>
          </cell>
          <cell r="AC228">
            <v>82446092.489999995</v>
          </cell>
          <cell r="AD228">
            <v>74061946.010000005</v>
          </cell>
          <cell r="AE228">
            <v>63075788.100000001</v>
          </cell>
          <cell r="AF228">
            <v>70111623.400000006</v>
          </cell>
          <cell r="AG228">
            <v>67125588.829999998</v>
          </cell>
          <cell r="AH228">
            <v>64921905.990000002</v>
          </cell>
          <cell r="AJ228">
            <v>0</v>
          </cell>
        </row>
        <row r="230">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J230">
            <v>0</v>
          </cell>
        </row>
        <row r="231">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J231">
            <v>0</v>
          </cell>
        </row>
        <row r="232">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J232">
            <v>0</v>
          </cell>
        </row>
        <row r="233">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J233">
            <v>0</v>
          </cell>
        </row>
        <row r="234">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J234">
            <v>0</v>
          </cell>
        </row>
        <row r="235">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J235">
            <v>0</v>
          </cell>
        </row>
        <row r="236">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J236">
            <v>0</v>
          </cell>
        </row>
        <row r="237">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J237">
            <v>0</v>
          </cell>
        </row>
        <row r="238">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J238">
            <v>0</v>
          </cell>
        </row>
        <row r="239">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J239">
            <v>0</v>
          </cell>
        </row>
        <row r="240">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J240">
            <v>0</v>
          </cell>
        </row>
        <row r="241">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J241">
            <v>0</v>
          </cell>
        </row>
        <row r="243">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J243">
            <v>0</v>
          </cell>
        </row>
        <row r="244">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J244">
            <v>0</v>
          </cell>
        </row>
        <row r="245">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J245">
            <v>0</v>
          </cell>
        </row>
        <row r="246">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J246">
            <v>0</v>
          </cell>
        </row>
        <row r="247">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J247">
            <v>0</v>
          </cell>
        </row>
        <row r="248">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J248">
            <v>0</v>
          </cell>
        </row>
        <row r="249">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J249">
            <v>0</v>
          </cell>
        </row>
        <row r="250">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J250">
            <v>0</v>
          </cell>
        </row>
        <row r="251">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J251">
            <v>0</v>
          </cell>
        </row>
        <row r="252">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J252">
            <v>0</v>
          </cell>
        </row>
        <row r="253">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J253">
            <v>0</v>
          </cell>
        </row>
        <row r="254">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J254">
            <v>0</v>
          </cell>
        </row>
        <row r="256">
          <cell r="J256">
            <v>22682202.199999999</v>
          </cell>
          <cell r="K256">
            <v>23536609.100000001</v>
          </cell>
          <cell r="L256">
            <v>34557126</v>
          </cell>
          <cell r="M256">
            <v>38673608.399999999</v>
          </cell>
          <cell r="N256">
            <v>46001001.100000001</v>
          </cell>
          <cell r="O256">
            <v>56599201.100000001</v>
          </cell>
          <cell r="P256">
            <v>24268539.600000001</v>
          </cell>
          <cell r="Q256">
            <v>16106628.199999999</v>
          </cell>
          <cell r="R256">
            <v>11889854</v>
          </cell>
          <cell r="S256">
            <v>12421659.4</v>
          </cell>
          <cell r="T256">
            <v>13338279.4</v>
          </cell>
          <cell r="U256">
            <v>13677823.199999999</v>
          </cell>
          <cell r="V256">
            <v>10916709.9</v>
          </cell>
          <cell r="W256">
            <v>11844715.5</v>
          </cell>
          <cell r="X256">
            <v>17318571.399999999</v>
          </cell>
          <cell r="Y256">
            <v>22293856.100000001</v>
          </cell>
          <cell r="Z256">
            <v>24484778.5</v>
          </cell>
          <cell r="AA256">
            <v>30165005.100000001</v>
          </cell>
          <cell r="AB256">
            <v>22743858.699999999</v>
          </cell>
          <cell r="AC256">
            <v>14646482.800000001</v>
          </cell>
          <cell r="AD256">
            <v>12022023.699999999</v>
          </cell>
          <cell r="AE256">
            <v>11841886.300000001</v>
          </cell>
          <cell r="AF256">
            <v>13080196</v>
          </cell>
          <cell r="AG256">
            <v>12695306.6</v>
          </cell>
          <cell r="AH256">
            <v>11395703.800000001</v>
          </cell>
          <cell r="AJ256">
            <v>23536609.100000001</v>
          </cell>
        </row>
        <row r="257">
          <cell r="J257">
            <v>0</v>
          </cell>
          <cell r="K257">
            <v>0</v>
          </cell>
          <cell r="L257">
            <v>0</v>
          </cell>
          <cell r="M257">
            <v>0</v>
          </cell>
          <cell r="N257">
            <v>0</v>
          </cell>
          <cell r="O257">
            <v>0</v>
          </cell>
          <cell r="P257">
            <v>21756728.800000001</v>
          </cell>
          <cell r="Q257">
            <v>14851381.9</v>
          </cell>
          <cell r="R257">
            <v>10994785.1</v>
          </cell>
          <cell r="S257">
            <v>11413222.800000001</v>
          </cell>
          <cell r="T257">
            <v>12124208.1</v>
          </cell>
          <cell r="U257">
            <v>12558820.9</v>
          </cell>
          <cell r="V257">
            <v>10110751.800000001</v>
          </cell>
          <cell r="W257">
            <v>10955074</v>
          </cell>
          <cell r="X257">
            <v>16107482.1</v>
          </cell>
          <cell r="Y257">
            <v>20193869.699999999</v>
          </cell>
          <cell r="Z257">
            <v>22163305.800000001</v>
          </cell>
          <cell r="AA257">
            <v>27529797.600000001</v>
          </cell>
          <cell r="AB257">
            <v>19948317.100000001</v>
          </cell>
          <cell r="AC257">
            <v>13478321.9</v>
          </cell>
          <cell r="AD257">
            <v>11108859.199999999</v>
          </cell>
          <cell r="AE257">
            <v>10855516.199999999</v>
          </cell>
          <cell r="AF257">
            <v>11778383.1</v>
          </cell>
          <cell r="AG257">
            <v>11623157.4</v>
          </cell>
          <cell r="AH257">
            <v>10568770.1</v>
          </cell>
          <cell r="AJ257">
            <v>0</v>
          </cell>
        </row>
        <row r="258">
          <cell r="J258">
            <v>0</v>
          </cell>
          <cell r="K258">
            <v>0</v>
          </cell>
          <cell r="L258">
            <v>0</v>
          </cell>
          <cell r="M258">
            <v>0</v>
          </cell>
          <cell r="N258">
            <v>0</v>
          </cell>
          <cell r="O258">
            <v>0</v>
          </cell>
          <cell r="P258">
            <v>4672627.8</v>
          </cell>
          <cell r="Q258">
            <v>3390627.5</v>
          </cell>
          <cell r="R258">
            <v>3446426.4</v>
          </cell>
          <cell r="S258">
            <v>4029883.9</v>
          </cell>
          <cell r="T258">
            <v>3781578.5</v>
          </cell>
          <cell r="U258">
            <v>3950893.4</v>
          </cell>
          <cell r="V258">
            <v>3767581.5</v>
          </cell>
          <cell r="W258">
            <v>3331413.1</v>
          </cell>
          <cell r="X258">
            <v>3701127.2</v>
          </cell>
          <cell r="Y258">
            <v>3966842.1</v>
          </cell>
          <cell r="Z258">
            <v>4150010.5</v>
          </cell>
          <cell r="AA258">
            <v>4807305.0999999996</v>
          </cell>
          <cell r="AB258">
            <v>4448937.5</v>
          </cell>
          <cell r="AC258">
            <v>3009859.4</v>
          </cell>
          <cell r="AD258">
            <v>3241677.9</v>
          </cell>
          <cell r="AE258">
            <v>3689481.2</v>
          </cell>
          <cell r="AF258">
            <v>3667123.2</v>
          </cell>
          <cell r="AG258">
            <v>3719079</v>
          </cell>
          <cell r="AH258">
            <v>3447805.7</v>
          </cell>
          <cell r="AJ258">
            <v>0</v>
          </cell>
        </row>
        <row r="259">
          <cell r="J259">
            <v>14204034</v>
          </cell>
          <cell r="K259">
            <v>13282031.6</v>
          </cell>
          <cell r="L259">
            <v>14207166.300000001</v>
          </cell>
          <cell r="M259">
            <v>15058682.800000001</v>
          </cell>
          <cell r="N259">
            <v>16454689.800000001</v>
          </cell>
          <cell r="O259">
            <v>18839702.5</v>
          </cell>
          <cell r="P259">
            <v>11763086.699999999</v>
          </cell>
          <cell r="Q259">
            <v>9590917.3000000007</v>
          </cell>
          <cell r="R259">
            <v>9731487.8000000007</v>
          </cell>
          <cell r="S259">
            <v>11175103.300000001</v>
          </cell>
          <cell r="T259">
            <v>11111906.4</v>
          </cell>
          <cell r="U259">
            <v>11775028.4</v>
          </cell>
          <cell r="V259">
            <v>10513440.6</v>
          </cell>
          <cell r="W259">
            <v>9790090.1999999993</v>
          </cell>
          <cell r="X259">
            <v>10386306.699999999</v>
          </cell>
          <cell r="Y259">
            <v>11261042.4</v>
          </cell>
          <cell r="Z259">
            <v>11961338.300000001</v>
          </cell>
          <cell r="AA259">
            <v>14135332.5</v>
          </cell>
          <cell r="AB259">
            <v>10915329.1</v>
          </cell>
          <cell r="AC259">
            <v>9473663.1999999993</v>
          </cell>
          <cell r="AD259">
            <v>9245880.9000000004</v>
          </cell>
          <cell r="AE259">
            <v>10607283.6</v>
          </cell>
          <cell r="AF259">
            <v>11258562.199999999</v>
          </cell>
          <cell r="AG259">
            <v>11282430.4</v>
          </cell>
          <cell r="AH259">
            <v>9977769.9000000004</v>
          </cell>
          <cell r="AJ259">
            <v>13282031.6</v>
          </cell>
        </row>
        <row r="260">
          <cell r="J260">
            <v>3205567.5</v>
          </cell>
          <cell r="K260">
            <v>3253425.5</v>
          </cell>
          <cell r="L260">
            <v>3301599.4</v>
          </cell>
          <cell r="M260">
            <v>3340302.4</v>
          </cell>
          <cell r="N260">
            <v>3166920.1</v>
          </cell>
          <cell r="O260">
            <v>3444101.7</v>
          </cell>
          <cell r="P260">
            <v>3709904.1</v>
          </cell>
          <cell r="Q260">
            <v>3223695</v>
          </cell>
          <cell r="R260">
            <v>1481043.3</v>
          </cell>
          <cell r="S260">
            <v>2377171</v>
          </cell>
          <cell r="T260">
            <v>1816857.5</v>
          </cell>
          <cell r="U260">
            <v>3146092.4</v>
          </cell>
          <cell r="V260">
            <v>3007019.2</v>
          </cell>
          <cell r="W260">
            <v>2284728.7000000002</v>
          </cell>
          <cell r="X260">
            <v>2813922.3</v>
          </cell>
          <cell r="Y260">
            <v>2854355.2</v>
          </cell>
          <cell r="Z260">
            <v>3353082</v>
          </cell>
          <cell r="AA260">
            <v>3253421.3</v>
          </cell>
          <cell r="AB260">
            <v>4578309.2</v>
          </cell>
          <cell r="AC260">
            <v>3306456.2</v>
          </cell>
          <cell r="AD260">
            <v>1740036.6</v>
          </cell>
          <cell r="AE260">
            <v>2465111.2999999998</v>
          </cell>
          <cell r="AF260">
            <v>2883196.8</v>
          </cell>
          <cell r="AG260">
            <v>3568828.5</v>
          </cell>
          <cell r="AH260">
            <v>3896837.9</v>
          </cell>
          <cell r="AJ260">
            <v>3253425.5</v>
          </cell>
        </row>
        <row r="261">
          <cell r="J261">
            <v>16409117.800000001</v>
          </cell>
          <cell r="K261">
            <v>16120799.800000001</v>
          </cell>
          <cell r="L261">
            <v>17468045.800000001</v>
          </cell>
          <cell r="M261">
            <v>18398455.699999999</v>
          </cell>
          <cell r="N261">
            <v>19300740.399999999</v>
          </cell>
          <cell r="O261">
            <v>18591268.800000001</v>
          </cell>
          <cell r="P261">
            <v>19466412.399999999</v>
          </cell>
          <cell r="Q261">
            <v>18379769.5</v>
          </cell>
          <cell r="R261">
            <v>17880522.899999999</v>
          </cell>
          <cell r="S261">
            <v>18055827.199999999</v>
          </cell>
          <cell r="T261">
            <v>16818960.300000001</v>
          </cell>
          <cell r="U261">
            <v>15015802.300000001</v>
          </cell>
          <cell r="V261">
            <v>17103450.600000001</v>
          </cell>
          <cell r="W261">
            <v>17443617</v>
          </cell>
          <cell r="X261">
            <v>18439028.399999999</v>
          </cell>
          <cell r="Y261">
            <v>19568214.600000001</v>
          </cell>
          <cell r="Z261">
            <v>19660309.399999999</v>
          </cell>
          <cell r="AA261">
            <v>19526635.300000001</v>
          </cell>
          <cell r="AB261">
            <v>19303469.899999999</v>
          </cell>
          <cell r="AC261">
            <v>18097413.800000001</v>
          </cell>
          <cell r="AD261">
            <v>17749536.100000001</v>
          </cell>
          <cell r="AE261">
            <v>17337190.399999999</v>
          </cell>
          <cell r="AF261">
            <v>16844295.100000001</v>
          </cell>
          <cell r="AG261">
            <v>14637189.1</v>
          </cell>
          <cell r="AH261">
            <v>16736662.9</v>
          </cell>
          <cell r="AJ261">
            <v>16120799.800000001</v>
          </cell>
        </row>
        <row r="262">
          <cell r="J262">
            <v>209034.7</v>
          </cell>
          <cell r="K262">
            <v>222664.1</v>
          </cell>
          <cell r="L262">
            <v>242139.4</v>
          </cell>
          <cell r="M262">
            <v>278624.7</v>
          </cell>
          <cell r="N262">
            <v>264460.59999999998</v>
          </cell>
          <cell r="O262">
            <v>317613.5</v>
          </cell>
          <cell r="P262">
            <v>331975.3</v>
          </cell>
          <cell r="Q262">
            <v>307366.3</v>
          </cell>
          <cell r="R262">
            <v>290591.2</v>
          </cell>
          <cell r="S262">
            <v>261771</v>
          </cell>
          <cell r="T262">
            <v>235673.9</v>
          </cell>
          <cell r="U262">
            <v>221499.7</v>
          </cell>
          <cell r="V262">
            <v>206881.8</v>
          </cell>
          <cell r="W262">
            <v>221905.9</v>
          </cell>
          <cell r="X262">
            <v>239524.4</v>
          </cell>
          <cell r="Y262">
            <v>280005.59999999998</v>
          </cell>
          <cell r="Z262">
            <v>267066.5</v>
          </cell>
          <cell r="AA262">
            <v>316897.59999999998</v>
          </cell>
          <cell r="AB262">
            <v>330932.8</v>
          </cell>
          <cell r="AC262">
            <v>309623.5</v>
          </cell>
          <cell r="AD262">
            <v>288101.3</v>
          </cell>
          <cell r="AE262">
            <v>252559.9</v>
          </cell>
          <cell r="AF262">
            <v>240592.1</v>
          </cell>
          <cell r="AG262">
            <v>221284.4</v>
          </cell>
          <cell r="AH262">
            <v>201564.1</v>
          </cell>
          <cell r="AJ262">
            <v>222664.1</v>
          </cell>
        </row>
        <row r="263">
          <cell r="J263">
            <v>6145376.4000000004</v>
          </cell>
          <cell r="K263">
            <v>6288572.7000000002</v>
          </cell>
          <cell r="L263">
            <v>6688439.9000000004</v>
          </cell>
          <cell r="M263">
            <v>7838648.0999999996</v>
          </cell>
          <cell r="N263">
            <v>8771994.3000000007</v>
          </cell>
          <cell r="O263">
            <v>9445202.5999999996</v>
          </cell>
          <cell r="P263">
            <v>8171852.5999999996</v>
          </cell>
          <cell r="Q263">
            <v>6619561.5</v>
          </cell>
          <cell r="R263">
            <v>6032299.2000000002</v>
          </cell>
          <cell r="S263">
            <v>7109026.2999999998</v>
          </cell>
          <cell r="T263">
            <v>5696424.5</v>
          </cell>
          <cell r="U263">
            <v>5784811</v>
          </cell>
          <cell r="V263">
            <v>6286188</v>
          </cell>
          <cell r="W263">
            <v>6190122.0999999996</v>
          </cell>
          <cell r="X263">
            <v>6703383</v>
          </cell>
          <cell r="Y263">
            <v>7839876.2000000002</v>
          </cell>
          <cell r="Z263">
            <v>8331275.4000000004</v>
          </cell>
          <cell r="AA263">
            <v>9557583.6999999993</v>
          </cell>
          <cell r="AB263">
            <v>7009581.2999999998</v>
          </cell>
          <cell r="AC263">
            <v>6344099.7000000002</v>
          </cell>
          <cell r="AD263">
            <v>6025690.2999999998</v>
          </cell>
          <cell r="AE263">
            <v>6704971.5</v>
          </cell>
          <cell r="AF263">
            <v>5862144.2000000002</v>
          </cell>
          <cell r="AG263">
            <v>5467550.9000000004</v>
          </cell>
          <cell r="AH263">
            <v>5930915.7999999998</v>
          </cell>
          <cell r="AJ263">
            <v>6288572.7000000002</v>
          </cell>
        </row>
        <row r="264">
          <cell r="J264">
            <v>158910.1</v>
          </cell>
          <cell r="K264">
            <v>153884.9</v>
          </cell>
          <cell r="L264">
            <v>167467.6</v>
          </cell>
          <cell r="M264">
            <v>173250.3</v>
          </cell>
          <cell r="N264">
            <v>181524.6</v>
          </cell>
          <cell r="O264">
            <v>217568.2</v>
          </cell>
          <cell r="P264">
            <v>205641.5</v>
          </cell>
          <cell r="Q264">
            <v>167638.1</v>
          </cell>
          <cell r="R264">
            <v>172553.2</v>
          </cell>
          <cell r="S264">
            <v>171391.2</v>
          </cell>
          <cell r="T264">
            <v>159421.79999999999</v>
          </cell>
          <cell r="U264">
            <v>169329</v>
          </cell>
          <cell r="V264">
            <v>151335.4</v>
          </cell>
          <cell r="W264">
            <v>147095.1</v>
          </cell>
          <cell r="X264">
            <v>158984.29999999999</v>
          </cell>
          <cell r="Y264">
            <v>174089.7</v>
          </cell>
          <cell r="Z264">
            <v>175752.4</v>
          </cell>
          <cell r="AA264">
            <v>218015.1</v>
          </cell>
          <cell r="AB264">
            <v>188878.4</v>
          </cell>
          <cell r="AC264">
            <v>158317.4</v>
          </cell>
          <cell r="AD264">
            <v>168449.1</v>
          </cell>
          <cell r="AE264">
            <v>135951.6</v>
          </cell>
          <cell r="AF264">
            <v>138167.20000000001</v>
          </cell>
          <cell r="AG264">
            <v>143654.79999999999</v>
          </cell>
          <cell r="AH264">
            <v>140652.70000000001</v>
          </cell>
          <cell r="AJ264">
            <v>153884.9</v>
          </cell>
        </row>
        <row r="265">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J265">
            <v>0</v>
          </cell>
        </row>
        <row r="266">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J266">
            <v>0</v>
          </cell>
        </row>
        <row r="267">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J267">
            <v>0</v>
          </cell>
        </row>
        <row r="269">
          <cell r="J269">
            <v>1336163.2</v>
          </cell>
          <cell r="K269">
            <v>1366949.2</v>
          </cell>
          <cell r="L269">
            <v>1942878.1</v>
          </cell>
          <cell r="M269">
            <v>2087057</v>
          </cell>
          <cell r="N269">
            <v>2489027.2000000002</v>
          </cell>
          <cell r="O269">
            <v>2986527.4</v>
          </cell>
          <cell r="P269">
            <v>1167675.2</v>
          </cell>
          <cell r="Q269">
            <v>794919.9</v>
          </cell>
          <cell r="R269">
            <v>606329.4</v>
          </cell>
          <cell r="S269">
            <v>628174.19999999995</v>
          </cell>
          <cell r="T269">
            <v>671108.5</v>
          </cell>
          <cell r="U269">
            <v>691117.6</v>
          </cell>
          <cell r="V269">
            <v>557772.19999999995</v>
          </cell>
          <cell r="W269">
            <v>602575.6</v>
          </cell>
          <cell r="X269">
            <v>858129.1</v>
          </cell>
          <cell r="Y269">
            <v>1072682.8999999999</v>
          </cell>
          <cell r="Z269">
            <v>1160379.1000000001</v>
          </cell>
          <cell r="AA269">
            <v>1421670.6</v>
          </cell>
          <cell r="AB269">
            <v>1109098.5</v>
          </cell>
          <cell r="AC269">
            <v>737297.8</v>
          </cell>
          <cell r="AD269">
            <v>622209.69999999995</v>
          </cell>
          <cell r="AE269">
            <v>607530.69999999995</v>
          </cell>
          <cell r="AF269">
            <v>665229</v>
          </cell>
          <cell r="AG269">
            <v>647188.19999999995</v>
          </cell>
          <cell r="AH269">
            <v>590123.9</v>
          </cell>
          <cell r="AJ269">
            <v>1366949.2</v>
          </cell>
        </row>
        <row r="270">
          <cell r="J270">
            <v>0</v>
          </cell>
          <cell r="K270">
            <v>0</v>
          </cell>
          <cell r="L270">
            <v>0</v>
          </cell>
          <cell r="M270">
            <v>0</v>
          </cell>
          <cell r="N270">
            <v>0</v>
          </cell>
          <cell r="O270">
            <v>0</v>
          </cell>
          <cell r="P270">
            <v>1053333.2</v>
          </cell>
          <cell r="Q270">
            <v>737169.1</v>
          </cell>
          <cell r="R270">
            <v>564550.69999999995</v>
          </cell>
          <cell r="S270">
            <v>581537.80000000005</v>
          </cell>
          <cell r="T270">
            <v>615514.1</v>
          </cell>
          <cell r="U270">
            <v>639734.69999999995</v>
          </cell>
          <cell r="V270">
            <v>520523.2</v>
          </cell>
          <cell r="W270">
            <v>562306.80000000005</v>
          </cell>
          <cell r="X270">
            <v>801816.2</v>
          </cell>
          <cell r="Y270">
            <v>977144</v>
          </cell>
          <cell r="Z270">
            <v>1055401.1000000001</v>
          </cell>
          <cell r="AA270">
            <v>1301260.1000000001</v>
          </cell>
          <cell r="AB270">
            <v>978415.8</v>
          </cell>
          <cell r="AC270">
            <v>681180.8</v>
          </cell>
          <cell r="AD270">
            <v>578082.80000000005</v>
          </cell>
          <cell r="AE270">
            <v>560476.4</v>
          </cell>
          <cell r="AF270">
            <v>603270.1</v>
          </cell>
          <cell r="AG270">
            <v>597775.4</v>
          </cell>
          <cell r="AH270">
            <v>552324</v>
          </cell>
          <cell r="AJ270">
            <v>0</v>
          </cell>
        </row>
        <row r="271">
          <cell r="J271">
            <v>0</v>
          </cell>
          <cell r="K271">
            <v>0</v>
          </cell>
          <cell r="L271">
            <v>0</v>
          </cell>
          <cell r="M271">
            <v>0</v>
          </cell>
          <cell r="N271">
            <v>0</v>
          </cell>
          <cell r="O271">
            <v>0</v>
          </cell>
          <cell r="P271">
            <v>243266.5</v>
          </cell>
          <cell r="Q271">
            <v>185486.8</v>
          </cell>
          <cell r="R271">
            <v>184184.5</v>
          </cell>
          <cell r="S271">
            <v>208183.6</v>
          </cell>
          <cell r="T271">
            <v>199193.1</v>
          </cell>
          <cell r="U271">
            <v>206993.7</v>
          </cell>
          <cell r="V271">
            <v>203009.9</v>
          </cell>
          <cell r="W271">
            <v>177664.9</v>
          </cell>
          <cell r="X271">
            <v>197379</v>
          </cell>
          <cell r="Y271">
            <v>214709.3</v>
          </cell>
          <cell r="Z271">
            <v>218305.9</v>
          </cell>
          <cell r="AA271">
            <v>252210.8</v>
          </cell>
          <cell r="AB271">
            <v>235625.60000000001</v>
          </cell>
          <cell r="AC271">
            <v>163020.70000000001</v>
          </cell>
          <cell r="AD271">
            <v>174208.1</v>
          </cell>
          <cell r="AE271">
            <v>195599.7</v>
          </cell>
          <cell r="AF271">
            <v>191814.7</v>
          </cell>
          <cell r="AG271">
            <v>196214.8</v>
          </cell>
          <cell r="AH271">
            <v>184800.9</v>
          </cell>
          <cell r="AJ271">
            <v>0</v>
          </cell>
        </row>
        <row r="272">
          <cell r="J272">
            <v>831084.10000000009</v>
          </cell>
          <cell r="K272">
            <v>762858.2</v>
          </cell>
          <cell r="L272">
            <v>821852.3</v>
          </cell>
          <cell r="M272">
            <v>864353.6</v>
          </cell>
          <cell r="N272">
            <v>941074</v>
          </cell>
          <cell r="O272">
            <v>1040111.2</v>
          </cell>
          <cell r="P272">
            <v>584348.80000000005</v>
          </cell>
          <cell r="Q272">
            <v>485810.4</v>
          </cell>
          <cell r="R272">
            <v>481418.1</v>
          </cell>
          <cell r="S272">
            <v>553164.80000000005</v>
          </cell>
          <cell r="T272">
            <v>545096.5</v>
          </cell>
          <cell r="U272">
            <v>571476.5</v>
          </cell>
          <cell r="V272">
            <v>523844.7</v>
          </cell>
          <cell r="W272">
            <v>483762.3</v>
          </cell>
          <cell r="X272">
            <v>524906.6</v>
          </cell>
          <cell r="Y272">
            <v>572001.4</v>
          </cell>
          <cell r="Z272">
            <v>596365.30000000005</v>
          </cell>
          <cell r="AA272">
            <v>687758.3</v>
          </cell>
          <cell r="AB272">
            <v>542603</v>
          </cell>
          <cell r="AC272">
            <v>484001.4</v>
          </cell>
          <cell r="AD272">
            <v>463066.5</v>
          </cell>
          <cell r="AE272">
            <v>523042.9</v>
          </cell>
          <cell r="AF272">
            <v>556400.19999999995</v>
          </cell>
          <cell r="AG272">
            <v>552492.30000000005</v>
          </cell>
          <cell r="AH272">
            <v>490690.1</v>
          </cell>
          <cell r="AJ272">
            <v>762858.2</v>
          </cell>
        </row>
        <row r="273">
          <cell r="J273">
            <v>168847.09999999998</v>
          </cell>
          <cell r="K273">
            <v>170095.8</v>
          </cell>
          <cell r="L273">
            <v>177018.3</v>
          </cell>
          <cell r="M273">
            <v>171721.5</v>
          </cell>
          <cell r="N273">
            <v>162442.4</v>
          </cell>
          <cell r="O273">
            <v>169461.3</v>
          </cell>
          <cell r="P273">
            <v>166640.79999999999</v>
          </cell>
          <cell r="Q273">
            <v>145526.1</v>
          </cell>
          <cell r="R273">
            <v>67816.800000000003</v>
          </cell>
          <cell r="S273">
            <v>108898.9</v>
          </cell>
          <cell r="T273">
            <v>83106.399999999994</v>
          </cell>
          <cell r="U273">
            <v>141407.9</v>
          </cell>
          <cell r="V273">
            <v>135454.39999999999</v>
          </cell>
          <cell r="W273">
            <v>103492.2</v>
          </cell>
          <cell r="X273">
            <v>132406.29999999999</v>
          </cell>
          <cell r="Y273">
            <v>130411.7</v>
          </cell>
          <cell r="Z273">
            <v>149833.79999999999</v>
          </cell>
          <cell r="AA273">
            <v>141955.20000000001</v>
          </cell>
          <cell r="AB273">
            <v>207822.2</v>
          </cell>
          <cell r="AC273">
            <v>154569.60000000001</v>
          </cell>
          <cell r="AD273">
            <v>80807.399999999994</v>
          </cell>
          <cell r="AE273">
            <v>113307.5</v>
          </cell>
          <cell r="AF273">
            <v>133528.5</v>
          </cell>
          <cell r="AG273">
            <v>162951.9</v>
          </cell>
          <cell r="AH273">
            <v>179457.2</v>
          </cell>
          <cell r="AJ273">
            <v>170095.8</v>
          </cell>
        </row>
        <row r="274">
          <cell r="J274">
            <v>823865.70000000007</v>
          </cell>
          <cell r="K274">
            <v>784765.1</v>
          </cell>
          <cell r="L274">
            <v>841239.3</v>
          </cell>
          <cell r="M274">
            <v>861030.2</v>
          </cell>
          <cell r="N274">
            <v>904206.1</v>
          </cell>
          <cell r="O274">
            <v>853264.7</v>
          </cell>
          <cell r="P274">
            <v>790744.3</v>
          </cell>
          <cell r="Q274">
            <v>752776.8</v>
          </cell>
          <cell r="R274">
            <v>756096.7</v>
          </cell>
          <cell r="S274">
            <v>764893.1</v>
          </cell>
          <cell r="T274">
            <v>709572.9</v>
          </cell>
          <cell r="U274">
            <v>652378.69999999995</v>
          </cell>
          <cell r="V274">
            <v>728278.5</v>
          </cell>
          <cell r="W274">
            <v>727321.8</v>
          </cell>
          <cell r="X274">
            <v>767004.7</v>
          </cell>
          <cell r="Y274">
            <v>803837.1</v>
          </cell>
          <cell r="Z274">
            <v>791134.1</v>
          </cell>
          <cell r="AA274">
            <v>787416.4</v>
          </cell>
          <cell r="AB274">
            <v>807246.9</v>
          </cell>
          <cell r="AC274">
            <v>759972</v>
          </cell>
          <cell r="AD274">
            <v>771369.6</v>
          </cell>
          <cell r="AE274">
            <v>751822.4</v>
          </cell>
          <cell r="AF274">
            <v>722825.8</v>
          </cell>
          <cell r="AG274">
            <v>656812.4</v>
          </cell>
          <cell r="AH274">
            <v>715211.8</v>
          </cell>
          <cell r="AJ274">
            <v>784765.1</v>
          </cell>
        </row>
        <row r="275">
          <cell r="J275">
            <v>40320.400000000001</v>
          </cell>
          <cell r="K275">
            <v>39628.800000000003</v>
          </cell>
          <cell r="L275">
            <v>40467.9</v>
          </cell>
          <cell r="M275">
            <v>41030.400000000001</v>
          </cell>
          <cell r="N275">
            <v>39428.199999999997</v>
          </cell>
          <cell r="O275">
            <v>40625.699999999997</v>
          </cell>
          <cell r="P275">
            <v>40050</v>
          </cell>
          <cell r="Q275">
            <v>39554.6</v>
          </cell>
          <cell r="R275">
            <v>35636.9</v>
          </cell>
          <cell r="S275">
            <v>14672.3</v>
          </cell>
          <cell r="T275">
            <v>38934.9</v>
          </cell>
          <cell r="U275">
            <v>39825.599999999999</v>
          </cell>
          <cell r="V275">
            <v>38327.4</v>
          </cell>
          <cell r="W275">
            <v>37943.9</v>
          </cell>
          <cell r="X275">
            <v>38459.1</v>
          </cell>
          <cell r="Y275">
            <v>39632.1</v>
          </cell>
          <cell r="Z275">
            <v>38051.9</v>
          </cell>
          <cell r="AA275">
            <v>38768.9</v>
          </cell>
          <cell r="AB275">
            <v>34467</v>
          </cell>
          <cell r="AC275">
            <v>34640.800000000003</v>
          </cell>
          <cell r="AD275">
            <v>33775.300000000003</v>
          </cell>
          <cell r="AE275">
            <v>33686.800000000003</v>
          </cell>
          <cell r="AF275">
            <v>31710.9</v>
          </cell>
          <cell r="AG275">
            <v>32108.2</v>
          </cell>
          <cell r="AH275">
            <v>30977.9</v>
          </cell>
          <cell r="AJ275">
            <v>39628.800000000003</v>
          </cell>
        </row>
        <row r="276">
          <cell r="J276">
            <v>355510.6</v>
          </cell>
          <cell r="K276">
            <v>361578.5</v>
          </cell>
          <cell r="L276">
            <v>389226</v>
          </cell>
          <cell r="M276">
            <v>439771.8</v>
          </cell>
          <cell r="N276">
            <v>487524.9</v>
          </cell>
          <cell r="O276">
            <v>509014</v>
          </cell>
          <cell r="P276">
            <v>411569.7</v>
          </cell>
          <cell r="Q276">
            <v>342653.4</v>
          </cell>
          <cell r="R276">
            <v>317195.40000000002</v>
          </cell>
          <cell r="S276">
            <v>365613.4</v>
          </cell>
          <cell r="T276">
            <v>295998.5</v>
          </cell>
          <cell r="U276">
            <v>299274.8</v>
          </cell>
          <cell r="V276">
            <v>315711.8</v>
          </cell>
          <cell r="W276">
            <v>312681.7</v>
          </cell>
          <cell r="X276">
            <v>346108.4</v>
          </cell>
          <cell r="Y276">
            <v>394994</v>
          </cell>
          <cell r="Z276">
            <v>407977</v>
          </cell>
          <cell r="AA276">
            <v>461827.6</v>
          </cell>
          <cell r="AB276">
            <v>353335.3</v>
          </cell>
          <cell r="AC276">
            <v>329828.90000000002</v>
          </cell>
          <cell r="AD276">
            <v>309269.2</v>
          </cell>
          <cell r="AE276">
            <v>341117.2</v>
          </cell>
          <cell r="AF276">
            <v>305632.40000000002</v>
          </cell>
          <cell r="AG276">
            <v>282410</v>
          </cell>
          <cell r="AH276">
            <v>313014.59999999998</v>
          </cell>
          <cell r="AJ276">
            <v>361578.5</v>
          </cell>
        </row>
        <row r="277">
          <cell r="J277">
            <v>9462.3000000000011</v>
          </cell>
          <cell r="K277">
            <v>8995.7999999999993</v>
          </cell>
          <cell r="L277">
            <v>9590.7000000000007</v>
          </cell>
          <cell r="M277">
            <v>9826.1</v>
          </cell>
          <cell r="N277">
            <v>10126.1</v>
          </cell>
          <cell r="O277">
            <v>11592.9</v>
          </cell>
          <cell r="P277">
            <v>10366.200000000001</v>
          </cell>
          <cell r="Q277">
            <v>8818.4</v>
          </cell>
          <cell r="R277">
            <v>8972.4</v>
          </cell>
          <cell r="S277">
            <v>8687.4</v>
          </cell>
          <cell r="T277">
            <v>8131.3</v>
          </cell>
          <cell r="U277">
            <v>8515.6</v>
          </cell>
          <cell r="V277">
            <v>7857</v>
          </cell>
          <cell r="W277">
            <v>7571.4</v>
          </cell>
          <cell r="X277">
            <v>8061.6</v>
          </cell>
          <cell r="Y277">
            <v>8877.9</v>
          </cell>
          <cell r="Z277">
            <v>8642.7000000000007</v>
          </cell>
          <cell r="AA277">
            <v>10402.200000000001</v>
          </cell>
          <cell r="AB277">
            <v>8627.6</v>
          </cell>
          <cell r="AC277">
            <v>7270.3</v>
          </cell>
          <cell r="AD277">
            <v>7750.6</v>
          </cell>
          <cell r="AE277">
            <v>6155.4</v>
          </cell>
          <cell r="AF277">
            <v>6364</v>
          </cell>
          <cell r="AG277">
            <v>6569.5</v>
          </cell>
          <cell r="AH277">
            <v>6486.5</v>
          </cell>
          <cell r="AJ277">
            <v>8995.7999999999993</v>
          </cell>
        </row>
        <row r="278">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J278">
            <v>0</v>
          </cell>
        </row>
        <row r="279">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J279">
            <v>0</v>
          </cell>
        </row>
        <row r="280">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J280">
            <v>0</v>
          </cell>
        </row>
        <row r="282">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J282">
            <v>0</v>
          </cell>
        </row>
        <row r="283">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J283">
            <v>0</v>
          </cell>
        </row>
        <row r="284">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J284">
            <v>0</v>
          </cell>
        </row>
        <row r="285">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J285">
            <v>0</v>
          </cell>
        </row>
        <row r="286">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J286">
            <v>0</v>
          </cell>
        </row>
        <row r="287">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J287">
            <v>0</v>
          </cell>
        </row>
        <row r="288">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J288">
            <v>0</v>
          </cell>
        </row>
        <row r="289">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J289">
            <v>0</v>
          </cell>
        </row>
        <row r="290">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J290">
            <v>0</v>
          </cell>
        </row>
        <row r="291">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J291">
            <v>0</v>
          </cell>
        </row>
        <row r="292">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J292">
            <v>0</v>
          </cell>
        </row>
        <row r="293">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J293">
            <v>0</v>
          </cell>
        </row>
        <row r="295">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J295">
            <v>0</v>
          </cell>
        </row>
        <row r="296">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J296">
            <v>0</v>
          </cell>
        </row>
        <row r="297">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J297">
            <v>0</v>
          </cell>
        </row>
        <row r="298">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J298">
            <v>0</v>
          </cell>
        </row>
        <row r="299">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J299">
            <v>0</v>
          </cell>
        </row>
        <row r="300">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J300">
            <v>0</v>
          </cell>
        </row>
        <row r="301">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J301">
            <v>0</v>
          </cell>
        </row>
        <row r="302">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J302">
            <v>0</v>
          </cell>
        </row>
        <row r="303">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J303">
            <v>0</v>
          </cell>
        </row>
        <row r="304">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J304">
            <v>0</v>
          </cell>
        </row>
        <row r="305">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J305">
            <v>0</v>
          </cell>
        </row>
        <row r="306">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J306">
            <v>0</v>
          </cell>
        </row>
        <row r="308">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J308">
            <v>0</v>
          </cell>
        </row>
        <row r="309">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J309">
            <v>0</v>
          </cell>
        </row>
        <row r="310">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J310">
            <v>0</v>
          </cell>
        </row>
        <row r="311">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J311">
            <v>0</v>
          </cell>
        </row>
        <row r="312">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J312">
            <v>0</v>
          </cell>
        </row>
        <row r="313">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J313">
            <v>0</v>
          </cell>
        </row>
        <row r="314">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J314">
            <v>0</v>
          </cell>
        </row>
        <row r="315">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J315">
            <v>0</v>
          </cell>
        </row>
        <row r="316">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J316">
            <v>0</v>
          </cell>
        </row>
        <row r="317">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J317">
            <v>0</v>
          </cell>
        </row>
        <row r="318">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J318">
            <v>0</v>
          </cell>
        </row>
        <row r="319">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J319">
            <v>0</v>
          </cell>
        </row>
        <row r="321">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J321">
            <v>0</v>
          </cell>
        </row>
        <row r="322">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J322">
            <v>0</v>
          </cell>
        </row>
        <row r="323">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J323">
            <v>0</v>
          </cell>
        </row>
        <row r="324">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J324">
            <v>0</v>
          </cell>
        </row>
        <row r="325">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J325">
            <v>0</v>
          </cell>
        </row>
        <row r="326">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J326">
            <v>0</v>
          </cell>
        </row>
        <row r="327">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J327">
            <v>0</v>
          </cell>
        </row>
        <row r="328">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J328">
            <v>0</v>
          </cell>
        </row>
        <row r="329">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J329">
            <v>0</v>
          </cell>
        </row>
        <row r="330">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J330">
            <v>0</v>
          </cell>
        </row>
        <row r="331">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J331">
            <v>0</v>
          </cell>
        </row>
        <row r="332">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J332">
            <v>0</v>
          </cell>
        </row>
        <row r="334">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J334">
            <v>0</v>
          </cell>
        </row>
        <row r="335">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J335">
            <v>0</v>
          </cell>
        </row>
        <row r="336">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J336">
            <v>0</v>
          </cell>
        </row>
        <row r="337">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J337">
            <v>0</v>
          </cell>
        </row>
        <row r="338">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J338">
            <v>0</v>
          </cell>
        </row>
        <row r="339">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J339">
            <v>0</v>
          </cell>
        </row>
        <row r="340">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J340">
            <v>0</v>
          </cell>
        </row>
        <row r="341">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J341">
            <v>0</v>
          </cell>
        </row>
        <row r="342">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J342">
            <v>0</v>
          </cell>
        </row>
        <row r="343">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J343">
            <v>0</v>
          </cell>
        </row>
        <row r="344">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J344">
            <v>0</v>
          </cell>
        </row>
        <row r="345">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J345">
            <v>0</v>
          </cell>
        </row>
        <row r="347">
          <cell r="J347">
            <v>-39883.800000000003</v>
          </cell>
          <cell r="K347">
            <v>-41188</v>
          </cell>
          <cell r="L347">
            <v>-58257.2</v>
          </cell>
          <cell r="M347">
            <v>-62747.8</v>
          </cell>
          <cell r="N347">
            <v>-73101.2</v>
          </cell>
          <cell r="O347">
            <v>-89171.5</v>
          </cell>
          <cell r="P347">
            <v>-43744.5</v>
          </cell>
          <cell r="Q347">
            <v>-30028.400000000001</v>
          </cell>
          <cell r="R347">
            <v>-23141.200000000001</v>
          </cell>
          <cell r="S347">
            <v>-23913</v>
          </cell>
          <cell r="T347">
            <v>-25506.9</v>
          </cell>
          <cell r="U347">
            <v>-26302.2</v>
          </cell>
          <cell r="V347">
            <v>-21300.5</v>
          </cell>
          <cell r="W347">
            <v>-22980.9</v>
          </cell>
          <cell r="X347">
            <v>-32457.3</v>
          </cell>
          <cell r="Y347">
            <v>-40186</v>
          </cell>
          <cell r="Z347">
            <v>-43250.8</v>
          </cell>
          <cell r="AA347">
            <v>-52890</v>
          </cell>
          <cell r="AB347">
            <v>-27247.599999999999</v>
          </cell>
          <cell r="AC347">
            <v>-17546.8</v>
          </cell>
          <cell r="AD347">
            <v>-14402.6</v>
          </cell>
          <cell r="AE347">
            <v>-14186.8</v>
          </cell>
          <cell r="AF347">
            <v>-15670.3</v>
          </cell>
          <cell r="AG347">
            <v>-15209.2</v>
          </cell>
          <cell r="AH347">
            <v>-12535.3</v>
          </cell>
          <cell r="AJ347">
            <v>-41188</v>
          </cell>
        </row>
        <row r="348">
          <cell r="J348">
            <v>0</v>
          </cell>
          <cell r="K348">
            <v>0</v>
          </cell>
          <cell r="L348">
            <v>0</v>
          </cell>
          <cell r="M348">
            <v>0</v>
          </cell>
          <cell r="N348">
            <v>0</v>
          </cell>
          <cell r="O348">
            <v>0</v>
          </cell>
          <cell r="P348">
            <v>-39542</v>
          </cell>
          <cell r="Q348">
            <v>-27897.8</v>
          </cell>
          <cell r="R348">
            <v>-21592.1</v>
          </cell>
          <cell r="S348">
            <v>-22189.3</v>
          </cell>
          <cell r="T348">
            <v>-23459.3</v>
          </cell>
          <cell r="U348">
            <v>-24407.8</v>
          </cell>
          <cell r="V348">
            <v>-19924.099999999999</v>
          </cell>
          <cell r="W348">
            <v>-21503.9</v>
          </cell>
          <cell r="X348">
            <v>-30372.1</v>
          </cell>
          <cell r="Y348">
            <v>-36675.4</v>
          </cell>
          <cell r="Z348">
            <v>-39401.699999999997</v>
          </cell>
          <cell r="AA348">
            <v>-48458.6</v>
          </cell>
          <cell r="AB348">
            <v>-23898.5</v>
          </cell>
          <cell r="AC348">
            <v>-16147.3</v>
          </cell>
          <cell r="AD348">
            <v>-13308.6</v>
          </cell>
          <cell r="AE348">
            <v>-13005.1</v>
          </cell>
          <cell r="AF348">
            <v>-14110.7</v>
          </cell>
          <cell r="AG348">
            <v>-13924.8</v>
          </cell>
          <cell r="AH348">
            <v>-11625.6</v>
          </cell>
          <cell r="AJ348">
            <v>0</v>
          </cell>
        </row>
        <row r="349">
          <cell r="J349">
            <v>0</v>
          </cell>
          <cell r="K349">
            <v>0</v>
          </cell>
          <cell r="L349">
            <v>0</v>
          </cell>
          <cell r="M349">
            <v>0</v>
          </cell>
          <cell r="N349">
            <v>0</v>
          </cell>
          <cell r="O349">
            <v>0</v>
          </cell>
          <cell r="P349">
            <v>-9343.1</v>
          </cell>
          <cell r="Q349">
            <v>-7227.1</v>
          </cell>
          <cell r="R349">
            <v>-7128.6</v>
          </cell>
          <cell r="S349">
            <v>-7977</v>
          </cell>
          <cell r="T349">
            <v>-7677</v>
          </cell>
          <cell r="U349">
            <v>-7964.9</v>
          </cell>
          <cell r="V349">
            <v>-7875.9</v>
          </cell>
          <cell r="W349">
            <v>-6872.1</v>
          </cell>
          <cell r="X349">
            <v>-7634.6</v>
          </cell>
          <cell r="Y349">
            <v>-8340.5</v>
          </cell>
          <cell r="Z349">
            <v>-8410.2999999999993</v>
          </cell>
          <cell r="AA349">
            <v>-9708.7999999999993</v>
          </cell>
          <cell r="AB349">
            <v>-5329.9</v>
          </cell>
          <cell r="AC349">
            <v>-3605.9</v>
          </cell>
          <cell r="AD349">
            <v>-3883.6</v>
          </cell>
          <cell r="AE349">
            <v>-4420.1000000000004</v>
          </cell>
          <cell r="AF349">
            <v>-4393.3</v>
          </cell>
          <cell r="AG349">
            <v>-4455.5</v>
          </cell>
          <cell r="AH349">
            <v>-3792.6</v>
          </cell>
          <cell r="AJ349">
            <v>0</v>
          </cell>
        </row>
        <row r="350">
          <cell r="J350">
            <v>-24723.200000000001</v>
          </cell>
          <cell r="K350">
            <v>-22861.1</v>
          </cell>
          <cell r="L350">
            <v>-24984.6</v>
          </cell>
          <cell r="M350">
            <v>-26746.9</v>
          </cell>
          <cell r="N350">
            <v>-28419.9</v>
          </cell>
          <cell r="O350">
            <v>-31741.4</v>
          </cell>
          <cell r="P350">
            <v>-22120.1</v>
          </cell>
          <cell r="Q350">
            <v>-18502.900000000001</v>
          </cell>
          <cell r="R350">
            <v>-18199.5</v>
          </cell>
          <cell r="S350">
            <v>-20915.8</v>
          </cell>
          <cell r="T350">
            <v>-20551</v>
          </cell>
          <cell r="U350">
            <v>-21470.400000000001</v>
          </cell>
          <cell r="V350">
            <v>-19848.7</v>
          </cell>
          <cell r="W350">
            <v>-18281.400000000001</v>
          </cell>
          <cell r="X350">
            <v>-19977.900000000001</v>
          </cell>
          <cell r="Y350">
            <v>-21804.5</v>
          </cell>
          <cell r="Z350">
            <v>-22601.1</v>
          </cell>
          <cell r="AA350">
            <v>-25860.5</v>
          </cell>
          <cell r="AB350">
            <v>-13076.8</v>
          </cell>
          <cell r="AC350">
            <v>-11349.6</v>
          </cell>
          <cell r="AD350">
            <v>-11076.7</v>
          </cell>
          <cell r="AE350">
            <v>-12707.7</v>
          </cell>
          <cell r="AF350">
            <v>-13488</v>
          </cell>
          <cell r="AG350">
            <v>-13516.6</v>
          </cell>
          <cell r="AH350">
            <v>-10975.5</v>
          </cell>
          <cell r="AJ350">
            <v>-22861.1</v>
          </cell>
        </row>
        <row r="351">
          <cell r="J351">
            <v>-4741.8999999999996</v>
          </cell>
          <cell r="K351">
            <v>-4849.3</v>
          </cell>
          <cell r="L351">
            <v>-5180.7</v>
          </cell>
          <cell r="M351">
            <v>-5037.3</v>
          </cell>
          <cell r="N351">
            <v>-4633.6000000000004</v>
          </cell>
          <cell r="O351">
            <v>-4876.8999999999996</v>
          </cell>
          <cell r="P351">
            <v>-6095.2</v>
          </cell>
          <cell r="Q351">
            <v>-5332.6</v>
          </cell>
          <cell r="R351">
            <v>-2497.8000000000002</v>
          </cell>
          <cell r="S351">
            <v>-4011.5</v>
          </cell>
          <cell r="T351">
            <v>-3059.7</v>
          </cell>
          <cell r="U351">
            <v>-5173.5</v>
          </cell>
          <cell r="V351">
            <v>-4959.6000000000004</v>
          </cell>
          <cell r="W351">
            <v>-3797</v>
          </cell>
          <cell r="X351">
            <v>-4923.2</v>
          </cell>
          <cell r="Y351">
            <v>-4799.3999999999996</v>
          </cell>
          <cell r="Z351">
            <v>-5470.1</v>
          </cell>
          <cell r="AA351">
            <v>-5136.5</v>
          </cell>
          <cell r="AB351">
            <v>-5484.9</v>
          </cell>
          <cell r="AC351">
            <v>-3961.2</v>
          </cell>
          <cell r="AD351">
            <v>-2084.6</v>
          </cell>
          <cell r="AE351">
            <v>-2953.3</v>
          </cell>
          <cell r="AF351">
            <v>-3454.1</v>
          </cell>
          <cell r="AG351">
            <v>-4275.5</v>
          </cell>
          <cell r="AH351">
            <v>-4286.5</v>
          </cell>
          <cell r="AJ351">
            <v>-4849.3</v>
          </cell>
        </row>
        <row r="352">
          <cell r="J352">
            <v>-22462.7</v>
          </cell>
          <cell r="K352">
            <v>-21429.3</v>
          </cell>
          <cell r="L352">
            <v>-23142.9</v>
          </cell>
          <cell r="M352">
            <v>-23948.9</v>
          </cell>
          <cell r="N352">
            <v>-24398.9</v>
          </cell>
          <cell r="O352">
            <v>-23572.799999999999</v>
          </cell>
          <cell r="P352">
            <v>-27807.7</v>
          </cell>
          <cell r="Q352">
            <v>-26563.5</v>
          </cell>
          <cell r="R352">
            <v>-27028.2</v>
          </cell>
          <cell r="S352">
            <v>-27362.3</v>
          </cell>
          <cell r="T352">
            <v>-25342</v>
          </cell>
          <cell r="U352">
            <v>-23567.4</v>
          </cell>
          <cell r="V352">
            <v>-26105.200000000001</v>
          </cell>
          <cell r="W352">
            <v>-25853.7</v>
          </cell>
          <cell r="X352">
            <v>-27238.2</v>
          </cell>
          <cell r="Y352">
            <v>-28400.2</v>
          </cell>
          <cell r="Z352">
            <v>-27711</v>
          </cell>
          <cell r="AA352">
            <v>-27605.5</v>
          </cell>
          <cell r="AB352">
            <v>-23125.9</v>
          </cell>
          <cell r="AC352">
            <v>-21681.1</v>
          </cell>
          <cell r="AD352">
            <v>-21264.3</v>
          </cell>
          <cell r="AE352">
            <v>-20770.3</v>
          </cell>
          <cell r="AF352">
            <v>-20179.8</v>
          </cell>
          <cell r="AG352">
            <v>-17535.599999999999</v>
          </cell>
          <cell r="AH352">
            <v>-18410.3</v>
          </cell>
          <cell r="AJ352">
            <v>-21429.3</v>
          </cell>
        </row>
        <row r="353">
          <cell r="J353">
            <v>-1621.3</v>
          </cell>
          <cell r="K353">
            <v>-1584.7</v>
          </cell>
          <cell r="L353">
            <v>-1610.3</v>
          </cell>
          <cell r="M353">
            <v>-1615.7</v>
          </cell>
          <cell r="N353">
            <v>-1544.7</v>
          </cell>
          <cell r="O353">
            <v>-1568.8</v>
          </cell>
          <cell r="P353">
            <v>-1800.1</v>
          </cell>
          <cell r="Q353">
            <v>-1790.1</v>
          </cell>
          <cell r="R353">
            <v>-1604.6</v>
          </cell>
          <cell r="S353">
            <v>-575.5</v>
          </cell>
          <cell r="T353">
            <v>-1802.1</v>
          </cell>
          <cell r="U353">
            <v>-1855.1</v>
          </cell>
          <cell r="V353">
            <v>-1789</v>
          </cell>
          <cell r="W353">
            <v>-1760.9</v>
          </cell>
          <cell r="X353">
            <v>-1776.1</v>
          </cell>
          <cell r="Y353">
            <v>-1810.4</v>
          </cell>
          <cell r="Z353">
            <v>-1739.2</v>
          </cell>
          <cell r="AA353">
            <v>-1745.2</v>
          </cell>
          <cell r="AB353">
            <v>-396.5</v>
          </cell>
          <cell r="AC353">
            <v>-370.9</v>
          </cell>
          <cell r="AD353">
            <v>-345.2</v>
          </cell>
          <cell r="AE353">
            <v>-302.60000000000002</v>
          </cell>
          <cell r="AF353">
            <v>-288.2</v>
          </cell>
          <cell r="AG353">
            <v>-265.10000000000002</v>
          </cell>
          <cell r="AH353">
            <v>-221.7</v>
          </cell>
          <cell r="AJ353">
            <v>-1584.7</v>
          </cell>
        </row>
        <row r="354">
          <cell r="J354">
            <v>-10514.8</v>
          </cell>
          <cell r="K354">
            <v>-10841.5</v>
          </cell>
          <cell r="L354">
            <v>-11865.8</v>
          </cell>
          <cell r="M354">
            <v>-13468.1</v>
          </cell>
          <cell r="N354">
            <v>-14516.7</v>
          </cell>
          <cell r="O354">
            <v>-15356.5</v>
          </cell>
          <cell r="P354">
            <v>-15647.4</v>
          </cell>
          <cell r="Q354">
            <v>-13137.5</v>
          </cell>
          <cell r="R354">
            <v>-12218.6</v>
          </cell>
          <cell r="S354">
            <v>-13990.3</v>
          </cell>
          <cell r="T354">
            <v>-11361.8</v>
          </cell>
          <cell r="U354">
            <v>-11472.4</v>
          </cell>
          <cell r="V354">
            <v>-11992.5</v>
          </cell>
          <cell r="W354">
            <v>-11898.7</v>
          </cell>
          <cell r="X354">
            <v>-13259.7</v>
          </cell>
          <cell r="Y354">
            <v>-15018.9</v>
          </cell>
          <cell r="Z354">
            <v>-15372.6</v>
          </cell>
          <cell r="AA354">
            <v>-17325.900000000001</v>
          </cell>
          <cell r="AB354">
            <v>-8397.6</v>
          </cell>
          <cell r="AC354">
            <v>-7600.4</v>
          </cell>
          <cell r="AD354">
            <v>-7218.9</v>
          </cell>
          <cell r="AE354">
            <v>-8032.7</v>
          </cell>
          <cell r="AF354">
            <v>-7023</v>
          </cell>
          <cell r="AG354">
            <v>-6550.2</v>
          </cell>
          <cell r="AH354">
            <v>-6524</v>
          </cell>
          <cell r="AJ354">
            <v>-10841.5</v>
          </cell>
        </row>
        <row r="355">
          <cell r="J355">
            <v>-284</v>
          </cell>
          <cell r="K355">
            <v>-271.89999999999998</v>
          </cell>
          <cell r="L355">
            <v>-290.2</v>
          </cell>
          <cell r="M355">
            <v>-302.39999999999998</v>
          </cell>
          <cell r="N355">
            <v>-302.10000000000002</v>
          </cell>
          <cell r="O355">
            <v>-347.8</v>
          </cell>
          <cell r="P355">
            <v>-394.2</v>
          </cell>
          <cell r="Q355">
            <v>-339.7</v>
          </cell>
          <cell r="R355">
            <v>-344.5</v>
          </cell>
          <cell r="S355">
            <v>-330.9</v>
          </cell>
          <cell r="T355">
            <v>-310.39999999999998</v>
          </cell>
          <cell r="U355">
            <v>-323.60000000000002</v>
          </cell>
          <cell r="V355">
            <v>-301.5</v>
          </cell>
          <cell r="W355">
            <v>-289.8</v>
          </cell>
          <cell r="X355">
            <v>-307.10000000000002</v>
          </cell>
          <cell r="Y355">
            <v>-338.8</v>
          </cell>
          <cell r="Z355">
            <v>-326.10000000000002</v>
          </cell>
          <cell r="AA355">
            <v>-388.6</v>
          </cell>
          <cell r="AB355">
            <v>-226.3</v>
          </cell>
          <cell r="AC355">
            <v>-189.7</v>
          </cell>
          <cell r="AD355">
            <v>-201.8</v>
          </cell>
          <cell r="AE355">
            <v>-162.9</v>
          </cell>
          <cell r="AF355">
            <v>-165.5</v>
          </cell>
          <cell r="AG355">
            <v>-172.1</v>
          </cell>
          <cell r="AH355">
            <v>-154.69999999999999</v>
          </cell>
          <cell r="AJ355">
            <v>-271.89999999999998</v>
          </cell>
        </row>
        <row r="356">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J356">
            <v>0</v>
          </cell>
        </row>
        <row r="357">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J357">
            <v>0</v>
          </cell>
        </row>
        <row r="358">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J358">
            <v>0</v>
          </cell>
        </row>
        <row r="360">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J360">
            <v>0</v>
          </cell>
        </row>
        <row r="361">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J361">
            <v>0</v>
          </cell>
        </row>
        <row r="362">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J362">
            <v>0</v>
          </cell>
        </row>
        <row r="363">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J363">
            <v>0</v>
          </cell>
        </row>
        <row r="364">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J364">
            <v>0</v>
          </cell>
        </row>
        <row r="365">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J365">
            <v>0</v>
          </cell>
        </row>
        <row r="366">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J366">
            <v>0</v>
          </cell>
        </row>
        <row r="367">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J367">
            <v>0</v>
          </cell>
        </row>
        <row r="368">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J368">
            <v>0</v>
          </cell>
        </row>
        <row r="369">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J369">
            <v>0</v>
          </cell>
        </row>
        <row r="370">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J370">
            <v>0</v>
          </cell>
        </row>
        <row r="371">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J371">
            <v>0</v>
          </cell>
        </row>
        <row r="373">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J373">
            <v>0</v>
          </cell>
        </row>
        <row r="374">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J374">
            <v>0</v>
          </cell>
        </row>
        <row r="375">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J375">
            <v>0</v>
          </cell>
        </row>
        <row r="376">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J376">
            <v>0</v>
          </cell>
        </row>
        <row r="377">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J377">
            <v>0</v>
          </cell>
        </row>
        <row r="378">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J378">
            <v>0</v>
          </cell>
        </row>
        <row r="379">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J379">
            <v>0</v>
          </cell>
        </row>
        <row r="380">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J380">
            <v>0</v>
          </cell>
        </row>
        <row r="381">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J381">
            <v>0</v>
          </cell>
        </row>
        <row r="382">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J382">
            <v>0</v>
          </cell>
        </row>
        <row r="383">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J383">
            <v>0</v>
          </cell>
        </row>
        <row r="384">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J384">
            <v>0</v>
          </cell>
        </row>
        <row r="386">
          <cell r="J386">
            <v>1296279.3999999999</v>
          </cell>
          <cell r="K386">
            <v>1325761.2</v>
          </cell>
          <cell r="L386">
            <v>1884620.9</v>
          </cell>
          <cell r="M386">
            <v>2024309.2</v>
          </cell>
          <cell r="N386">
            <v>2415926</v>
          </cell>
          <cell r="O386">
            <v>2897355.9</v>
          </cell>
          <cell r="P386">
            <v>1123930.7</v>
          </cell>
          <cell r="Q386">
            <v>764891.5</v>
          </cell>
          <cell r="R386">
            <v>583188.19999999995</v>
          </cell>
          <cell r="S386">
            <v>604261.19999999995</v>
          </cell>
          <cell r="T386">
            <v>645601.6</v>
          </cell>
          <cell r="U386">
            <v>664815.4</v>
          </cell>
          <cell r="V386">
            <v>536471.69999999995</v>
          </cell>
          <cell r="W386">
            <v>579594.69999999995</v>
          </cell>
          <cell r="X386">
            <v>825671.8</v>
          </cell>
          <cell r="Y386">
            <v>1032496.9</v>
          </cell>
          <cell r="Z386">
            <v>1117128.3</v>
          </cell>
          <cell r="AA386">
            <v>1368780.6</v>
          </cell>
          <cell r="AB386">
            <v>1081850.8999999999</v>
          </cell>
          <cell r="AC386">
            <v>719751</v>
          </cell>
          <cell r="AD386">
            <v>607807.1</v>
          </cell>
          <cell r="AE386">
            <v>593343.9</v>
          </cell>
          <cell r="AF386">
            <v>649558.69999999995</v>
          </cell>
          <cell r="AG386">
            <v>631979</v>
          </cell>
          <cell r="AH386">
            <v>577588.6</v>
          </cell>
          <cell r="AJ386">
            <v>1325761.2</v>
          </cell>
        </row>
        <row r="387">
          <cell r="J387">
            <v>0</v>
          </cell>
          <cell r="K387">
            <v>0</v>
          </cell>
          <cell r="L387">
            <v>0</v>
          </cell>
          <cell r="M387">
            <v>0</v>
          </cell>
          <cell r="N387">
            <v>0</v>
          </cell>
          <cell r="O387">
            <v>0</v>
          </cell>
          <cell r="P387">
            <v>1013791.2</v>
          </cell>
          <cell r="Q387">
            <v>709271.3</v>
          </cell>
          <cell r="R387">
            <v>542958.6</v>
          </cell>
          <cell r="S387">
            <v>559348.5</v>
          </cell>
          <cell r="T387">
            <v>592054.80000000005</v>
          </cell>
          <cell r="U387">
            <v>615326.9</v>
          </cell>
          <cell r="V387">
            <v>500599.1</v>
          </cell>
          <cell r="W387">
            <v>540802.9</v>
          </cell>
          <cell r="X387">
            <v>771444.1</v>
          </cell>
          <cell r="Y387">
            <v>940468.6</v>
          </cell>
          <cell r="Z387">
            <v>1015999.4</v>
          </cell>
          <cell r="AA387">
            <v>1252801.5</v>
          </cell>
          <cell r="AB387">
            <v>954517.3</v>
          </cell>
          <cell r="AC387">
            <v>665033.5</v>
          </cell>
          <cell r="AD387">
            <v>564774.19999999995</v>
          </cell>
          <cell r="AE387">
            <v>547471.30000000005</v>
          </cell>
          <cell r="AF387">
            <v>589159.4</v>
          </cell>
          <cell r="AG387">
            <v>583850.6</v>
          </cell>
          <cell r="AH387">
            <v>540698.4</v>
          </cell>
          <cell r="AJ387">
            <v>0</v>
          </cell>
        </row>
        <row r="388">
          <cell r="J388">
            <v>0</v>
          </cell>
          <cell r="K388">
            <v>0</v>
          </cell>
          <cell r="L388">
            <v>0</v>
          </cell>
          <cell r="M388">
            <v>0</v>
          </cell>
          <cell r="N388">
            <v>0</v>
          </cell>
          <cell r="O388">
            <v>0</v>
          </cell>
          <cell r="P388">
            <v>233923.4</v>
          </cell>
          <cell r="Q388">
            <v>178259.7</v>
          </cell>
          <cell r="R388">
            <v>177055.9</v>
          </cell>
          <cell r="S388">
            <v>200206.6</v>
          </cell>
          <cell r="T388">
            <v>191516.1</v>
          </cell>
          <cell r="U388">
            <v>199028.8</v>
          </cell>
          <cell r="V388">
            <v>195134</v>
          </cell>
          <cell r="W388">
            <v>170792.8</v>
          </cell>
          <cell r="X388">
            <v>189744.4</v>
          </cell>
          <cell r="Y388">
            <v>206368.8</v>
          </cell>
          <cell r="Z388">
            <v>209895.6</v>
          </cell>
          <cell r="AA388">
            <v>242502</v>
          </cell>
          <cell r="AB388">
            <v>230295.7</v>
          </cell>
          <cell r="AC388">
            <v>159414.79999999999</v>
          </cell>
          <cell r="AD388">
            <v>170324.5</v>
          </cell>
          <cell r="AE388">
            <v>191179.6</v>
          </cell>
          <cell r="AF388">
            <v>187421.4</v>
          </cell>
          <cell r="AG388">
            <v>191759.3</v>
          </cell>
          <cell r="AH388">
            <v>181008.3</v>
          </cell>
          <cell r="AJ388">
            <v>0</v>
          </cell>
        </row>
        <row r="389">
          <cell r="J389">
            <v>806360.90000000014</v>
          </cell>
          <cell r="K389">
            <v>739997.1</v>
          </cell>
          <cell r="L389">
            <v>796867.7</v>
          </cell>
          <cell r="M389">
            <v>837606.7</v>
          </cell>
          <cell r="N389">
            <v>912654.1</v>
          </cell>
          <cell r="O389">
            <v>1008369.8</v>
          </cell>
          <cell r="P389">
            <v>562228.69999999995</v>
          </cell>
          <cell r="Q389">
            <v>467307.5</v>
          </cell>
          <cell r="R389">
            <v>463218.6</v>
          </cell>
          <cell r="S389">
            <v>532249</v>
          </cell>
          <cell r="T389">
            <v>524545.5</v>
          </cell>
          <cell r="U389">
            <v>550006.1</v>
          </cell>
          <cell r="V389">
            <v>503996</v>
          </cell>
          <cell r="W389">
            <v>465480.9</v>
          </cell>
          <cell r="X389">
            <v>504928.7</v>
          </cell>
          <cell r="Y389">
            <v>550196.9</v>
          </cell>
          <cell r="Z389">
            <v>573764.19999999995</v>
          </cell>
          <cell r="AA389">
            <v>661897.80000000005</v>
          </cell>
          <cell r="AB389">
            <v>529526.19999999995</v>
          </cell>
          <cell r="AC389">
            <v>472651.8</v>
          </cell>
          <cell r="AD389">
            <v>451989.8</v>
          </cell>
          <cell r="AE389">
            <v>510335.2</v>
          </cell>
          <cell r="AF389">
            <v>542912.19999999995</v>
          </cell>
          <cell r="AG389">
            <v>538975.69999999995</v>
          </cell>
          <cell r="AH389">
            <v>479714.6</v>
          </cell>
          <cell r="AJ389">
            <v>739997.1</v>
          </cell>
        </row>
        <row r="390">
          <cell r="J390">
            <v>164105.19999999998</v>
          </cell>
          <cell r="K390">
            <v>165246.5</v>
          </cell>
          <cell r="L390">
            <v>171837.6</v>
          </cell>
          <cell r="M390">
            <v>166684.20000000001</v>
          </cell>
          <cell r="N390">
            <v>157808.79999999999</v>
          </cell>
          <cell r="O390">
            <v>164584.4</v>
          </cell>
          <cell r="P390">
            <v>160545.60000000001</v>
          </cell>
          <cell r="Q390">
            <v>140193.5</v>
          </cell>
          <cell r="R390">
            <v>65319</v>
          </cell>
          <cell r="S390">
            <v>104887.4</v>
          </cell>
          <cell r="T390">
            <v>80046.7</v>
          </cell>
          <cell r="U390">
            <v>136234.4</v>
          </cell>
          <cell r="V390">
            <v>130494.8</v>
          </cell>
          <cell r="W390">
            <v>99695.2</v>
          </cell>
          <cell r="X390">
            <v>127483.1</v>
          </cell>
          <cell r="Y390">
            <v>125612.3</v>
          </cell>
          <cell r="Z390">
            <v>144363.70000000001</v>
          </cell>
          <cell r="AA390">
            <v>136818.70000000001</v>
          </cell>
          <cell r="AB390">
            <v>202337.3</v>
          </cell>
          <cell r="AC390">
            <v>150608.4</v>
          </cell>
          <cell r="AD390">
            <v>78722.8</v>
          </cell>
          <cell r="AE390">
            <v>110354.2</v>
          </cell>
          <cell r="AF390">
            <v>130074.4</v>
          </cell>
          <cell r="AG390">
            <v>158676.4</v>
          </cell>
          <cell r="AH390">
            <v>175170.7</v>
          </cell>
          <cell r="AJ390">
            <v>165246.5</v>
          </cell>
        </row>
        <row r="391">
          <cell r="J391">
            <v>801403.00000000012</v>
          </cell>
          <cell r="K391">
            <v>763335.8</v>
          </cell>
          <cell r="L391">
            <v>818096.4</v>
          </cell>
          <cell r="M391">
            <v>837081.3</v>
          </cell>
          <cell r="N391">
            <v>879807.2</v>
          </cell>
          <cell r="O391">
            <v>829691.9</v>
          </cell>
          <cell r="P391">
            <v>762936.6</v>
          </cell>
          <cell r="Q391">
            <v>726213.3</v>
          </cell>
          <cell r="R391">
            <v>729068.5</v>
          </cell>
          <cell r="S391">
            <v>737530.8</v>
          </cell>
          <cell r="T391">
            <v>684230.9</v>
          </cell>
          <cell r="U391">
            <v>628811.30000000005</v>
          </cell>
          <cell r="V391">
            <v>702173.3</v>
          </cell>
          <cell r="W391">
            <v>701468.1</v>
          </cell>
          <cell r="X391">
            <v>739766.5</v>
          </cell>
          <cell r="Y391">
            <v>775436.9</v>
          </cell>
          <cell r="Z391">
            <v>763423.1</v>
          </cell>
          <cell r="AA391">
            <v>759810.9</v>
          </cell>
          <cell r="AB391">
            <v>784121</v>
          </cell>
          <cell r="AC391">
            <v>738290.9</v>
          </cell>
          <cell r="AD391">
            <v>750105.3</v>
          </cell>
          <cell r="AE391">
            <v>731052.1</v>
          </cell>
          <cell r="AF391">
            <v>702646</v>
          </cell>
          <cell r="AG391">
            <v>639276.80000000005</v>
          </cell>
          <cell r="AH391">
            <v>696801.5</v>
          </cell>
          <cell r="AJ391">
            <v>763335.8</v>
          </cell>
        </row>
        <row r="392">
          <cell r="J392">
            <v>38699.1</v>
          </cell>
          <cell r="K392">
            <v>38044.1</v>
          </cell>
          <cell r="L392">
            <v>38857.599999999999</v>
          </cell>
          <cell r="M392">
            <v>39414.699999999997</v>
          </cell>
          <cell r="N392">
            <v>37883.5</v>
          </cell>
          <cell r="O392">
            <v>39056.9</v>
          </cell>
          <cell r="P392">
            <v>38249.9</v>
          </cell>
          <cell r="Q392">
            <v>37764.5</v>
          </cell>
          <cell r="R392">
            <v>34032.300000000003</v>
          </cell>
          <cell r="S392">
            <v>14096.8</v>
          </cell>
          <cell r="T392">
            <v>37132.800000000003</v>
          </cell>
          <cell r="U392">
            <v>37970.5</v>
          </cell>
          <cell r="V392">
            <v>36538.400000000001</v>
          </cell>
          <cell r="W392">
            <v>36183</v>
          </cell>
          <cell r="X392">
            <v>36683</v>
          </cell>
          <cell r="Y392">
            <v>37821.699999999997</v>
          </cell>
          <cell r="Z392">
            <v>36312.699999999997</v>
          </cell>
          <cell r="AA392">
            <v>37023.699999999997</v>
          </cell>
          <cell r="AB392">
            <v>34070.5</v>
          </cell>
          <cell r="AC392">
            <v>34269.9</v>
          </cell>
          <cell r="AD392">
            <v>33430.1</v>
          </cell>
          <cell r="AE392">
            <v>33384.199999999997</v>
          </cell>
          <cell r="AF392">
            <v>31422.7</v>
          </cell>
          <cell r="AG392">
            <v>31843.1</v>
          </cell>
          <cell r="AH392">
            <v>30756.2</v>
          </cell>
          <cell r="AJ392">
            <v>38044.1</v>
          </cell>
        </row>
        <row r="393">
          <cell r="J393">
            <v>344995.8</v>
          </cell>
          <cell r="K393">
            <v>350737</v>
          </cell>
          <cell r="L393">
            <v>377360.2</v>
          </cell>
          <cell r="M393">
            <v>426303.7</v>
          </cell>
          <cell r="N393">
            <v>473008.2</v>
          </cell>
          <cell r="O393">
            <v>493657.5</v>
          </cell>
          <cell r="P393">
            <v>395922.3</v>
          </cell>
          <cell r="Q393">
            <v>329515.90000000002</v>
          </cell>
          <cell r="R393">
            <v>304976.8</v>
          </cell>
          <cell r="S393">
            <v>351623.1</v>
          </cell>
          <cell r="T393">
            <v>284636.7</v>
          </cell>
          <cell r="U393">
            <v>287802.40000000002</v>
          </cell>
          <cell r="V393">
            <v>303719.3</v>
          </cell>
          <cell r="W393">
            <v>300783</v>
          </cell>
          <cell r="X393">
            <v>332848.7</v>
          </cell>
          <cell r="Y393">
            <v>379975.1</v>
          </cell>
          <cell r="Z393">
            <v>392604.4</v>
          </cell>
          <cell r="AA393">
            <v>444501.7</v>
          </cell>
          <cell r="AB393">
            <v>344937.7</v>
          </cell>
          <cell r="AC393">
            <v>322228.5</v>
          </cell>
          <cell r="AD393">
            <v>302050.3</v>
          </cell>
          <cell r="AE393">
            <v>333084.5</v>
          </cell>
          <cell r="AF393">
            <v>298609.40000000002</v>
          </cell>
          <cell r="AG393">
            <v>275859.8</v>
          </cell>
          <cell r="AH393">
            <v>306490.59999999998</v>
          </cell>
          <cell r="AJ393">
            <v>350737</v>
          </cell>
        </row>
        <row r="394">
          <cell r="J394">
            <v>9178.3000000000011</v>
          </cell>
          <cell r="K394">
            <v>8723.9</v>
          </cell>
          <cell r="L394">
            <v>9300.5</v>
          </cell>
          <cell r="M394">
            <v>9523.7000000000007</v>
          </cell>
          <cell r="N394">
            <v>9824</v>
          </cell>
          <cell r="O394">
            <v>11245.1</v>
          </cell>
          <cell r="P394">
            <v>9972</v>
          </cell>
          <cell r="Q394">
            <v>8478.7000000000007</v>
          </cell>
          <cell r="R394">
            <v>8627.9</v>
          </cell>
          <cell r="S394">
            <v>8356.5</v>
          </cell>
          <cell r="T394">
            <v>7820.9</v>
          </cell>
          <cell r="U394">
            <v>8192</v>
          </cell>
          <cell r="V394">
            <v>7555.5</v>
          </cell>
          <cell r="W394">
            <v>7281.6</v>
          </cell>
          <cell r="X394">
            <v>7754.5</v>
          </cell>
          <cell r="Y394">
            <v>8539.1</v>
          </cell>
          <cell r="Z394">
            <v>8316.6</v>
          </cell>
          <cell r="AA394">
            <v>10013.6</v>
          </cell>
          <cell r="AB394">
            <v>8401.2999999999993</v>
          </cell>
          <cell r="AC394">
            <v>7080.6</v>
          </cell>
          <cell r="AD394">
            <v>7548.8</v>
          </cell>
          <cell r="AE394">
            <v>5992.5</v>
          </cell>
          <cell r="AF394">
            <v>6198.5</v>
          </cell>
          <cell r="AG394">
            <v>6397.4</v>
          </cell>
          <cell r="AH394">
            <v>6331.8</v>
          </cell>
          <cell r="AJ394">
            <v>8723.9</v>
          </cell>
        </row>
        <row r="395">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J395">
            <v>0</v>
          </cell>
        </row>
        <row r="396">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J396">
            <v>0</v>
          </cell>
        </row>
        <row r="397">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J397">
            <v>0</v>
          </cell>
        </row>
        <row r="399">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J399">
            <v>0</v>
          </cell>
        </row>
        <row r="400">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J400">
            <v>0</v>
          </cell>
        </row>
        <row r="402">
          <cell r="J402">
            <v>0</v>
          </cell>
          <cell r="K402">
            <v>0</v>
          </cell>
          <cell r="L402">
            <v>0</v>
          </cell>
          <cell r="M402">
            <v>0</v>
          </cell>
          <cell r="N402">
            <v>0</v>
          </cell>
          <cell r="O402">
            <v>0</v>
          </cell>
          <cell r="P402">
            <v>-3921</v>
          </cell>
          <cell r="Q402">
            <v>19797.2</v>
          </cell>
          <cell r="R402">
            <v>19737.7</v>
          </cell>
          <cell r="S402">
            <v>11992.6</v>
          </cell>
          <cell r="T402">
            <v>-8783.7000000000007</v>
          </cell>
          <cell r="U402">
            <v>11271.1</v>
          </cell>
          <cell r="V402">
            <v>13061.9</v>
          </cell>
          <cell r="W402">
            <v>11847.4</v>
          </cell>
          <cell r="X402">
            <v>12836.8</v>
          </cell>
          <cell r="Y402">
            <v>11515.5</v>
          </cell>
          <cell r="Z402">
            <v>11173.4</v>
          </cell>
          <cell r="AA402">
            <v>10662.7</v>
          </cell>
          <cell r="AB402">
            <v>65281.1</v>
          </cell>
          <cell r="AC402">
            <v>12503.1</v>
          </cell>
          <cell r="AD402">
            <v>12713.6</v>
          </cell>
          <cell r="AE402">
            <v>25557.3</v>
          </cell>
          <cell r="AF402">
            <v>15321</v>
          </cell>
          <cell r="AG402">
            <v>12260.5</v>
          </cell>
          <cell r="AH402">
            <v>14768.9</v>
          </cell>
          <cell r="AJ402">
            <v>0</v>
          </cell>
        </row>
        <row r="404">
          <cell r="J404">
            <v>1321903.2</v>
          </cell>
          <cell r="K404">
            <v>1064411.8999999999</v>
          </cell>
          <cell r="L404">
            <v>-2107388.2000000002</v>
          </cell>
          <cell r="M404">
            <v>52582.9</v>
          </cell>
          <cell r="N404">
            <v>-3356944</v>
          </cell>
          <cell r="O404">
            <v>-2260152.7000000002</v>
          </cell>
          <cell r="P404">
            <v>3782861.3</v>
          </cell>
          <cell r="Q404">
            <v>3330182.1</v>
          </cell>
          <cell r="R404">
            <v>1282169.6000000001</v>
          </cell>
          <cell r="S404">
            <v>-2005921.5</v>
          </cell>
          <cell r="T404">
            <v>342634.2</v>
          </cell>
          <cell r="U404">
            <v>865649.8</v>
          </cell>
          <cell r="V404">
            <v>-740055</v>
          </cell>
          <cell r="W404">
            <v>-1081304.7</v>
          </cell>
          <cell r="X404">
            <v>-2855529.1</v>
          </cell>
          <cell r="Y404">
            <v>-979336.3</v>
          </cell>
          <cell r="Z404">
            <v>-2510171.5</v>
          </cell>
          <cell r="AA404">
            <v>905465.6</v>
          </cell>
          <cell r="AB404">
            <v>3908644.9</v>
          </cell>
          <cell r="AC404">
            <v>2489952.9</v>
          </cell>
          <cell r="AD404">
            <v>1867514.3</v>
          </cell>
          <cell r="AE404">
            <v>-1403851.8</v>
          </cell>
          <cell r="AF404">
            <v>-66635</v>
          </cell>
          <cell r="AG404">
            <v>524532.19999999995</v>
          </cell>
          <cell r="AH404">
            <v>-654843</v>
          </cell>
          <cell r="AJ404">
            <v>1064411.8999999999</v>
          </cell>
        </row>
        <row r="405">
          <cell r="J405">
            <v>0</v>
          </cell>
          <cell r="K405">
            <v>0</v>
          </cell>
          <cell r="L405">
            <v>0</v>
          </cell>
          <cell r="M405">
            <v>0</v>
          </cell>
          <cell r="N405">
            <v>0</v>
          </cell>
          <cell r="O405">
            <v>0</v>
          </cell>
          <cell r="P405">
            <v>3153852.5</v>
          </cell>
          <cell r="Q405">
            <v>3054839.1</v>
          </cell>
          <cell r="R405">
            <v>1213254.1000000001</v>
          </cell>
          <cell r="S405">
            <v>-1777336.3</v>
          </cell>
          <cell r="T405">
            <v>253060.2</v>
          </cell>
          <cell r="U405">
            <v>751130</v>
          </cell>
          <cell r="V405">
            <v>-677459.7</v>
          </cell>
          <cell r="W405">
            <v>-1037868</v>
          </cell>
          <cell r="X405">
            <v>-2409529.6</v>
          </cell>
          <cell r="Y405">
            <v>-880218.1</v>
          </cell>
          <cell r="Z405">
            <v>-2373836.9</v>
          </cell>
          <cell r="AA405">
            <v>1032778.5</v>
          </cell>
          <cell r="AB405">
            <v>2984072.4</v>
          </cell>
          <cell r="AC405">
            <v>2261720.2999999998</v>
          </cell>
          <cell r="AD405">
            <v>1769201.7</v>
          </cell>
          <cell r="AE405">
            <v>-1167822.8</v>
          </cell>
          <cell r="AF405">
            <v>-171610</v>
          </cell>
          <cell r="AG405">
            <v>398453.2</v>
          </cell>
          <cell r="AH405">
            <v>-515002.5</v>
          </cell>
          <cell r="AJ405">
            <v>0</v>
          </cell>
        </row>
        <row r="406">
          <cell r="J406">
            <v>0</v>
          </cell>
          <cell r="K406">
            <v>0</v>
          </cell>
          <cell r="L406">
            <v>0</v>
          </cell>
          <cell r="M406">
            <v>0</v>
          </cell>
          <cell r="N406">
            <v>0</v>
          </cell>
          <cell r="O406">
            <v>0</v>
          </cell>
          <cell r="P406">
            <v>561406.19999999995</v>
          </cell>
          <cell r="Q406">
            <v>228241.8</v>
          </cell>
          <cell r="R406">
            <v>210041.1</v>
          </cell>
          <cell r="S406">
            <v>-377401.7</v>
          </cell>
          <cell r="T406">
            <v>63284.2</v>
          </cell>
          <cell r="U406">
            <v>-57943.7</v>
          </cell>
          <cell r="V406">
            <v>141426.29999999999</v>
          </cell>
          <cell r="W406">
            <v>188651.3</v>
          </cell>
          <cell r="X406">
            <v>-247119.2</v>
          </cell>
          <cell r="Y406">
            <v>-80311.199999999997</v>
          </cell>
          <cell r="Z406">
            <v>-287330.3</v>
          </cell>
          <cell r="AA406">
            <v>-222371.6</v>
          </cell>
          <cell r="AB406">
            <v>662790.40000000002</v>
          </cell>
          <cell r="AC406">
            <v>11269.1</v>
          </cell>
          <cell r="AD406">
            <v>254834.5</v>
          </cell>
          <cell r="AE406">
            <v>-208411.9</v>
          </cell>
          <cell r="AF406">
            <v>-111919.3</v>
          </cell>
          <cell r="AG406">
            <v>87587.199999999997</v>
          </cell>
          <cell r="AH406">
            <v>160149.79999999999</v>
          </cell>
          <cell r="AJ406">
            <v>0</v>
          </cell>
        </row>
        <row r="407">
          <cell r="J407">
            <v>827801.3</v>
          </cell>
          <cell r="K407">
            <v>600662.30000000005</v>
          </cell>
          <cell r="L407">
            <v>-866391.9</v>
          </cell>
          <cell r="M407">
            <v>20474.7</v>
          </cell>
          <cell r="N407">
            <v>-1200788.5</v>
          </cell>
          <cell r="O407">
            <v>-752318.1</v>
          </cell>
          <cell r="P407">
            <v>804792</v>
          </cell>
          <cell r="Q407">
            <v>654269.4</v>
          </cell>
          <cell r="R407">
            <v>669825.4</v>
          </cell>
          <cell r="S407">
            <v>-1359846</v>
          </cell>
          <cell r="T407">
            <v>109202.8</v>
          </cell>
          <cell r="U407">
            <v>185944.6</v>
          </cell>
          <cell r="V407">
            <v>135611</v>
          </cell>
          <cell r="W407">
            <v>760910.2</v>
          </cell>
          <cell r="X407">
            <v>-752247.4</v>
          </cell>
          <cell r="Y407">
            <v>-309954</v>
          </cell>
          <cell r="Z407">
            <v>-954546.5</v>
          </cell>
          <cell r="AA407">
            <v>356728.1</v>
          </cell>
          <cell r="AB407">
            <v>158250.20000000001</v>
          </cell>
          <cell r="AC407">
            <v>656779.30000000005</v>
          </cell>
          <cell r="AD407">
            <v>684652.9</v>
          </cell>
          <cell r="AE407">
            <v>-1000600.7</v>
          </cell>
          <cell r="AF407">
            <v>-264495.09999999998</v>
          </cell>
          <cell r="AG407">
            <v>556528.9</v>
          </cell>
          <cell r="AH407">
            <v>232940.5</v>
          </cell>
          <cell r="AJ407">
            <v>600662.30000000005</v>
          </cell>
        </row>
        <row r="408">
          <cell r="J408">
            <v>186818.3</v>
          </cell>
          <cell r="K408">
            <v>147131.9</v>
          </cell>
          <cell r="L408">
            <v>-201340.6</v>
          </cell>
          <cell r="M408">
            <v>4541.7</v>
          </cell>
          <cell r="N408">
            <v>-231107.4</v>
          </cell>
          <cell r="O408">
            <v>-137531.9</v>
          </cell>
          <cell r="P408">
            <v>139139.1</v>
          </cell>
          <cell r="Q408">
            <v>1116874.7</v>
          </cell>
          <cell r="R408">
            <v>-152697.4</v>
          </cell>
          <cell r="S408">
            <v>-15302.7</v>
          </cell>
          <cell r="T408">
            <v>-547967.1</v>
          </cell>
          <cell r="U408">
            <v>-49599.199999999997</v>
          </cell>
          <cell r="V408">
            <v>309169.2</v>
          </cell>
          <cell r="W408">
            <v>13272.1</v>
          </cell>
          <cell r="X408">
            <v>-114309.4</v>
          </cell>
          <cell r="Y408">
            <v>-224581.4</v>
          </cell>
          <cell r="Z408">
            <v>53054.5</v>
          </cell>
          <cell r="AA408">
            <v>-385078.6</v>
          </cell>
          <cell r="AB408">
            <v>535158.9</v>
          </cell>
          <cell r="AC408">
            <v>1194128.5</v>
          </cell>
          <cell r="AD408">
            <v>-106096.3</v>
          </cell>
          <cell r="AE408">
            <v>-382168.1</v>
          </cell>
          <cell r="AF408">
            <v>-464055.9</v>
          </cell>
          <cell r="AG408">
            <v>-271135.90000000002</v>
          </cell>
          <cell r="AH408">
            <v>34161.699999999997</v>
          </cell>
          <cell r="AJ408">
            <v>147131.9</v>
          </cell>
        </row>
        <row r="409">
          <cell r="J409">
            <v>956312.1</v>
          </cell>
          <cell r="K409">
            <v>729041.8</v>
          </cell>
          <cell r="L409">
            <v>-1065249.3</v>
          </cell>
          <cell r="M409">
            <v>25015.599999999999</v>
          </cell>
          <cell r="N409">
            <v>-1408480.3</v>
          </cell>
          <cell r="O409">
            <v>-742397.5</v>
          </cell>
          <cell r="P409">
            <v>-114513.1</v>
          </cell>
          <cell r="Q409">
            <v>1639003.8</v>
          </cell>
          <cell r="R409">
            <v>2163260.6</v>
          </cell>
          <cell r="S409">
            <v>-1628652.1</v>
          </cell>
          <cell r="T409">
            <v>1466214.2</v>
          </cell>
          <cell r="U409">
            <v>-1616322.7</v>
          </cell>
          <cell r="V409">
            <v>-575174.6</v>
          </cell>
          <cell r="W409">
            <v>1383943.8</v>
          </cell>
          <cell r="X409">
            <v>-1142542.2</v>
          </cell>
          <cell r="Y409">
            <v>-27305.3</v>
          </cell>
          <cell r="Z409">
            <v>107290.4</v>
          </cell>
          <cell r="AA409">
            <v>-1212669.2</v>
          </cell>
          <cell r="AB409">
            <v>-664144.5</v>
          </cell>
          <cell r="AC409">
            <v>1198016.6000000001</v>
          </cell>
          <cell r="AD409">
            <v>2830586.4</v>
          </cell>
          <cell r="AE409">
            <v>-761778.2</v>
          </cell>
          <cell r="AF409">
            <v>912376.1</v>
          </cell>
          <cell r="AG409">
            <v>-1567350.5</v>
          </cell>
          <cell r="AH409">
            <v>-621098.1</v>
          </cell>
          <cell r="AJ409">
            <v>729041.8</v>
          </cell>
        </row>
        <row r="410">
          <cell r="J410">
            <v>12182.4</v>
          </cell>
          <cell r="K410">
            <v>10069.700000000001</v>
          </cell>
          <cell r="L410">
            <v>-14766.3</v>
          </cell>
          <cell r="M410">
            <v>378.8</v>
          </cell>
          <cell r="N410">
            <v>-19299.099999999999</v>
          </cell>
          <cell r="O410">
            <v>-12683.1</v>
          </cell>
          <cell r="P410">
            <v>1552</v>
          </cell>
          <cell r="Q410">
            <v>31631.7</v>
          </cell>
          <cell r="R410">
            <v>47078.8</v>
          </cell>
          <cell r="S410">
            <v>-19521.5</v>
          </cell>
          <cell r="T410">
            <v>15404.1</v>
          </cell>
          <cell r="U410">
            <v>-1072</v>
          </cell>
          <cell r="V410">
            <v>-12680.5</v>
          </cell>
          <cell r="W410">
            <v>15518.2</v>
          </cell>
          <cell r="X410">
            <v>-26594.7</v>
          </cell>
          <cell r="Y410">
            <v>6090</v>
          </cell>
          <cell r="Z410">
            <v>-21896.5</v>
          </cell>
          <cell r="AA410">
            <v>-28051.1</v>
          </cell>
          <cell r="AB410">
            <v>-10941.1</v>
          </cell>
          <cell r="AC410">
            <v>30600.6</v>
          </cell>
          <cell r="AD410">
            <v>60400.4</v>
          </cell>
          <cell r="AE410">
            <v>-8411.5</v>
          </cell>
          <cell r="AF410">
            <v>5906.3</v>
          </cell>
          <cell r="AG410">
            <v>7372.5</v>
          </cell>
          <cell r="AH410">
            <v>-14628.9</v>
          </cell>
          <cell r="AJ410">
            <v>10069.700000000001</v>
          </cell>
        </row>
        <row r="411">
          <cell r="J411">
            <v>358148.3</v>
          </cell>
          <cell r="K411">
            <v>284392.40000000002</v>
          </cell>
          <cell r="L411">
            <v>-407879.4</v>
          </cell>
          <cell r="M411">
            <v>10657.9</v>
          </cell>
          <cell r="N411">
            <v>-640140.30000000005</v>
          </cell>
          <cell r="O411">
            <v>-377171.4</v>
          </cell>
          <cell r="P411">
            <v>584049.5</v>
          </cell>
          <cell r="Q411">
            <v>794481.1</v>
          </cell>
          <cell r="R411">
            <v>346743.9</v>
          </cell>
          <cell r="S411">
            <v>-177536.9</v>
          </cell>
          <cell r="T411">
            <v>172574</v>
          </cell>
          <cell r="U411">
            <v>-470815.2</v>
          </cell>
          <cell r="V411">
            <v>-95413.7</v>
          </cell>
          <cell r="W411">
            <v>423705.3</v>
          </cell>
          <cell r="X411">
            <v>-745912.8</v>
          </cell>
          <cell r="Y411">
            <v>-217541.5</v>
          </cell>
          <cell r="Z411">
            <v>-534666.80000000005</v>
          </cell>
          <cell r="AA411">
            <v>96352.9</v>
          </cell>
          <cell r="AB411">
            <v>-81292.3</v>
          </cell>
          <cell r="AC411">
            <v>547456.30000000005</v>
          </cell>
          <cell r="AD411">
            <v>550410.5</v>
          </cell>
          <cell r="AE411">
            <v>71265.8</v>
          </cell>
          <cell r="AF411">
            <v>99672</v>
          </cell>
          <cell r="AG411">
            <v>-391749.3</v>
          </cell>
          <cell r="AH411">
            <v>-126864.4</v>
          </cell>
          <cell r="AJ411">
            <v>284392.40000000002</v>
          </cell>
        </row>
        <row r="412">
          <cell r="J412">
            <v>9261.2000000000007</v>
          </cell>
          <cell r="K412">
            <v>6959.2</v>
          </cell>
          <cell r="L412">
            <v>-10212.6</v>
          </cell>
          <cell r="M412">
            <v>235.6</v>
          </cell>
          <cell r="N412">
            <v>-13246.8</v>
          </cell>
          <cell r="O412">
            <v>-8688.1</v>
          </cell>
          <cell r="P412">
            <v>14086.4</v>
          </cell>
          <cell r="Q412">
            <v>10204</v>
          </cell>
          <cell r="R412">
            <v>21950.5</v>
          </cell>
          <cell r="S412">
            <v>-15345.1</v>
          </cell>
          <cell r="T412">
            <v>1384.3</v>
          </cell>
          <cell r="U412">
            <v>2599.5</v>
          </cell>
          <cell r="V412">
            <v>-1285.8</v>
          </cell>
          <cell r="W412">
            <v>10197.9</v>
          </cell>
          <cell r="X412">
            <v>-12295.9</v>
          </cell>
          <cell r="Y412">
            <v>-626.29999999999995</v>
          </cell>
          <cell r="Z412">
            <v>-18691.8</v>
          </cell>
          <cell r="AA412">
            <v>-6945.3</v>
          </cell>
          <cell r="AB412">
            <v>6683.4</v>
          </cell>
          <cell r="AC412">
            <v>1930.8</v>
          </cell>
          <cell r="AD412">
            <v>41186.6</v>
          </cell>
          <cell r="AE412">
            <v>-9384.7999999999993</v>
          </cell>
          <cell r="AF412">
            <v>-6275.7</v>
          </cell>
          <cell r="AG412">
            <v>-1130.4000000000001</v>
          </cell>
          <cell r="AH412">
            <v>-592.1</v>
          </cell>
          <cell r="AJ412">
            <v>6959.2</v>
          </cell>
        </row>
        <row r="413">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J413">
            <v>0</v>
          </cell>
        </row>
        <row r="414">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J414">
            <v>0</v>
          </cell>
        </row>
        <row r="415">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J415">
            <v>0</v>
          </cell>
        </row>
        <row r="417">
          <cell r="J417">
            <v>79280.600000000006</v>
          </cell>
          <cell r="K417">
            <v>86994.6</v>
          </cell>
          <cell r="L417">
            <v>-88298.6</v>
          </cell>
          <cell r="M417">
            <v>18052.099999999999</v>
          </cell>
          <cell r="N417">
            <v>-172131.8</v>
          </cell>
          <cell r="O417">
            <v>-147753.79999999999</v>
          </cell>
          <cell r="P417">
            <v>169136.6</v>
          </cell>
          <cell r="Q417">
            <v>152849.70000000001</v>
          </cell>
          <cell r="R417">
            <v>55601.8</v>
          </cell>
          <cell r="S417">
            <v>-99455.5</v>
          </cell>
          <cell r="T417">
            <v>18952.8</v>
          </cell>
          <cell r="U417">
            <v>42384.1</v>
          </cell>
          <cell r="V417">
            <v>-40905.199999999997</v>
          </cell>
          <cell r="W417">
            <v>-53639.1</v>
          </cell>
          <cell r="X417">
            <v>-131836.9</v>
          </cell>
          <cell r="Y417">
            <v>-32565.200000000001</v>
          </cell>
          <cell r="Z417">
            <v>-110906.1</v>
          </cell>
          <cell r="AA417">
            <v>46248.9</v>
          </cell>
          <cell r="AB417">
            <v>176534.9</v>
          </cell>
          <cell r="AC417">
            <v>109136</v>
          </cell>
          <cell r="AD417">
            <v>85606</v>
          </cell>
          <cell r="AE417">
            <v>-69338.7</v>
          </cell>
          <cell r="AF417">
            <v>-117.7</v>
          </cell>
          <cell r="AG417">
            <v>25845.3</v>
          </cell>
          <cell r="AH417">
            <v>-39457.599999999999</v>
          </cell>
          <cell r="AJ417">
            <v>86994.6</v>
          </cell>
        </row>
        <row r="418">
          <cell r="J418">
            <v>0</v>
          </cell>
          <cell r="K418">
            <v>0</v>
          </cell>
          <cell r="L418">
            <v>0</v>
          </cell>
          <cell r="M418">
            <v>0</v>
          </cell>
          <cell r="N418">
            <v>0</v>
          </cell>
          <cell r="O418">
            <v>0</v>
          </cell>
          <cell r="P418">
            <v>139252.29999999999</v>
          </cell>
          <cell r="Q418">
            <v>141163</v>
          </cell>
          <cell r="R418">
            <v>52871.4</v>
          </cell>
          <cell r="S418">
            <v>-88867.199999999997</v>
          </cell>
          <cell r="T418">
            <v>13974.7</v>
          </cell>
          <cell r="U418">
            <v>37262.300000000003</v>
          </cell>
          <cell r="V418">
            <v>-37630.199999999997</v>
          </cell>
          <cell r="W418">
            <v>-52388.800000000003</v>
          </cell>
          <cell r="X418">
            <v>-109432.2</v>
          </cell>
          <cell r="Y418">
            <v>-29802.9</v>
          </cell>
          <cell r="Z418">
            <v>-105294.5</v>
          </cell>
          <cell r="AA418">
            <v>53198.2</v>
          </cell>
          <cell r="AB418">
            <v>132469.79999999999</v>
          </cell>
          <cell r="AC418">
            <v>100180.1</v>
          </cell>
          <cell r="AD418">
            <v>81259.600000000006</v>
          </cell>
          <cell r="AE418">
            <v>-58079</v>
          </cell>
          <cell r="AF418">
            <v>-6066.3</v>
          </cell>
          <cell r="AG418">
            <v>19060</v>
          </cell>
          <cell r="AH418">
            <v>-32211.9</v>
          </cell>
          <cell r="AJ418">
            <v>0</v>
          </cell>
        </row>
        <row r="419">
          <cell r="J419">
            <v>0</v>
          </cell>
          <cell r="K419">
            <v>0</v>
          </cell>
          <cell r="L419">
            <v>0</v>
          </cell>
          <cell r="M419">
            <v>0</v>
          </cell>
          <cell r="N419">
            <v>0</v>
          </cell>
          <cell r="O419">
            <v>0</v>
          </cell>
          <cell r="P419">
            <v>30239.8</v>
          </cell>
          <cell r="Q419">
            <v>7316.8</v>
          </cell>
          <cell r="R419">
            <v>13407.3</v>
          </cell>
          <cell r="S419">
            <v>-16792.8</v>
          </cell>
          <cell r="T419">
            <v>1411.2</v>
          </cell>
          <cell r="U419">
            <v>-2517.6</v>
          </cell>
          <cell r="V419">
            <v>4802.5</v>
          </cell>
          <cell r="W419">
            <v>11027.6</v>
          </cell>
          <cell r="X419">
            <v>-13177.6</v>
          </cell>
          <cell r="Y419">
            <v>-5785.7</v>
          </cell>
          <cell r="Z419">
            <v>-12242.9</v>
          </cell>
          <cell r="AA419">
            <v>-11363</v>
          </cell>
          <cell r="AB419">
            <v>35822</v>
          </cell>
          <cell r="AC419">
            <v>-1927.6</v>
          </cell>
          <cell r="AD419">
            <v>14582.8</v>
          </cell>
          <cell r="AE419">
            <v>-9709.4</v>
          </cell>
          <cell r="AF419">
            <v>-4395.8</v>
          </cell>
          <cell r="AG419">
            <v>3639.8</v>
          </cell>
          <cell r="AH419">
            <v>6834.3</v>
          </cell>
          <cell r="AJ419">
            <v>0</v>
          </cell>
        </row>
        <row r="420">
          <cell r="J420">
            <v>50723.4</v>
          </cell>
          <cell r="K420">
            <v>27559.4</v>
          </cell>
          <cell r="L420">
            <v>-52947.6</v>
          </cell>
          <cell r="M420">
            <v>10385.9</v>
          </cell>
          <cell r="N420">
            <v>-58963.6</v>
          </cell>
          <cell r="O420">
            <v>-48554.1</v>
          </cell>
          <cell r="P420">
            <v>33509</v>
          </cell>
          <cell r="Q420">
            <v>27738.799999999999</v>
          </cell>
          <cell r="R420">
            <v>38905.599999999999</v>
          </cell>
          <cell r="S420">
            <v>-67436.600000000006</v>
          </cell>
          <cell r="T420">
            <v>7831.8</v>
          </cell>
          <cell r="U420">
            <v>11874.6</v>
          </cell>
          <cell r="V420">
            <v>-60.6</v>
          </cell>
          <cell r="W420">
            <v>39718.9</v>
          </cell>
          <cell r="X420">
            <v>-42938.6</v>
          </cell>
          <cell r="Y420">
            <v>-17058.599999999999</v>
          </cell>
          <cell r="Z420">
            <v>-42497</v>
          </cell>
          <cell r="AA420">
            <v>25042.7</v>
          </cell>
          <cell r="AB420">
            <v>-7.4</v>
          </cell>
          <cell r="AC420">
            <v>24374.9</v>
          </cell>
          <cell r="AD420">
            <v>40323.4</v>
          </cell>
          <cell r="AE420">
            <v>-45226.7</v>
          </cell>
          <cell r="AF420">
            <v>-13768.6</v>
          </cell>
          <cell r="AG420">
            <v>30220</v>
          </cell>
          <cell r="AH420">
            <v>10196.200000000001</v>
          </cell>
          <cell r="AJ420">
            <v>27559.4</v>
          </cell>
        </row>
        <row r="421">
          <cell r="J421">
            <v>9320.6</v>
          </cell>
          <cell r="K421">
            <v>6367.7</v>
          </cell>
          <cell r="L421">
            <v>-9484.9</v>
          </cell>
          <cell r="M421">
            <v>1100.7</v>
          </cell>
          <cell r="N421">
            <v>-10547.6</v>
          </cell>
          <cell r="O421">
            <v>-8401.2000000000007</v>
          </cell>
          <cell r="P421">
            <v>3681.7</v>
          </cell>
          <cell r="Q421">
            <v>50000.7</v>
          </cell>
          <cell r="R421">
            <v>-7472.4</v>
          </cell>
          <cell r="S421">
            <v>-719.2</v>
          </cell>
          <cell r="T421">
            <v>-25002.7</v>
          </cell>
          <cell r="U421">
            <v>-1070.5999999999999</v>
          </cell>
          <cell r="V421">
            <v>13777.7</v>
          </cell>
          <cell r="W421">
            <v>300</v>
          </cell>
          <cell r="X421">
            <v>-7460.9</v>
          </cell>
          <cell r="Y421">
            <v>-8486.4</v>
          </cell>
          <cell r="Z421">
            <v>3899.9</v>
          </cell>
          <cell r="AA421">
            <v>-15253.1</v>
          </cell>
          <cell r="AB421">
            <v>21562.6</v>
          </cell>
          <cell r="AC421">
            <v>52674.8</v>
          </cell>
          <cell r="AD421">
            <v>-4579.6000000000004</v>
          </cell>
          <cell r="AE421">
            <v>-16978.7</v>
          </cell>
          <cell r="AF421">
            <v>-22054.9</v>
          </cell>
          <cell r="AG421">
            <v>-11021</v>
          </cell>
          <cell r="AH421">
            <v>650.4</v>
          </cell>
          <cell r="AJ421">
            <v>6367.7</v>
          </cell>
        </row>
        <row r="422">
          <cell r="J422">
            <v>54659.5</v>
          </cell>
          <cell r="K422">
            <v>35577.800000000003</v>
          </cell>
          <cell r="L422">
            <v>-45630.9</v>
          </cell>
          <cell r="M422">
            <v>9260.2999999999993</v>
          </cell>
          <cell r="N422">
            <v>-65983.899999999994</v>
          </cell>
          <cell r="O422">
            <v>-37834.1</v>
          </cell>
          <cell r="P422">
            <v>-7752.1</v>
          </cell>
          <cell r="Q422">
            <v>63568.5</v>
          </cell>
          <cell r="R422">
            <v>79565.3</v>
          </cell>
          <cell r="S422">
            <v>-69514.899999999994</v>
          </cell>
          <cell r="T422">
            <v>63322.400000000001</v>
          </cell>
          <cell r="U422">
            <v>-78973.100000000006</v>
          </cell>
          <cell r="V422">
            <v>-17070.2</v>
          </cell>
          <cell r="W422">
            <v>65804.899999999994</v>
          </cell>
          <cell r="X422">
            <v>-46758.9</v>
          </cell>
          <cell r="Y422">
            <v>3494.3</v>
          </cell>
          <cell r="Z422">
            <v>11811.4</v>
          </cell>
          <cell r="AA422">
            <v>-49652.4</v>
          </cell>
          <cell r="AB422">
            <v>-29394.1</v>
          </cell>
          <cell r="AC422">
            <v>48087.7</v>
          </cell>
          <cell r="AD422">
            <v>106137.2</v>
          </cell>
          <cell r="AE422">
            <v>-32218.9</v>
          </cell>
          <cell r="AF422">
            <v>43428.1</v>
          </cell>
          <cell r="AG422">
            <v>-87069.5</v>
          </cell>
          <cell r="AH422">
            <v>-4922.2</v>
          </cell>
          <cell r="AJ422">
            <v>35577.800000000003</v>
          </cell>
        </row>
        <row r="423">
          <cell r="J423">
            <v>2886.3</v>
          </cell>
          <cell r="K423">
            <v>2083.6</v>
          </cell>
          <cell r="L423">
            <v>-1626.7</v>
          </cell>
          <cell r="M423">
            <v>15.1</v>
          </cell>
          <cell r="N423">
            <v>-1602.5</v>
          </cell>
          <cell r="O423">
            <v>-1499.1</v>
          </cell>
          <cell r="P423">
            <v>983.2</v>
          </cell>
          <cell r="Q423">
            <v>3148.1</v>
          </cell>
          <cell r="R423">
            <v>7156.6</v>
          </cell>
          <cell r="S423">
            <v>5833.2</v>
          </cell>
          <cell r="T423">
            <v>-9972.2000000000007</v>
          </cell>
          <cell r="U423">
            <v>-1370.4</v>
          </cell>
          <cell r="V423">
            <v>-2633.5</v>
          </cell>
          <cell r="W423">
            <v>4671.8999999999996</v>
          </cell>
          <cell r="X423">
            <v>-2898.7</v>
          </cell>
          <cell r="Y423">
            <v>3700.2</v>
          </cell>
          <cell r="Z423">
            <v>-2859.5</v>
          </cell>
          <cell r="AA423">
            <v>-100.7</v>
          </cell>
          <cell r="AB423">
            <v>-2346.8000000000002</v>
          </cell>
          <cell r="AC423">
            <v>1842.9</v>
          </cell>
          <cell r="AD423">
            <v>6187.4</v>
          </cell>
          <cell r="AE423">
            <v>-3089.4</v>
          </cell>
          <cell r="AF423">
            <v>1065.5</v>
          </cell>
          <cell r="AG423">
            <v>-579.4</v>
          </cell>
          <cell r="AH423">
            <v>-3236.5</v>
          </cell>
          <cell r="AJ423">
            <v>2083.6</v>
          </cell>
        </row>
        <row r="424">
          <cell r="J424">
            <v>19422.400000000001</v>
          </cell>
          <cell r="K424">
            <v>13701.1</v>
          </cell>
          <cell r="L424">
            <v>-20345</v>
          </cell>
          <cell r="M424">
            <v>4134.8</v>
          </cell>
          <cell r="N424">
            <v>-33111.800000000003</v>
          </cell>
          <cell r="O424">
            <v>-27655.8</v>
          </cell>
          <cell r="P424">
            <v>29164.7</v>
          </cell>
          <cell r="Q424">
            <v>43147.6</v>
          </cell>
          <cell r="R424">
            <v>21654.3</v>
          </cell>
          <cell r="S424">
            <v>1146.7</v>
          </cell>
          <cell r="T424">
            <v>12393.7</v>
          </cell>
          <cell r="U424">
            <v>-19575.7</v>
          </cell>
          <cell r="V424">
            <v>5390</v>
          </cell>
          <cell r="W424">
            <v>27035.4</v>
          </cell>
          <cell r="X424">
            <v>-36317.800000000003</v>
          </cell>
          <cell r="Y424">
            <v>235.3</v>
          </cell>
          <cell r="Z424">
            <v>-13459.7</v>
          </cell>
          <cell r="AA424">
            <v>15376.8</v>
          </cell>
          <cell r="AB424">
            <v>-8162.9</v>
          </cell>
          <cell r="AC424">
            <v>22697.8</v>
          </cell>
          <cell r="AD424">
            <v>32198</v>
          </cell>
          <cell r="AE424">
            <v>6564.9</v>
          </cell>
          <cell r="AF424">
            <v>2106.4</v>
          </cell>
          <cell r="AG424">
            <v>-17933.7</v>
          </cell>
          <cell r="AH424">
            <v>-9676.9</v>
          </cell>
          <cell r="AJ424">
            <v>13701.1</v>
          </cell>
        </row>
        <row r="425">
          <cell r="J425">
            <v>596.1</v>
          </cell>
          <cell r="K425">
            <v>498</v>
          </cell>
          <cell r="L425">
            <v>-618.6</v>
          </cell>
          <cell r="M425">
            <v>265.60000000000002</v>
          </cell>
          <cell r="N425">
            <v>-508.2</v>
          </cell>
          <cell r="O425">
            <v>-898.7</v>
          </cell>
          <cell r="P425">
            <v>411.5</v>
          </cell>
          <cell r="Q425">
            <v>324.60000000000002</v>
          </cell>
          <cell r="R425">
            <v>1193.8</v>
          </cell>
          <cell r="S425">
            <v>-693.3</v>
          </cell>
          <cell r="T425">
            <v>45.3</v>
          </cell>
          <cell r="U425">
            <v>186.8</v>
          </cell>
          <cell r="V425">
            <v>-190.3</v>
          </cell>
          <cell r="W425">
            <v>559.29999999999995</v>
          </cell>
          <cell r="X425">
            <v>-572.20000000000005</v>
          </cell>
          <cell r="Y425">
            <v>-54.9</v>
          </cell>
          <cell r="Z425">
            <v>-773.7</v>
          </cell>
          <cell r="AA425">
            <v>-187.3</v>
          </cell>
          <cell r="AB425">
            <v>182.8</v>
          </cell>
          <cell r="AC425">
            <v>61.6</v>
          </cell>
          <cell r="AD425">
            <v>1885.3</v>
          </cell>
          <cell r="AE425">
            <v>-374.8</v>
          </cell>
          <cell r="AF425">
            <v>-349.8</v>
          </cell>
          <cell r="AG425">
            <v>-24.2</v>
          </cell>
          <cell r="AH425">
            <v>-60.1</v>
          </cell>
          <cell r="AJ425">
            <v>498</v>
          </cell>
        </row>
        <row r="426">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J426">
            <v>0</v>
          </cell>
        </row>
        <row r="427">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J427">
            <v>0</v>
          </cell>
        </row>
        <row r="428">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J428">
            <v>0</v>
          </cell>
        </row>
        <row r="430">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J430">
            <v>0</v>
          </cell>
        </row>
        <row r="431">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J431">
            <v>0</v>
          </cell>
        </row>
        <row r="432">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J432">
            <v>0</v>
          </cell>
        </row>
        <row r="433">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J433">
            <v>0</v>
          </cell>
        </row>
        <row r="434">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J434">
            <v>0</v>
          </cell>
        </row>
        <row r="435">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J435">
            <v>0</v>
          </cell>
        </row>
        <row r="436">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J436">
            <v>0</v>
          </cell>
        </row>
        <row r="437">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J437">
            <v>0</v>
          </cell>
        </row>
        <row r="438">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J438">
            <v>0</v>
          </cell>
        </row>
        <row r="440">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J440">
            <v>0</v>
          </cell>
        </row>
        <row r="442">
          <cell r="J442">
            <v>0</v>
          </cell>
          <cell r="K442">
            <v>0</v>
          </cell>
          <cell r="L442">
            <v>0</v>
          </cell>
          <cell r="M442">
            <v>0</v>
          </cell>
          <cell r="N442">
            <v>0</v>
          </cell>
          <cell r="O442">
            <v>0</v>
          </cell>
          <cell r="P442">
            <v>109739867.7</v>
          </cell>
          <cell r="Q442">
            <v>88724989.400000006</v>
          </cell>
          <cell r="R442">
            <v>71961140</v>
          </cell>
          <cell r="S442">
            <v>63372074.700000003</v>
          </cell>
          <cell r="T442">
            <v>71151338.200000003</v>
          </cell>
          <cell r="U442">
            <v>70036204.400000006</v>
          </cell>
          <cell r="V442">
            <v>64338309.200000003</v>
          </cell>
          <cell r="W442">
            <v>66822999.100000001</v>
          </cell>
          <cell r="X442">
            <v>71792249</v>
          </cell>
          <cell r="Y442">
            <v>91085101.599999994</v>
          </cell>
          <cell r="Z442">
            <v>93516091.400000006</v>
          </cell>
          <cell r="AA442">
            <v>93516091.400000006</v>
          </cell>
          <cell r="AB442">
            <v>103544836.3</v>
          </cell>
          <cell r="AC442">
            <v>82446092.5</v>
          </cell>
          <cell r="AD442">
            <v>74061946</v>
          </cell>
          <cell r="AE442">
            <v>63075788.100000001</v>
          </cell>
          <cell r="AF442">
            <v>70111623.400000006</v>
          </cell>
          <cell r="AG442">
            <v>67125588.799999997</v>
          </cell>
          <cell r="AH442">
            <v>64921906</v>
          </cell>
          <cell r="AJ442">
            <v>0</v>
          </cell>
        </row>
        <row r="443">
          <cell r="J443">
            <v>0</v>
          </cell>
          <cell r="K443">
            <v>0</v>
          </cell>
          <cell r="L443">
            <v>0</v>
          </cell>
          <cell r="M443">
            <v>0</v>
          </cell>
          <cell r="N443">
            <v>0</v>
          </cell>
          <cell r="O443">
            <v>0</v>
          </cell>
          <cell r="P443">
            <v>6465873</v>
          </cell>
          <cell r="Q443">
            <v>5227676.4000000004</v>
          </cell>
          <cell r="R443">
            <v>4239950.4000000004</v>
          </cell>
          <cell r="S443">
            <v>3733882.6</v>
          </cell>
          <cell r="T443">
            <v>4192236.8</v>
          </cell>
          <cell r="U443">
            <v>4126533.2</v>
          </cell>
          <cell r="V443">
            <v>3790813.2</v>
          </cell>
          <cell r="W443">
            <v>3937211.1</v>
          </cell>
          <cell r="X443">
            <v>4229999.3</v>
          </cell>
          <cell r="Y443">
            <v>5366734.2</v>
          </cell>
          <cell r="Z443">
            <v>5509968.0999999996</v>
          </cell>
          <cell r="AA443">
            <v>5509968.0999999996</v>
          </cell>
          <cell r="AB443">
            <v>6578000</v>
          </cell>
          <cell r="AC443">
            <v>5230000</v>
          </cell>
          <cell r="AD443">
            <v>4519000</v>
          </cell>
          <cell r="AE443">
            <v>4057000</v>
          </cell>
          <cell r="AF443">
            <v>4426000</v>
          </cell>
          <cell r="AG443">
            <v>4424000</v>
          </cell>
          <cell r="AH443">
            <v>4131000</v>
          </cell>
          <cell r="AJ443">
            <v>0</v>
          </cell>
        </row>
      </sheetData>
      <sheetData sheetId="4" refreshError="1">
        <row r="5">
          <cell r="I5">
            <v>38504</v>
          </cell>
          <cell r="J5">
            <v>38473</v>
          </cell>
          <cell r="K5">
            <v>38443</v>
          </cell>
          <cell r="L5">
            <v>38412</v>
          </cell>
          <cell r="M5">
            <v>38384</v>
          </cell>
          <cell r="N5">
            <v>38353</v>
          </cell>
          <cell r="O5">
            <v>38322</v>
          </cell>
          <cell r="P5">
            <v>38292</v>
          </cell>
          <cell r="Q5">
            <v>38261</v>
          </cell>
          <cell r="R5">
            <v>38231</v>
          </cell>
          <cell r="S5">
            <v>38200</v>
          </cell>
          <cell r="T5">
            <v>38169</v>
          </cell>
          <cell r="U5">
            <v>38139</v>
          </cell>
          <cell r="V5">
            <v>38108</v>
          </cell>
          <cell r="W5">
            <v>38078</v>
          </cell>
          <cell r="X5">
            <v>38047</v>
          </cell>
          <cell r="Y5">
            <v>38018</v>
          </cell>
          <cell r="Z5">
            <v>37987</v>
          </cell>
          <cell r="AA5">
            <v>37956</v>
          </cell>
          <cell r="AB5">
            <v>37926</v>
          </cell>
          <cell r="AC5">
            <v>37895</v>
          </cell>
          <cell r="AD5">
            <v>37865</v>
          </cell>
          <cell r="AE5">
            <v>37834</v>
          </cell>
          <cell r="AF5">
            <v>37803</v>
          </cell>
          <cell r="AG5">
            <v>37773</v>
          </cell>
          <cell r="AI5">
            <v>38473</v>
          </cell>
        </row>
        <row r="7">
          <cell r="I7">
            <v>17636826</v>
          </cell>
          <cell r="J7">
            <v>17330886</v>
          </cell>
          <cell r="K7">
            <v>25521974</v>
          </cell>
          <cell r="L7">
            <v>27503582</v>
          </cell>
          <cell r="M7">
            <v>28634682</v>
          </cell>
          <cell r="N7">
            <v>33210231</v>
          </cell>
          <cell r="O7">
            <v>14506383</v>
          </cell>
          <cell r="P7">
            <v>10689388</v>
          </cell>
          <cell r="Q7">
            <v>14898942</v>
          </cell>
          <cell r="R7">
            <v>15888033</v>
          </cell>
          <cell r="S7">
            <v>18612297</v>
          </cell>
          <cell r="T7">
            <v>16333863</v>
          </cell>
          <cell r="U7">
            <v>14781109</v>
          </cell>
          <cell r="V7">
            <v>12534708</v>
          </cell>
          <cell r="W7">
            <v>13498990</v>
          </cell>
          <cell r="X7">
            <v>17239197</v>
          </cell>
          <cell r="Y7">
            <v>19378677</v>
          </cell>
          <cell r="Z7">
            <v>19292230</v>
          </cell>
          <cell r="AA7">
            <v>13085885</v>
          </cell>
          <cell r="AB7">
            <v>9769819</v>
          </cell>
          <cell r="AC7">
            <v>12555729</v>
          </cell>
          <cell r="AD7">
            <v>17396529</v>
          </cell>
          <cell r="AE7">
            <v>17297136</v>
          </cell>
          <cell r="AF7">
            <v>12838763</v>
          </cell>
          <cell r="AG7">
            <v>10766457</v>
          </cell>
          <cell r="AI7">
            <v>17330886</v>
          </cell>
        </row>
        <row r="8">
          <cell r="I8">
            <v>18514430</v>
          </cell>
          <cell r="J8">
            <v>17972375</v>
          </cell>
          <cell r="K8">
            <v>25689303</v>
          </cell>
          <cell r="L8">
            <v>26761558</v>
          </cell>
          <cell r="M8">
            <v>29853422</v>
          </cell>
          <cell r="N8">
            <v>33831385</v>
          </cell>
          <cell r="O8">
            <v>14366496</v>
          </cell>
          <cell r="P8">
            <v>10864811</v>
          </cell>
          <cell r="Q8">
            <v>14245972</v>
          </cell>
          <cell r="R8">
            <v>15762758</v>
          </cell>
          <cell r="S8">
            <v>18809766</v>
          </cell>
          <cell r="T8">
            <v>16400307</v>
          </cell>
          <cell r="U8">
            <v>14931950</v>
          </cell>
          <cell r="V8">
            <v>12582492</v>
          </cell>
          <cell r="W8">
            <v>13396891</v>
          </cell>
          <cell r="X8">
            <v>17565875</v>
          </cell>
          <cell r="Y8">
            <v>21348543</v>
          </cell>
          <cell r="Z8">
            <v>20829018</v>
          </cell>
          <cell r="AA8">
            <v>14860809</v>
          </cell>
          <cell r="AB8">
            <v>10809454</v>
          </cell>
          <cell r="AC8">
            <v>12987125</v>
          </cell>
          <cell r="AD8">
            <v>19771127</v>
          </cell>
          <cell r="AE8">
            <v>19730345</v>
          </cell>
          <cell r="AF8">
            <v>15298082</v>
          </cell>
          <cell r="AG8">
            <v>11910798</v>
          </cell>
          <cell r="AI8">
            <v>17972375</v>
          </cell>
        </row>
        <row r="9">
          <cell r="I9">
            <v>18364535</v>
          </cell>
          <cell r="J9">
            <v>17665981</v>
          </cell>
          <cell r="K9">
            <v>26036108</v>
          </cell>
          <cell r="L9">
            <v>27681899</v>
          </cell>
          <cell r="M9">
            <v>30347903</v>
          </cell>
          <cell r="N9">
            <v>34141143</v>
          </cell>
          <cell r="O9">
            <v>15451364</v>
          </cell>
          <cell r="P9">
            <v>11758584</v>
          </cell>
          <cell r="Q9">
            <v>15398898</v>
          </cell>
          <cell r="R9">
            <v>16798212</v>
          </cell>
          <cell r="S9">
            <v>20785924</v>
          </cell>
          <cell r="T9">
            <v>18447053</v>
          </cell>
          <cell r="U9">
            <v>16205823</v>
          </cell>
          <cell r="V9">
            <v>12808130</v>
          </cell>
          <cell r="W9">
            <v>14653462</v>
          </cell>
          <cell r="X9">
            <v>17918269</v>
          </cell>
          <cell r="Y9">
            <v>22528293</v>
          </cell>
          <cell r="Z9">
            <v>21931952</v>
          </cell>
          <cell r="AA9">
            <v>15744047</v>
          </cell>
          <cell r="AB9">
            <v>11231714</v>
          </cell>
          <cell r="AC9">
            <v>13134091</v>
          </cell>
          <cell r="AD9">
            <v>20852753</v>
          </cell>
          <cell r="AE9">
            <v>20159937</v>
          </cell>
          <cell r="AF9">
            <v>17173156</v>
          </cell>
          <cell r="AG9">
            <v>12006365</v>
          </cell>
          <cell r="AI9">
            <v>17665981</v>
          </cell>
        </row>
        <row r="10">
          <cell r="I10">
            <v>18294682</v>
          </cell>
          <cell r="J10">
            <v>16493000</v>
          </cell>
          <cell r="K10">
            <v>23791733</v>
          </cell>
          <cell r="L10">
            <v>25767479</v>
          </cell>
          <cell r="M10">
            <v>27713934</v>
          </cell>
          <cell r="N10">
            <v>30603190</v>
          </cell>
          <cell r="O10">
            <v>14907911</v>
          </cell>
          <cell r="P10">
            <v>11180142</v>
          </cell>
          <cell r="Q10">
            <v>14455761</v>
          </cell>
          <cell r="R10">
            <v>15737161</v>
          </cell>
          <cell r="S10">
            <v>18684232</v>
          </cell>
          <cell r="T10">
            <v>18029325</v>
          </cell>
          <cell r="U10">
            <v>15354369</v>
          </cell>
          <cell r="V10">
            <v>12293760</v>
          </cell>
          <cell r="W10">
            <v>14509946</v>
          </cell>
          <cell r="X10">
            <v>16658504</v>
          </cell>
          <cell r="Y10">
            <v>20997385</v>
          </cell>
          <cell r="Z10">
            <v>21100916</v>
          </cell>
          <cell r="AA10">
            <v>15134740</v>
          </cell>
          <cell r="AB10">
            <v>10931946</v>
          </cell>
          <cell r="AC10">
            <v>12559674</v>
          </cell>
          <cell r="AD10">
            <v>19122766</v>
          </cell>
          <cell r="AE10">
            <v>17557816</v>
          </cell>
          <cell r="AF10">
            <v>16986002</v>
          </cell>
          <cell r="AG10">
            <v>10988377</v>
          </cell>
          <cell r="AI10">
            <v>16493000</v>
          </cell>
        </row>
        <row r="11">
          <cell r="I11">
            <v>19399210</v>
          </cell>
          <cell r="J11">
            <v>17325272</v>
          </cell>
          <cell r="K11">
            <v>23892859</v>
          </cell>
          <cell r="L11">
            <v>27421692</v>
          </cell>
          <cell r="M11">
            <v>30236317</v>
          </cell>
          <cell r="N11">
            <v>32037487</v>
          </cell>
          <cell r="O11">
            <v>14547356</v>
          </cell>
          <cell r="P11">
            <v>10171203</v>
          </cell>
          <cell r="Q11">
            <v>12868422</v>
          </cell>
          <cell r="R11">
            <v>15343755</v>
          </cell>
          <cell r="S11">
            <v>16903062</v>
          </cell>
          <cell r="T11">
            <v>17622341</v>
          </cell>
          <cell r="U11">
            <v>14691556</v>
          </cell>
          <cell r="V11">
            <v>11000274</v>
          </cell>
          <cell r="W11">
            <v>15023466</v>
          </cell>
          <cell r="X11">
            <v>16900332</v>
          </cell>
          <cell r="Y11">
            <v>21688079</v>
          </cell>
          <cell r="Z11">
            <v>21855797</v>
          </cell>
          <cell r="AA11">
            <v>15367318</v>
          </cell>
          <cell r="AB11">
            <v>10865223</v>
          </cell>
          <cell r="AC11">
            <v>12282092</v>
          </cell>
          <cell r="AD11">
            <v>19538739</v>
          </cell>
          <cell r="AE11">
            <v>17627839</v>
          </cell>
          <cell r="AF11">
            <v>17506120</v>
          </cell>
          <cell r="AG11">
            <v>11661450</v>
          </cell>
          <cell r="AI11">
            <v>17325272</v>
          </cell>
        </row>
        <row r="12">
          <cell r="I12">
            <v>20185584</v>
          </cell>
          <cell r="J12">
            <v>17833549</v>
          </cell>
          <cell r="K12">
            <v>23342097</v>
          </cell>
          <cell r="L12">
            <v>27609233</v>
          </cell>
          <cell r="M12">
            <v>30809083</v>
          </cell>
          <cell r="N12">
            <v>33077177</v>
          </cell>
          <cell r="O12">
            <v>16038463</v>
          </cell>
          <cell r="P12">
            <v>11157089</v>
          </cell>
          <cell r="Q12">
            <v>13193614</v>
          </cell>
          <cell r="R12">
            <v>16741968</v>
          </cell>
          <cell r="S12">
            <v>18323013</v>
          </cell>
          <cell r="T12">
            <v>18976741</v>
          </cell>
          <cell r="U12">
            <v>16238150</v>
          </cell>
          <cell r="V12">
            <v>12240567</v>
          </cell>
          <cell r="W12">
            <v>15357543</v>
          </cell>
          <cell r="X12">
            <v>17090209</v>
          </cell>
          <cell r="Y12">
            <v>22893176</v>
          </cell>
          <cell r="Z12">
            <v>23399983</v>
          </cell>
          <cell r="AA12">
            <v>17303464</v>
          </cell>
          <cell r="AB12">
            <v>11394833</v>
          </cell>
          <cell r="AC12">
            <v>12449446</v>
          </cell>
          <cell r="AD12">
            <v>20997294</v>
          </cell>
          <cell r="AE12">
            <v>18760203</v>
          </cell>
          <cell r="AF12">
            <v>19255456</v>
          </cell>
          <cell r="AG12">
            <v>12613293</v>
          </cell>
          <cell r="AI12">
            <v>17833549</v>
          </cell>
        </row>
        <row r="13">
          <cell r="I13">
            <v>20089624</v>
          </cell>
          <cell r="J13">
            <v>18270758</v>
          </cell>
          <cell r="K13">
            <v>23673881</v>
          </cell>
          <cell r="L13">
            <v>27857094</v>
          </cell>
          <cell r="M13">
            <v>31427803</v>
          </cell>
          <cell r="N13">
            <v>33668586</v>
          </cell>
          <cell r="O13">
            <v>15795055</v>
          </cell>
          <cell r="P13">
            <v>11227960</v>
          </cell>
          <cell r="Q13">
            <v>12320619</v>
          </cell>
          <cell r="R13">
            <v>16239590</v>
          </cell>
          <cell r="S13">
            <v>17348266</v>
          </cell>
          <cell r="T13">
            <v>18537322</v>
          </cell>
          <cell r="U13">
            <v>15053779</v>
          </cell>
          <cell r="V13">
            <v>12216853</v>
          </cell>
          <cell r="W13">
            <v>14396689</v>
          </cell>
          <cell r="X13">
            <v>16638801</v>
          </cell>
          <cell r="Y13">
            <v>21604004</v>
          </cell>
          <cell r="Z13">
            <v>22020020</v>
          </cell>
          <cell r="AA13">
            <v>16230824</v>
          </cell>
          <cell r="AB13">
            <v>10752937</v>
          </cell>
          <cell r="AC13">
            <v>12290090</v>
          </cell>
          <cell r="AD13">
            <v>18073420</v>
          </cell>
          <cell r="AE13">
            <v>16970066</v>
          </cell>
          <cell r="AF13">
            <v>17330034</v>
          </cell>
          <cell r="AG13">
            <v>11001504</v>
          </cell>
          <cell r="AI13">
            <v>18270758</v>
          </cell>
        </row>
        <row r="14">
          <cell r="I14">
            <v>21238591</v>
          </cell>
          <cell r="J14">
            <v>19053109</v>
          </cell>
          <cell r="K14">
            <v>25513124</v>
          </cell>
          <cell r="L14">
            <v>30879605</v>
          </cell>
          <cell r="M14">
            <v>34496115</v>
          </cell>
          <cell r="N14">
            <v>36690031</v>
          </cell>
          <cell r="O14">
            <v>18645715</v>
          </cell>
          <cell r="P14">
            <v>12007240</v>
          </cell>
          <cell r="Q14">
            <v>12842785</v>
          </cell>
          <cell r="R14">
            <v>16743603</v>
          </cell>
          <cell r="S14">
            <v>17274332</v>
          </cell>
          <cell r="T14">
            <v>19157787</v>
          </cell>
          <cell r="U14">
            <v>15148452</v>
          </cell>
          <cell r="V14">
            <v>12213485</v>
          </cell>
          <cell r="W14">
            <v>16738913</v>
          </cell>
          <cell r="X14">
            <v>18077244</v>
          </cell>
          <cell r="Y14">
            <v>24659988</v>
          </cell>
          <cell r="Z14">
            <v>25828088</v>
          </cell>
          <cell r="AA14">
            <v>18142804</v>
          </cell>
          <cell r="AB14">
            <v>12007954</v>
          </cell>
          <cell r="AC14">
            <v>12798626</v>
          </cell>
          <cell r="AD14">
            <v>19566545</v>
          </cell>
          <cell r="AE14">
            <v>18686190</v>
          </cell>
          <cell r="AF14">
            <v>19830685</v>
          </cell>
          <cell r="AG14">
            <v>12337701</v>
          </cell>
          <cell r="AI14">
            <v>19053109</v>
          </cell>
        </row>
        <row r="15">
          <cell r="I15">
            <v>18611784</v>
          </cell>
          <cell r="J15">
            <v>15942471</v>
          </cell>
          <cell r="K15">
            <v>19791685</v>
          </cell>
          <cell r="L15">
            <v>25557335</v>
          </cell>
          <cell r="M15">
            <v>27948675</v>
          </cell>
          <cell r="N15">
            <v>29582208</v>
          </cell>
          <cell r="O15">
            <v>16938757</v>
          </cell>
          <cell r="P15">
            <v>9876778</v>
          </cell>
          <cell r="Q15">
            <v>10199405</v>
          </cell>
          <cell r="R15">
            <v>14169609</v>
          </cell>
          <cell r="S15">
            <v>14130212</v>
          </cell>
          <cell r="T15">
            <v>16599946</v>
          </cell>
          <cell r="U15">
            <v>13330909</v>
          </cell>
          <cell r="V15">
            <v>9948642</v>
          </cell>
          <cell r="W15">
            <v>13184727</v>
          </cell>
          <cell r="X15">
            <v>13685781</v>
          </cell>
          <cell r="Y15">
            <v>18481078</v>
          </cell>
          <cell r="Z15">
            <v>20019182</v>
          </cell>
          <cell r="AA15">
            <v>13972063</v>
          </cell>
          <cell r="AB15">
            <v>9515446</v>
          </cell>
          <cell r="AC15">
            <v>10259271</v>
          </cell>
          <cell r="AD15">
            <v>15435111</v>
          </cell>
          <cell r="AE15">
            <v>14405058</v>
          </cell>
          <cell r="AF15">
            <v>15798567</v>
          </cell>
          <cell r="AG15">
            <v>9675524</v>
          </cell>
          <cell r="AI15">
            <v>15942471</v>
          </cell>
        </row>
        <row r="16">
          <cell r="I16">
            <v>21216951</v>
          </cell>
          <cell r="J16">
            <v>17649664</v>
          </cell>
          <cell r="K16">
            <v>20714505</v>
          </cell>
          <cell r="L16">
            <v>27774819</v>
          </cell>
          <cell r="M16">
            <v>31179329</v>
          </cell>
          <cell r="N16">
            <v>31991837</v>
          </cell>
          <cell r="O16">
            <v>24176383</v>
          </cell>
          <cell r="P16">
            <v>10518634</v>
          </cell>
          <cell r="Q16">
            <v>11189063</v>
          </cell>
          <cell r="R16">
            <v>15475165</v>
          </cell>
          <cell r="S16">
            <v>15186812</v>
          </cell>
          <cell r="T16">
            <v>17403273</v>
          </cell>
          <cell r="U16">
            <v>14876841</v>
          </cell>
          <cell r="V16">
            <v>11035869</v>
          </cell>
          <cell r="W16">
            <v>13742012</v>
          </cell>
          <cell r="X16">
            <v>14996049</v>
          </cell>
          <cell r="Y16">
            <v>20061159</v>
          </cell>
          <cell r="Z16">
            <v>21092887</v>
          </cell>
          <cell r="AA16">
            <v>15526012</v>
          </cell>
          <cell r="AB16">
            <v>10531456</v>
          </cell>
          <cell r="AC16">
            <v>10967302</v>
          </cell>
          <cell r="AD16">
            <v>18499463</v>
          </cell>
          <cell r="AE16">
            <v>16295867</v>
          </cell>
          <cell r="AF16">
            <v>17277299</v>
          </cell>
          <cell r="AG16">
            <v>11470948</v>
          </cell>
          <cell r="AI16">
            <v>17649664</v>
          </cell>
        </row>
        <row r="17">
          <cell r="I17">
            <v>23378375</v>
          </cell>
          <cell r="J17">
            <v>20169472</v>
          </cell>
          <cell r="K17">
            <v>22165830</v>
          </cell>
          <cell r="L17">
            <v>31084073</v>
          </cell>
          <cell r="M17">
            <v>35400773</v>
          </cell>
          <cell r="N17">
            <v>36057255</v>
          </cell>
          <cell r="O17">
            <v>27519089</v>
          </cell>
          <cell r="P17">
            <v>11991313</v>
          </cell>
          <cell r="Q17">
            <v>12303621</v>
          </cell>
          <cell r="R17">
            <v>17328729</v>
          </cell>
          <cell r="S17">
            <v>17082992</v>
          </cell>
          <cell r="T17">
            <v>19745272</v>
          </cell>
          <cell r="U17">
            <v>16941888</v>
          </cell>
          <cell r="V17">
            <v>12573270</v>
          </cell>
          <cell r="W17">
            <v>15128491</v>
          </cell>
          <cell r="X17">
            <v>16941413</v>
          </cell>
          <cell r="Y17">
            <v>23347508</v>
          </cell>
          <cell r="Z17">
            <v>23730991</v>
          </cell>
          <cell r="AA17">
            <v>18432753</v>
          </cell>
          <cell r="AB17">
            <v>11709907</v>
          </cell>
          <cell r="AC17">
            <v>11564620</v>
          </cell>
          <cell r="AD17">
            <v>18196632</v>
          </cell>
          <cell r="AE17">
            <v>17093221</v>
          </cell>
          <cell r="AF17">
            <v>18546169</v>
          </cell>
          <cell r="AG17">
            <v>12416396</v>
          </cell>
          <cell r="AI17">
            <v>20169472</v>
          </cell>
        </row>
        <row r="18">
          <cell r="I18">
            <v>24607757</v>
          </cell>
          <cell r="J18">
            <v>21180750</v>
          </cell>
          <cell r="K18">
            <v>23506165</v>
          </cell>
          <cell r="L18">
            <v>32604130</v>
          </cell>
          <cell r="M18">
            <v>36686938</v>
          </cell>
          <cell r="N18">
            <v>38967501</v>
          </cell>
          <cell r="O18">
            <v>28917910</v>
          </cell>
          <cell r="P18">
            <v>13870763</v>
          </cell>
          <cell r="Q18">
            <v>13582952</v>
          </cell>
          <cell r="R18">
            <v>19475107</v>
          </cell>
          <cell r="S18">
            <v>18570132</v>
          </cell>
          <cell r="T18">
            <v>21581462</v>
          </cell>
          <cell r="U18">
            <v>18686124</v>
          </cell>
          <cell r="V18">
            <v>14047494</v>
          </cell>
          <cell r="W18">
            <v>16505707</v>
          </cell>
          <cell r="X18">
            <v>18687125</v>
          </cell>
          <cell r="Y18">
            <v>27070588</v>
          </cell>
          <cell r="Z18">
            <v>27484575</v>
          </cell>
          <cell r="AA18">
            <v>21068780</v>
          </cell>
          <cell r="AB18">
            <v>13902381</v>
          </cell>
          <cell r="AC18">
            <v>12816132</v>
          </cell>
          <cell r="AD18">
            <v>19497208</v>
          </cell>
          <cell r="AE18">
            <v>19907141</v>
          </cell>
          <cell r="AF18">
            <v>20447546</v>
          </cell>
          <cell r="AG18">
            <v>13482944</v>
          </cell>
          <cell r="AI18">
            <v>21180750</v>
          </cell>
        </row>
        <row r="19">
          <cell r="I19">
            <v>21833338</v>
          </cell>
          <cell r="J19">
            <v>18068049</v>
          </cell>
          <cell r="K19">
            <v>20133169</v>
          </cell>
          <cell r="L19">
            <v>27552321</v>
          </cell>
          <cell r="M19">
            <v>29780765</v>
          </cell>
          <cell r="N19">
            <v>33336113</v>
          </cell>
          <cell r="O19">
            <v>25285645</v>
          </cell>
          <cell r="P19">
            <v>11779392</v>
          </cell>
          <cell r="Q19">
            <v>11326363</v>
          </cell>
          <cell r="R19">
            <v>16360498</v>
          </cell>
          <cell r="S19">
            <v>15385539</v>
          </cell>
          <cell r="T19">
            <v>18642939</v>
          </cell>
          <cell r="U19">
            <v>16043366</v>
          </cell>
          <cell r="V19">
            <v>12042184</v>
          </cell>
          <cell r="W19">
            <v>14388236</v>
          </cell>
          <cell r="X19">
            <v>15026539</v>
          </cell>
          <cell r="Y19">
            <v>20783273</v>
          </cell>
          <cell r="Z19">
            <v>22656449</v>
          </cell>
          <cell r="AA19">
            <v>17450519</v>
          </cell>
          <cell r="AB19">
            <v>11980317</v>
          </cell>
          <cell r="AC19">
            <v>11001419</v>
          </cell>
          <cell r="AD19">
            <v>17494218</v>
          </cell>
          <cell r="AE19">
            <v>17885716</v>
          </cell>
          <cell r="AF19">
            <v>19655535</v>
          </cell>
          <cell r="AG19">
            <v>12393091</v>
          </cell>
          <cell r="AI19">
            <v>18068049</v>
          </cell>
        </row>
        <row r="20">
          <cell r="I20">
            <v>22951784</v>
          </cell>
          <cell r="J20">
            <v>19411871</v>
          </cell>
          <cell r="K20">
            <v>20807639</v>
          </cell>
          <cell r="L20">
            <v>30167151</v>
          </cell>
          <cell r="M20">
            <v>31944115</v>
          </cell>
          <cell r="N20">
            <v>35717680</v>
          </cell>
          <cell r="O20">
            <v>27733142</v>
          </cell>
          <cell r="P20">
            <v>13416106</v>
          </cell>
          <cell r="Q20">
            <v>13149263</v>
          </cell>
          <cell r="R20">
            <v>18558623</v>
          </cell>
          <cell r="S20">
            <v>16928547</v>
          </cell>
          <cell r="T20">
            <v>20796158</v>
          </cell>
          <cell r="U20">
            <v>17856625</v>
          </cell>
          <cell r="V20">
            <v>14167557</v>
          </cell>
          <cell r="W20">
            <v>15580286</v>
          </cell>
          <cell r="X20">
            <v>16243665</v>
          </cell>
          <cell r="Y20">
            <v>22645263</v>
          </cell>
          <cell r="Z20">
            <v>24651428</v>
          </cell>
          <cell r="AA20">
            <v>18870341</v>
          </cell>
          <cell r="AB20">
            <v>12923158</v>
          </cell>
          <cell r="AC20">
            <v>11710680</v>
          </cell>
          <cell r="AD20">
            <v>17207065</v>
          </cell>
          <cell r="AE20">
            <v>17989017</v>
          </cell>
          <cell r="AF20">
            <v>19424425</v>
          </cell>
          <cell r="AG20">
            <v>12740393</v>
          </cell>
          <cell r="AI20">
            <v>19411871</v>
          </cell>
        </row>
        <row r="21">
          <cell r="I21">
            <v>21888126</v>
          </cell>
          <cell r="J21">
            <v>17634052</v>
          </cell>
          <cell r="K21">
            <v>18095187</v>
          </cell>
          <cell r="L21">
            <v>26379242</v>
          </cell>
          <cell r="M21">
            <v>28265497</v>
          </cell>
          <cell r="N21">
            <v>31538829</v>
          </cell>
          <cell r="O21">
            <v>25742995</v>
          </cell>
          <cell r="P21">
            <v>11930014</v>
          </cell>
          <cell r="Q21">
            <v>11465037</v>
          </cell>
          <cell r="R21">
            <v>16668360</v>
          </cell>
          <cell r="S21">
            <v>15579112</v>
          </cell>
          <cell r="T21">
            <v>18507395</v>
          </cell>
          <cell r="U21">
            <v>16985594</v>
          </cell>
          <cell r="V21">
            <v>12702656</v>
          </cell>
          <cell r="W21">
            <v>13319816</v>
          </cell>
          <cell r="X21">
            <v>14962295</v>
          </cell>
          <cell r="Y21">
            <v>20477547</v>
          </cell>
          <cell r="Z21">
            <v>22202238</v>
          </cell>
          <cell r="AA21">
            <v>17881900</v>
          </cell>
          <cell r="AB21">
            <v>11849060</v>
          </cell>
          <cell r="AC21">
            <v>10955859</v>
          </cell>
          <cell r="AD21">
            <v>16276757</v>
          </cell>
          <cell r="AE21">
            <v>17345162</v>
          </cell>
          <cell r="AF21">
            <v>18416413</v>
          </cell>
          <cell r="AG21">
            <v>12368439</v>
          </cell>
          <cell r="AI21">
            <v>17634052</v>
          </cell>
        </row>
        <row r="22">
          <cell r="I22">
            <v>20613217</v>
          </cell>
          <cell r="J22">
            <v>16998655</v>
          </cell>
          <cell r="K22">
            <v>16157382</v>
          </cell>
          <cell r="L22">
            <v>24053933</v>
          </cell>
          <cell r="M22">
            <v>25833664</v>
          </cell>
          <cell r="N22">
            <v>28353989</v>
          </cell>
          <cell r="O22">
            <v>25792134</v>
          </cell>
          <cell r="P22">
            <v>10838399</v>
          </cell>
          <cell r="Q22">
            <v>10210886</v>
          </cell>
          <cell r="R22">
            <v>15160538</v>
          </cell>
          <cell r="S22">
            <v>14900295</v>
          </cell>
          <cell r="T22">
            <v>17906550</v>
          </cell>
          <cell r="U22">
            <v>15642548</v>
          </cell>
          <cell r="V22">
            <v>12755454</v>
          </cell>
          <cell r="W22">
            <v>11528943</v>
          </cell>
          <cell r="X22">
            <v>13371172</v>
          </cell>
          <cell r="Y22">
            <v>17788491</v>
          </cell>
          <cell r="Z22">
            <v>19228758</v>
          </cell>
          <cell r="AA22">
            <v>16155197</v>
          </cell>
          <cell r="AB22">
            <v>10572797</v>
          </cell>
          <cell r="AC22">
            <v>9240821</v>
          </cell>
          <cell r="AD22">
            <v>14524703</v>
          </cell>
          <cell r="AE22">
            <v>15538917</v>
          </cell>
          <cell r="AF22">
            <v>16595533</v>
          </cell>
          <cell r="AG22">
            <v>11175324</v>
          </cell>
          <cell r="AI22">
            <v>16998655</v>
          </cell>
        </row>
        <row r="23">
          <cell r="I23">
            <v>22385815</v>
          </cell>
          <cell r="J23">
            <v>18002891</v>
          </cell>
          <cell r="K23">
            <v>18324510</v>
          </cell>
          <cell r="L23">
            <v>26815484</v>
          </cell>
          <cell r="M23">
            <v>28428514</v>
          </cell>
          <cell r="N23">
            <v>32583055</v>
          </cell>
          <cell r="O23">
            <v>29750127</v>
          </cell>
          <cell r="P23">
            <v>11015126</v>
          </cell>
          <cell r="Q23">
            <v>9995619</v>
          </cell>
          <cell r="R23">
            <v>14043421</v>
          </cell>
          <cell r="S23">
            <v>13478086</v>
          </cell>
          <cell r="T23">
            <v>16488520</v>
          </cell>
          <cell r="U23">
            <v>14234688</v>
          </cell>
          <cell r="V23">
            <v>11846440</v>
          </cell>
          <cell r="W23">
            <v>11273084</v>
          </cell>
          <cell r="X23">
            <v>12039305</v>
          </cell>
          <cell r="Y23">
            <v>16960432</v>
          </cell>
          <cell r="Z23">
            <v>18509646</v>
          </cell>
          <cell r="AA23">
            <v>16449183</v>
          </cell>
          <cell r="AB23">
            <v>10130262</v>
          </cell>
          <cell r="AC23">
            <v>8881668</v>
          </cell>
          <cell r="AD23">
            <v>13193725</v>
          </cell>
          <cell r="AE23">
            <v>15568058</v>
          </cell>
          <cell r="AF23">
            <v>15933970</v>
          </cell>
          <cell r="AG23">
            <v>10664202</v>
          </cell>
          <cell r="AI23">
            <v>18002891</v>
          </cell>
        </row>
        <row r="24">
          <cell r="I24">
            <v>23768453</v>
          </cell>
          <cell r="J24">
            <v>18324936</v>
          </cell>
          <cell r="K24">
            <v>18878512</v>
          </cell>
          <cell r="L24">
            <v>27914337</v>
          </cell>
          <cell r="M24">
            <v>28601804</v>
          </cell>
          <cell r="N24">
            <v>30245910</v>
          </cell>
          <cell r="O24">
            <v>34004571</v>
          </cell>
          <cell r="P24">
            <v>12110411</v>
          </cell>
          <cell r="Q24">
            <v>11083438</v>
          </cell>
          <cell r="R24">
            <v>15343897</v>
          </cell>
          <cell r="S24">
            <v>14969635</v>
          </cell>
          <cell r="T24">
            <v>18666262</v>
          </cell>
          <cell r="U24">
            <v>15481292</v>
          </cell>
          <cell r="V24">
            <v>13284906</v>
          </cell>
          <cell r="W24">
            <v>13017475</v>
          </cell>
          <cell r="X24">
            <v>14829091</v>
          </cell>
          <cell r="Y24">
            <v>19995455</v>
          </cell>
          <cell r="Z24">
            <v>21889789</v>
          </cell>
          <cell r="AA24">
            <v>21078236</v>
          </cell>
          <cell r="AB24">
            <v>12597025</v>
          </cell>
          <cell r="AC24">
            <v>10657458</v>
          </cell>
          <cell r="AD24">
            <v>15495317</v>
          </cell>
          <cell r="AE24">
            <v>18465017</v>
          </cell>
          <cell r="AF24">
            <v>19517840</v>
          </cell>
          <cell r="AG24">
            <v>13204631</v>
          </cell>
          <cell r="AI24">
            <v>18324936</v>
          </cell>
        </row>
        <row r="25">
          <cell r="I25">
            <v>24439188</v>
          </cell>
          <cell r="J25">
            <v>17511077</v>
          </cell>
          <cell r="K25">
            <v>17029407</v>
          </cell>
          <cell r="L25">
            <v>28478482</v>
          </cell>
          <cell r="M25">
            <v>27331599</v>
          </cell>
          <cell r="N25">
            <v>28501886</v>
          </cell>
          <cell r="O25">
            <v>33601427</v>
          </cell>
          <cell r="P25">
            <v>11959891</v>
          </cell>
          <cell r="Q25">
            <v>10532270</v>
          </cell>
          <cell r="R25">
            <v>14568011</v>
          </cell>
          <cell r="S25">
            <v>14826348</v>
          </cell>
          <cell r="T25">
            <v>17824894</v>
          </cell>
          <cell r="U25">
            <v>15308585</v>
          </cell>
          <cell r="V25">
            <v>13515660</v>
          </cell>
          <cell r="W25">
            <v>12224629</v>
          </cell>
          <cell r="X25">
            <v>13139205</v>
          </cell>
          <cell r="Y25">
            <v>17481987</v>
          </cell>
          <cell r="Z25">
            <v>18778989</v>
          </cell>
          <cell r="AA25">
            <v>19411614</v>
          </cell>
          <cell r="AB25">
            <v>11166811</v>
          </cell>
          <cell r="AC25">
            <v>9837087</v>
          </cell>
          <cell r="AD25">
            <v>12908804</v>
          </cell>
          <cell r="AE25">
            <v>15714402</v>
          </cell>
          <cell r="AF25">
            <v>16934052</v>
          </cell>
          <cell r="AG25">
            <v>11407471</v>
          </cell>
          <cell r="AI25">
            <v>17511077</v>
          </cell>
        </row>
        <row r="26">
          <cell r="I26">
            <v>25531345</v>
          </cell>
          <cell r="J26">
            <v>18272305</v>
          </cell>
          <cell r="K26">
            <v>17316767</v>
          </cell>
          <cell r="L26">
            <v>27781708</v>
          </cell>
          <cell r="M26">
            <v>27063565</v>
          </cell>
          <cell r="N26">
            <v>28185379</v>
          </cell>
          <cell r="O26">
            <v>33781911</v>
          </cell>
          <cell r="P26">
            <v>12694146</v>
          </cell>
          <cell r="Q26">
            <v>10383914</v>
          </cell>
          <cell r="R26">
            <v>14623475</v>
          </cell>
          <cell r="S26">
            <v>15009371</v>
          </cell>
          <cell r="T26">
            <v>17262900</v>
          </cell>
          <cell r="U26">
            <v>15317205</v>
          </cell>
          <cell r="V26">
            <v>13779509</v>
          </cell>
          <cell r="W26">
            <v>11676072</v>
          </cell>
          <cell r="X26">
            <v>14190620</v>
          </cell>
          <cell r="Y26">
            <v>17494035</v>
          </cell>
          <cell r="Z26">
            <v>19438585</v>
          </cell>
          <cell r="AA26">
            <v>19754435</v>
          </cell>
          <cell r="AB26">
            <v>12287763</v>
          </cell>
          <cell r="AC26">
            <v>10314537</v>
          </cell>
          <cell r="AD26">
            <v>14287966</v>
          </cell>
          <cell r="AE26">
            <v>17503912</v>
          </cell>
          <cell r="AF26">
            <v>18113141</v>
          </cell>
          <cell r="AG26">
            <v>13059981</v>
          </cell>
          <cell r="AI26">
            <v>18272305</v>
          </cell>
        </row>
        <row r="28">
          <cell r="I28">
            <v>-6919</v>
          </cell>
          <cell r="J28">
            <v>-1060</v>
          </cell>
          <cell r="K28">
            <v>-6630</v>
          </cell>
          <cell r="L28">
            <v>-7045</v>
          </cell>
          <cell r="M28">
            <v>-1203</v>
          </cell>
          <cell r="N28">
            <v>-5321</v>
          </cell>
          <cell r="O28">
            <v>6642960</v>
          </cell>
          <cell r="P28">
            <v>4727179</v>
          </cell>
          <cell r="Q28">
            <v>5531909</v>
          </cell>
          <cell r="R28">
            <v>6303777</v>
          </cell>
          <cell r="S28">
            <v>7518316</v>
          </cell>
          <cell r="T28">
            <v>6447945</v>
          </cell>
          <cell r="U28">
            <v>5807807</v>
          </cell>
          <cell r="V28">
            <v>5902180</v>
          </cell>
          <cell r="W28">
            <v>7280421</v>
          </cell>
          <cell r="X28">
            <v>10164211</v>
          </cell>
          <cell r="Y28">
            <v>11813648</v>
          </cell>
          <cell r="Z28">
            <v>11557377</v>
          </cell>
          <cell r="AA28">
            <v>7023995</v>
          </cell>
          <cell r="AB28">
            <v>4886732</v>
          </cell>
          <cell r="AC28">
            <v>5391094</v>
          </cell>
          <cell r="AD28">
            <v>6867066</v>
          </cell>
          <cell r="AE28">
            <v>6941282</v>
          </cell>
          <cell r="AF28">
            <v>5387138</v>
          </cell>
          <cell r="AG28">
            <v>4754657</v>
          </cell>
          <cell r="AI28">
            <v>-1060</v>
          </cell>
        </row>
        <row r="29">
          <cell r="I29">
            <v>0</v>
          </cell>
          <cell r="J29">
            <v>146</v>
          </cell>
          <cell r="K29">
            <v>130</v>
          </cell>
          <cell r="L29">
            <v>-846</v>
          </cell>
          <cell r="M29">
            <v>-5645</v>
          </cell>
          <cell r="N29">
            <v>-17527</v>
          </cell>
          <cell r="O29">
            <v>7909363</v>
          </cell>
          <cell r="P29">
            <v>5321473</v>
          </cell>
          <cell r="Q29">
            <v>6475081</v>
          </cell>
          <cell r="R29">
            <v>7105572</v>
          </cell>
          <cell r="S29">
            <v>8317374</v>
          </cell>
          <cell r="T29">
            <v>7202866</v>
          </cell>
          <cell r="U29">
            <v>6444879</v>
          </cell>
          <cell r="V29">
            <v>6717608</v>
          </cell>
          <cell r="W29">
            <v>7929816</v>
          </cell>
          <cell r="X29">
            <v>10718108</v>
          </cell>
          <cell r="Y29">
            <v>13215708</v>
          </cell>
          <cell r="Z29">
            <v>12540430</v>
          </cell>
          <cell r="AA29">
            <v>8201971</v>
          </cell>
          <cell r="AB29">
            <v>5584335</v>
          </cell>
          <cell r="AC29">
            <v>6071789</v>
          </cell>
          <cell r="AD29">
            <v>8332832</v>
          </cell>
          <cell r="AE29">
            <v>8450064</v>
          </cell>
          <cell r="AF29">
            <v>6633994</v>
          </cell>
          <cell r="AG29">
            <v>5562879</v>
          </cell>
          <cell r="AI29">
            <v>146</v>
          </cell>
        </row>
        <row r="30">
          <cell r="I30">
            <v>-360</v>
          </cell>
          <cell r="J30">
            <v>-400</v>
          </cell>
          <cell r="K30">
            <v>209</v>
          </cell>
          <cell r="L30">
            <v>100</v>
          </cell>
          <cell r="M30">
            <v>3</v>
          </cell>
          <cell r="N30">
            <v>-11302</v>
          </cell>
          <cell r="O30">
            <v>6880161</v>
          </cell>
          <cell r="P30">
            <v>4737672</v>
          </cell>
          <cell r="Q30">
            <v>5469349</v>
          </cell>
          <cell r="R30">
            <v>5824846</v>
          </cell>
          <cell r="S30">
            <v>6791944</v>
          </cell>
          <cell r="T30">
            <v>6310463</v>
          </cell>
          <cell r="U30">
            <v>5563490</v>
          </cell>
          <cell r="V30">
            <v>6044849</v>
          </cell>
          <cell r="W30">
            <v>6831420</v>
          </cell>
          <cell r="X30">
            <v>8920798</v>
          </cell>
          <cell r="Y30">
            <v>11279915</v>
          </cell>
          <cell r="Z30">
            <v>11051690</v>
          </cell>
          <cell r="AA30">
            <v>7221992</v>
          </cell>
          <cell r="AB30">
            <v>4829456</v>
          </cell>
          <cell r="AC30">
            <v>4974841</v>
          </cell>
          <cell r="AD30">
            <v>7004878</v>
          </cell>
          <cell r="AE30">
            <v>6867218</v>
          </cell>
          <cell r="AF30">
            <v>6220868</v>
          </cell>
          <cell r="AG30">
            <v>4574372</v>
          </cell>
          <cell r="AI30">
            <v>-400</v>
          </cell>
        </row>
        <row r="31">
          <cell r="I31">
            <v>0</v>
          </cell>
          <cell r="J31">
            <v>66</v>
          </cell>
          <cell r="K31">
            <v>57</v>
          </cell>
          <cell r="L31">
            <v>23</v>
          </cell>
          <cell r="M31">
            <v>-1692</v>
          </cell>
          <cell r="N31">
            <v>-7211</v>
          </cell>
          <cell r="O31">
            <v>6225487</v>
          </cell>
          <cell r="P31">
            <v>4175681</v>
          </cell>
          <cell r="Q31">
            <v>5089361</v>
          </cell>
          <cell r="R31">
            <v>5580328</v>
          </cell>
          <cell r="S31">
            <v>6437456</v>
          </cell>
          <cell r="T31">
            <v>6130105</v>
          </cell>
          <cell r="U31">
            <v>5419496</v>
          </cell>
          <cell r="V31">
            <v>4922980</v>
          </cell>
          <cell r="W31">
            <v>6328977</v>
          </cell>
          <cell r="X31">
            <v>7722667</v>
          </cell>
          <cell r="Y31">
            <v>9793356</v>
          </cell>
          <cell r="Z31">
            <v>9985505</v>
          </cell>
          <cell r="AA31">
            <v>6502904</v>
          </cell>
          <cell r="AB31">
            <v>4361673</v>
          </cell>
          <cell r="AC31">
            <v>4467734</v>
          </cell>
          <cell r="AD31">
            <v>6335542</v>
          </cell>
          <cell r="AE31">
            <v>6080264</v>
          </cell>
          <cell r="AF31">
            <v>5622805</v>
          </cell>
          <cell r="AG31">
            <v>4036742</v>
          </cell>
          <cell r="AI31">
            <v>66</v>
          </cell>
        </row>
        <row r="32">
          <cell r="I32">
            <v>0</v>
          </cell>
          <cell r="J32">
            <v>34</v>
          </cell>
          <cell r="K32">
            <v>0</v>
          </cell>
          <cell r="L32">
            <v>-27128</v>
          </cell>
          <cell r="M32">
            <v>-1338</v>
          </cell>
          <cell r="N32">
            <v>-6704</v>
          </cell>
          <cell r="O32">
            <v>8892227</v>
          </cell>
          <cell r="P32">
            <v>5602019</v>
          </cell>
          <cell r="Q32">
            <v>6220891</v>
          </cell>
          <cell r="R32">
            <v>7382625</v>
          </cell>
          <cell r="S32">
            <v>8025339</v>
          </cell>
          <cell r="T32">
            <v>8289065</v>
          </cell>
          <cell r="U32">
            <v>6968919</v>
          </cell>
          <cell r="V32">
            <v>5813450</v>
          </cell>
          <cell r="W32">
            <v>7991894</v>
          </cell>
          <cell r="X32">
            <v>9421048</v>
          </cell>
          <cell r="Y32">
            <v>12571268</v>
          </cell>
          <cell r="Z32">
            <v>12730812</v>
          </cell>
          <cell r="AA32">
            <v>8325179</v>
          </cell>
          <cell r="AB32">
            <v>5262839</v>
          </cell>
          <cell r="AC32">
            <v>5525475</v>
          </cell>
          <cell r="AD32">
            <v>7824875</v>
          </cell>
          <cell r="AE32">
            <v>7437712</v>
          </cell>
          <cell r="AF32">
            <v>7148986</v>
          </cell>
          <cell r="AG32">
            <v>5194114</v>
          </cell>
          <cell r="AI32">
            <v>34</v>
          </cell>
        </row>
        <row r="33">
          <cell r="I33">
            <v>14</v>
          </cell>
          <cell r="J33">
            <v>-14</v>
          </cell>
          <cell r="K33">
            <v>88</v>
          </cell>
          <cell r="L33">
            <v>-2767</v>
          </cell>
          <cell r="M33">
            <v>-76</v>
          </cell>
          <cell r="N33">
            <v>-10467</v>
          </cell>
          <cell r="O33">
            <v>7730456</v>
          </cell>
          <cell r="P33">
            <v>4861251</v>
          </cell>
          <cell r="Q33">
            <v>5321871</v>
          </cell>
          <cell r="R33">
            <v>6251391</v>
          </cell>
          <cell r="S33">
            <v>7039342</v>
          </cell>
          <cell r="T33">
            <v>7489780</v>
          </cell>
          <cell r="U33">
            <v>5852916</v>
          </cell>
          <cell r="V33">
            <v>5132761</v>
          </cell>
          <cell r="W33">
            <v>6391379</v>
          </cell>
          <cell r="X33">
            <v>7408083</v>
          </cell>
          <cell r="Y33">
            <v>10430216</v>
          </cell>
          <cell r="Z33">
            <v>10227146</v>
          </cell>
          <cell r="AA33">
            <v>7187608</v>
          </cell>
          <cell r="AB33">
            <v>4408861</v>
          </cell>
          <cell r="AC33">
            <v>4443603</v>
          </cell>
          <cell r="AD33">
            <v>6308025</v>
          </cell>
          <cell r="AE33">
            <v>5307926</v>
          </cell>
          <cell r="AF33">
            <v>5197472</v>
          </cell>
          <cell r="AG33">
            <v>3678691</v>
          </cell>
          <cell r="AI33">
            <v>-14</v>
          </cell>
        </row>
        <row r="34">
          <cell r="I34">
            <v>-14</v>
          </cell>
          <cell r="J34">
            <v>-25603</v>
          </cell>
          <cell r="K34">
            <v>-83</v>
          </cell>
          <cell r="L34">
            <v>0</v>
          </cell>
          <cell r="M34">
            <v>-16887</v>
          </cell>
          <cell r="N34">
            <v>-2797</v>
          </cell>
          <cell r="O34">
            <v>8148309</v>
          </cell>
          <cell r="P34">
            <v>5322219</v>
          </cell>
          <cell r="Q34">
            <v>5515347</v>
          </cell>
          <cell r="R34">
            <v>6960684</v>
          </cell>
          <cell r="S34">
            <v>7312886</v>
          </cell>
          <cell r="T34">
            <v>8277588</v>
          </cell>
          <cell r="U34">
            <v>6457737</v>
          </cell>
          <cell r="V34">
            <v>5944267</v>
          </cell>
          <cell r="W34">
            <v>7610138</v>
          </cell>
          <cell r="X34">
            <v>8765837</v>
          </cell>
          <cell r="Y34">
            <v>12349371</v>
          </cell>
          <cell r="Z34">
            <v>12160729</v>
          </cell>
          <cell r="AA34">
            <v>8614832</v>
          </cell>
          <cell r="AB34">
            <v>5098588</v>
          </cell>
          <cell r="AC34">
            <v>5007016</v>
          </cell>
          <cell r="AD34">
            <v>7949983</v>
          </cell>
          <cell r="AE34">
            <v>8213093</v>
          </cell>
          <cell r="AF34">
            <v>8051150</v>
          </cell>
          <cell r="AG34">
            <v>5511291</v>
          </cell>
          <cell r="AI34">
            <v>-25603</v>
          </cell>
        </row>
        <row r="35">
          <cell r="I35">
            <v>0</v>
          </cell>
          <cell r="J35">
            <v>107</v>
          </cell>
          <cell r="K35">
            <v>-1752</v>
          </cell>
          <cell r="L35">
            <v>0</v>
          </cell>
          <cell r="M35">
            <v>34</v>
          </cell>
          <cell r="N35">
            <v>-4619</v>
          </cell>
          <cell r="O35">
            <v>6898465</v>
          </cell>
          <cell r="P35">
            <v>5852083</v>
          </cell>
          <cell r="Q35">
            <v>6000732</v>
          </cell>
          <cell r="R35">
            <v>7436042</v>
          </cell>
          <cell r="S35">
            <v>7779406</v>
          </cell>
          <cell r="T35">
            <v>9148847</v>
          </cell>
          <cell r="U35">
            <v>7413544</v>
          </cell>
          <cell r="V35">
            <v>6679859</v>
          </cell>
          <cell r="W35">
            <v>8901091</v>
          </cell>
          <cell r="X35">
            <v>9937010</v>
          </cell>
          <cell r="Y35">
            <v>13848281</v>
          </cell>
          <cell r="Z35">
            <v>14567628</v>
          </cell>
          <cell r="AA35">
            <v>10106129</v>
          </cell>
          <cell r="AB35">
            <v>5995576</v>
          </cell>
          <cell r="AC35">
            <v>5879597</v>
          </cell>
          <cell r="AD35">
            <v>8308376</v>
          </cell>
          <cell r="AE35">
            <v>7944679</v>
          </cell>
          <cell r="AF35">
            <v>7946299</v>
          </cell>
          <cell r="AG35">
            <v>5567215</v>
          </cell>
          <cell r="AI35">
            <v>107</v>
          </cell>
        </row>
        <row r="36">
          <cell r="I36">
            <v>0</v>
          </cell>
          <cell r="J36">
            <v>-321</v>
          </cell>
          <cell r="K36">
            <v>-529</v>
          </cell>
          <cell r="L36">
            <v>5</v>
          </cell>
          <cell r="M36">
            <v>-20102</v>
          </cell>
          <cell r="N36">
            <v>-74</v>
          </cell>
          <cell r="O36">
            <v>4274983</v>
          </cell>
          <cell r="P36">
            <v>5106879</v>
          </cell>
          <cell r="Q36">
            <v>5097406</v>
          </cell>
          <cell r="R36">
            <v>6491247</v>
          </cell>
          <cell r="S36">
            <v>6726621</v>
          </cell>
          <cell r="T36">
            <v>7531022</v>
          </cell>
          <cell r="U36">
            <v>6181695</v>
          </cell>
          <cell r="V36">
            <v>4914045</v>
          </cell>
          <cell r="W36">
            <v>6936988</v>
          </cell>
          <cell r="X36">
            <v>7687878</v>
          </cell>
          <cell r="Y36">
            <v>10684128</v>
          </cell>
          <cell r="Z36">
            <v>11333305</v>
          </cell>
          <cell r="AA36">
            <v>7768608</v>
          </cell>
          <cell r="AB36">
            <v>4950697</v>
          </cell>
          <cell r="AC36">
            <v>4792258</v>
          </cell>
          <cell r="AD36">
            <v>6877801</v>
          </cell>
          <cell r="AE36">
            <v>6516363</v>
          </cell>
          <cell r="AF36">
            <v>6814218</v>
          </cell>
          <cell r="AG36">
            <v>4703044</v>
          </cell>
          <cell r="AI36">
            <v>-321</v>
          </cell>
        </row>
        <row r="37">
          <cell r="I37">
            <v>14</v>
          </cell>
          <cell r="J37">
            <v>147</v>
          </cell>
          <cell r="K37">
            <v>-732</v>
          </cell>
          <cell r="L37">
            <v>10</v>
          </cell>
          <cell r="M37">
            <v>-5076</v>
          </cell>
          <cell r="N37">
            <v>-1045</v>
          </cell>
          <cell r="O37">
            <v>10631</v>
          </cell>
          <cell r="P37">
            <v>5904562</v>
          </cell>
          <cell r="Q37">
            <v>5692588</v>
          </cell>
          <cell r="R37">
            <v>7518264</v>
          </cell>
          <cell r="S37">
            <v>7444140</v>
          </cell>
          <cell r="T37">
            <v>8636408</v>
          </cell>
          <cell r="U37">
            <v>7231850</v>
          </cell>
          <cell r="V37">
            <v>6033877</v>
          </cell>
          <cell r="W37">
            <v>8851290</v>
          </cell>
          <cell r="X37">
            <v>9386751</v>
          </cell>
          <cell r="Y37">
            <v>13711949</v>
          </cell>
          <cell r="Z37">
            <v>13869700</v>
          </cell>
          <cell r="AA37">
            <v>9849717</v>
          </cell>
          <cell r="AB37">
            <v>6135028</v>
          </cell>
          <cell r="AC37">
            <v>5523988</v>
          </cell>
          <cell r="AD37">
            <v>7688125</v>
          </cell>
          <cell r="AE37">
            <v>7343841</v>
          </cell>
          <cell r="AF37">
            <v>7393602</v>
          </cell>
          <cell r="AG37">
            <v>5351983</v>
          </cell>
          <cell r="AI37">
            <v>147</v>
          </cell>
        </row>
        <row r="38">
          <cell r="I38">
            <v>-7</v>
          </cell>
          <cell r="J38">
            <v>187</v>
          </cell>
          <cell r="K38">
            <v>30</v>
          </cell>
          <cell r="L38">
            <v>-420</v>
          </cell>
          <cell r="M38">
            <v>0</v>
          </cell>
          <cell r="N38">
            <v>-2382</v>
          </cell>
          <cell r="O38">
            <v>10586</v>
          </cell>
          <cell r="P38">
            <v>6375317</v>
          </cell>
          <cell r="Q38">
            <v>6265859</v>
          </cell>
          <cell r="R38">
            <v>7809546</v>
          </cell>
          <cell r="S38">
            <v>7822957</v>
          </cell>
          <cell r="T38">
            <v>8777391</v>
          </cell>
          <cell r="U38">
            <v>7869121</v>
          </cell>
          <cell r="V38">
            <v>5734928</v>
          </cell>
          <cell r="W38">
            <v>8007221</v>
          </cell>
          <cell r="X38">
            <v>9018568</v>
          </cell>
          <cell r="Y38">
            <v>12484741</v>
          </cell>
          <cell r="Z38">
            <v>13302340</v>
          </cell>
          <cell r="AA38">
            <v>9833883</v>
          </cell>
          <cell r="AB38">
            <v>6335717</v>
          </cell>
          <cell r="AC38">
            <v>5851255</v>
          </cell>
          <cell r="AD38">
            <v>9069240</v>
          </cell>
          <cell r="AE38">
            <v>8609899</v>
          </cell>
          <cell r="AF38">
            <v>8830621</v>
          </cell>
          <cell r="AG38">
            <v>6490095</v>
          </cell>
          <cell r="AI38">
            <v>187</v>
          </cell>
        </row>
        <row r="39">
          <cell r="I39">
            <v>0</v>
          </cell>
          <cell r="J39">
            <v>110</v>
          </cell>
          <cell r="K39">
            <v>-454</v>
          </cell>
          <cell r="L39">
            <v>0</v>
          </cell>
          <cell r="M39">
            <v>-1528</v>
          </cell>
          <cell r="N39">
            <v>-2518</v>
          </cell>
          <cell r="O39">
            <v>11502</v>
          </cell>
          <cell r="P39">
            <v>5794576</v>
          </cell>
          <cell r="Q39">
            <v>5228105</v>
          </cell>
          <cell r="R39">
            <v>6872163</v>
          </cell>
          <cell r="S39">
            <v>6620994</v>
          </cell>
          <cell r="T39">
            <v>7948096</v>
          </cell>
          <cell r="U39">
            <v>6803525</v>
          </cell>
          <cell r="V39">
            <v>5251109</v>
          </cell>
          <cell r="W39">
            <v>7792758</v>
          </cell>
          <cell r="X39">
            <v>8735671</v>
          </cell>
          <cell r="Y39">
            <v>12904068</v>
          </cell>
          <cell r="Z39">
            <v>13311601</v>
          </cell>
          <cell r="AA39">
            <v>10339581</v>
          </cell>
          <cell r="AB39">
            <v>6034771</v>
          </cell>
          <cell r="AC39">
            <v>5207869</v>
          </cell>
          <cell r="AD39">
            <v>7697079</v>
          </cell>
          <cell r="AE39">
            <v>8125240</v>
          </cell>
          <cell r="AF39">
            <v>7928975</v>
          </cell>
          <cell r="AG39">
            <v>5756662</v>
          </cell>
          <cell r="AI39">
            <v>110</v>
          </cell>
        </row>
        <row r="40">
          <cell r="I40">
            <v>32</v>
          </cell>
          <cell r="J40">
            <v>-8524</v>
          </cell>
          <cell r="K40">
            <v>144</v>
          </cell>
          <cell r="L40">
            <v>14</v>
          </cell>
          <cell r="M40">
            <v>21</v>
          </cell>
          <cell r="N40">
            <v>-1027</v>
          </cell>
          <cell r="O40">
            <v>5863</v>
          </cell>
          <cell r="P40">
            <v>5964328</v>
          </cell>
          <cell r="Q40">
            <v>5188851</v>
          </cell>
          <cell r="R40">
            <v>6907042</v>
          </cell>
          <cell r="S40">
            <v>6572505</v>
          </cell>
          <cell r="T40">
            <v>8047986</v>
          </cell>
          <cell r="U40">
            <v>6837142</v>
          </cell>
          <cell r="V40">
            <v>5419117</v>
          </cell>
          <cell r="W40">
            <v>6928849</v>
          </cell>
          <cell r="X40">
            <v>7632422</v>
          </cell>
          <cell r="Y40">
            <v>11116566</v>
          </cell>
          <cell r="Z40">
            <v>11949820</v>
          </cell>
          <cell r="AA40">
            <v>9217078</v>
          </cell>
          <cell r="AB40">
            <v>5642046</v>
          </cell>
          <cell r="AC40">
            <v>5094379</v>
          </cell>
          <cell r="AD40">
            <v>6747678</v>
          </cell>
          <cell r="AE40">
            <v>7102965</v>
          </cell>
          <cell r="AF40">
            <v>7331147</v>
          </cell>
          <cell r="AG40">
            <v>5058377</v>
          </cell>
          <cell r="AI40">
            <v>-8524</v>
          </cell>
        </row>
        <row r="41">
          <cell r="I41">
            <v>0</v>
          </cell>
          <cell r="J41">
            <v>49</v>
          </cell>
          <cell r="K41">
            <v>-3178</v>
          </cell>
          <cell r="L41">
            <v>-635</v>
          </cell>
          <cell r="M41">
            <v>33</v>
          </cell>
          <cell r="N41">
            <v>236</v>
          </cell>
          <cell r="O41">
            <v>-1463</v>
          </cell>
          <cell r="P41">
            <v>5287307</v>
          </cell>
          <cell r="Q41">
            <v>4696070</v>
          </cell>
          <cell r="R41">
            <v>6223977</v>
          </cell>
          <cell r="S41">
            <v>5805651</v>
          </cell>
          <cell r="T41">
            <v>7187792</v>
          </cell>
          <cell r="U41">
            <v>6322188</v>
          </cell>
          <cell r="V41">
            <v>4811392</v>
          </cell>
          <cell r="W41">
            <v>6584701</v>
          </cell>
          <cell r="X41">
            <v>7294242</v>
          </cell>
          <cell r="Y41">
            <v>10738598</v>
          </cell>
          <cell r="Z41">
            <v>11502913</v>
          </cell>
          <cell r="AA41">
            <v>8843485</v>
          </cell>
          <cell r="AB41">
            <v>5432624</v>
          </cell>
          <cell r="AC41">
            <v>4846664</v>
          </cell>
          <cell r="AD41">
            <v>6687221</v>
          </cell>
          <cell r="AE41">
            <v>7041652</v>
          </cell>
          <cell r="AF41">
            <v>7520663</v>
          </cell>
          <cell r="AG41">
            <v>5253301</v>
          </cell>
          <cell r="AI41">
            <v>49</v>
          </cell>
        </row>
        <row r="42">
          <cell r="I42">
            <v>0</v>
          </cell>
          <cell r="J42">
            <v>-256</v>
          </cell>
          <cell r="K42">
            <v>149</v>
          </cell>
          <cell r="L42">
            <v>-400</v>
          </cell>
          <cell r="M42">
            <v>-4213</v>
          </cell>
          <cell r="N42">
            <v>-47</v>
          </cell>
          <cell r="O42">
            <v>7038</v>
          </cell>
          <cell r="P42">
            <v>4652731</v>
          </cell>
          <cell r="Q42">
            <v>4214305</v>
          </cell>
          <cell r="R42">
            <v>5700287</v>
          </cell>
          <cell r="S42">
            <v>5406715</v>
          </cell>
          <cell r="T42">
            <v>6478344</v>
          </cell>
          <cell r="U42">
            <v>5820953</v>
          </cell>
          <cell r="V42">
            <v>4505380</v>
          </cell>
          <cell r="W42">
            <v>6043857</v>
          </cell>
          <cell r="X42">
            <v>7191819</v>
          </cell>
          <cell r="Y42">
            <v>10205799</v>
          </cell>
          <cell r="Z42">
            <v>10829717</v>
          </cell>
          <cell r="AA42">
            <v>8995594</v>
          </cell>
          <cell r="AB42">
            <v>5272034</v>
          </cell>
          <cell r="AC42">
            <v>4647333</v>
          </cell>
          <cell r="AD42">
            <v>6647612</v>
          </cell>
          <cell r="AE42">
            <v>7064845</v>
          </cell>
          <cell r="AF42">
            <v>7424784</v>
          </cell>
          <cell r="AG42">
            <v>5250668</v>
          </cell>
          <cell r="AI42">
            <v>-256</v>
          </cell>
        </row>
        <row r="43">
          <cell r="I43">
            <v>-24</v>
          </cell>
          <cell r="J43">
            <v>142</v>
          </cell>
          <cell r="K43">
            <v>36</v>
          </cell>
          <cell r="L43">
            <v>-415</v>
          </cell>
          <cell r="M43">
            <v>-100</v>
          </cell>
          <cell r="N43">
            <v>-4227</v>
          </cell>
          <cell r="O43">
            <v>5990</v>
          </cell>
          <cell r="P43">
            <v>5066325</v>
          </cell>
          <cell r="Q43">
            <v>4558065</v>
          </cell>
          <cell r="R43">
            <v>6096421</v>
          </cell>
          <cell r="S43">
            <v>5854005</v>
          </cell>
          <cell r="T43">
            <v>7243306</v>
          </cell>
          <cell r="U43">
            <v>6325373</v>
          </cell>
          <cell r="V43">
            <v>5164831</v>
          </cell>
          <cell r="W43">
            <v>6350420</v>
          </cell>
          <cell r="X43">
            <v>7684053</v>
          </cell>
          <cell r="Y43">
            <v>10817968</v>
          </cell>
          <cell r="Z43">
            <v>11662654</v>
          </cell>
          <cell r="AA43">
            <v>9748490</v>
          </cell>
          <cell r="AB43">
            <v>5723163</v>
          </cell>
          <cell r="AC43">
            <v>4877279</v>
          </cell>
          <cell r="AD43">
            <v>6506421</v>
          </cell>
          <cell r="AE43">
            <v>7253576</v>
          </cell>
          <cell r="AF43">
            <v>7419885</v>
          </cell>
          <cell r="AG43">
            <v>5501117</v>
          </cell>
          <cell r="AI43">
            <v>142</v>
          </cell>
        </row>
        <row r="44">
          <cell r="I44">
            <v>1</v>
          </cell>
          <cell r="J44">
            <v>187</v>
          </cell>
          <cell r="K44">
            <v>-67</v>
          </cell>
          <cell r="L44">
            <v>93</v>
          </cell>
          <cell r="M44">
            <v>-3612</v>
          </cell>
          <cell r="N44">
            <v>-5963</v>
          </cell>
          <cell r="O44">
            <v>4750</v>
          </cell>
          <cell r="P44">
            <v>7127006</v>
          </cell>
          <cell r="Q44">
            <v>6400916</v>
          </cell>
          <cell r="R44">
            <v>8104414</v>
          </cell>
          <cell r="S44">
            <v>8060577</v>
          </cell>
          <cell r="T44">
            <v>9800797</v>
          </cell>
          <cell r="U44">
            <v>8504566</v>
          </cell>
          <cell r="V44">
            <v>7216797</v>
          </cell>
          <cell r="W44">
            <v>8130045</v>
          </cell>
          <cell r="X44">
            <v>9707459</v>
          </cell>
          <cell r="Y44">
            <v>14129121</v>
          </cell>
          <cell r="Z44">
            <v>15195087</v>
          </cell>
          <cell r="AA44">
            <v>13813120</v>
          </cell>
          <cell r="AB44">
            <v>7500272</v>
          </cell>
          <cell r="AC44">
            <v>6442529</v>
          </cell>
          <cell r="AD44">
            <v>8388197</v>
          </cell>
          <cell r="AE44">
            <v>9640048</v>
          </cell>
          <cell r="AF44">
            <v>9975876</v>
          </cell>
          <cell r="AG44">
            <v>7250237</v>
          </cell>
          <cell r="AI44">
            <v>187</v>
          </cell>
        </row>
        <row r="45">
          <cell r="I45">
            <v>0</v>
          </cell>
          <cell r="J45">
            <v>165</v>
          </cell>
          <cell r="K45">
            <v>-859</v>
          </cell>
          <cell r="L45">
            <v>-125</v>
          </cell>
          <cell r="M45">
            <v>-345</v>
          </cell>
          <cell r="N45">
            <v>-15992</v>
          </cell>
          <cell r="O45">
            <v>12371</v>
          </cell>
          <cell r="P45">
            <v>7068289</v>
          </cell>
          <cell r="Q45">
            <v>5710051</v>
          </cell>
          <cell r="R45">
            <v>7153422</v>
          </cell>
          <cell r="S45">
            <v>7003364</v>
          </cell>
          <cell r="T45">
            <v>8647174</v>
          </cell>
          <cell r="U45">
            <v>7522905</v>
          </cell>
          <cell r="V45">
            <v>6632543</v>
          </cell>
          <cell r="W45">
            <v>6804705</v>
          </cell>
          <cell r="X45">
            <v>7922376</v>
          </cell>
          <cell r="Y45">
            <v>11152093</v>
          </cell>
          <cell r="Z45">
            <v>12377666</v>
          </cell>
          <cell r="AA45">
            <v>11590701</v>
          </cell>
          <cell r="AB45">
            <v>6352513</v>
          </cell>
          <cell r="AC45">
            <v>5143727</v>
          </cell>
          <cell r="AD45">
            <v>6137069</v>
          </cell>
          <cell r="AE45">
            <v>7304815</v>
          </cell>
          <cell r="AF45">
            <v>7757278</v>
          </cell>
          <cell r="AG45">
            <v>5595301</v>
          </cell>
          <cell r="AI45">
            <v>165</v>
          </cell>
        </row>
        <row r="46">
          <cell r="I46">
            <v>10</v>
          </cell>
          <cell r="J46">
            <v>45</v>
          </cell>
          <cell r="K46">
            <v>70</v>
          </cell>
          <cell r="L46">
            <v>-711</v>
          </cell>
          <cell r="M46">
            <v>-147</v>
          </cell>
          <cell r="N46">
            <v>-12018</v>
          </cell>
          <cell r="O46">
            <v>1057</v>
          </cell>
          <cell r="P46">
            <v>6813557</v>
          </cell>
          <cell r="Q46">
            <v>5449613</v>
          </cell>
          <cell r="R46">
            <v>7035490</v>
          </cell>
          <cell r="S46">
            <v>7021994</v>
          </cell>
          <cell r="T46">
            <v>8449530</v>
          </cell>
          <cell r="U46">
            <v>7348722</v>
          </cell>
          <cell r="V46">
            <v>6543318</v>
          </cell>
          <cell r="W46">
            <v>7090371</v>
          </cell>
          <cell r="X46">
            <v>8463912</v>
          </cell>
          <cell r="Y46">
            <v>11992545</v>
          </cell>
          <cell r="Z46">
            <v>12997689</v>
          </cell>
          <cell r="AA46">
            <v>12790159</v>
          </cell>
          <cell r="AB46">
            <v>7017948</v>
          </cell>
          <cell r="AC46">
            <v>5514857</v>
          </cell>
          <cell r="AD46">
            <v>6893246</v>
          </cell>
          <cell r="AE46">
            <v>8091043</v>
          </cell>
          <cell r="AF46">
            <v>8800870</v>
          </cell>
          <cell r="AG46">
            <v>6210091</v>
          </cell>
          <cell r="AI46">
            <v>45</v>
          </cell>
        </row>
        <row r="47">
          <cell r="I47">
            <v>0</v>
          </cell>
          <cell r="J47">
            <v>0</v>
          </cell>
          <cell r="K47">
            <v>70</v>
          </cell>
          <cell r="L47">
            <v>-2190</v>
          </cell>
          <cell r="M47">
            <v>-1436</v>
          </cell>
          <cell r="N47">
            <v>-42243</v>
          </cell>
          <cell r="O47">
            <v>571</v>
          </cell>
          <cell r="P47">
            <v>7575281</v>
          </cell>
          <cell r="Q47">
            <v>5651013</v>
          </cell>
          <cell r="R47">
            <v>6779047</v>
          </cell>
          <cell r="S47">
            <v>7521607</v>
          </cell>
          <cell r="T47">
            <v>8571040</v>
          </cell>
          <cell r="U47">
            <v>7367030</v>
          </cell>
          <cell r="V47">
            <v>6923581</v>
          </cell>
          <cell r="W47">
            <v>6865967</v>
          </cell>
          <cell r="X47">
            <v>8792184</v>
          </cell>
          <cell r="Y47">
            <v>11672272</v>
          </cell>
          <cell r="Z47">
            <v>13161790</v>
          </cell>
          <cell r="AA47">
            <v>13050798</v>
          </cell>
          <cell r="AB47">
            <v>7466886</v>
          </cell>
          <cell r="AC47">
            <v>5733132</v>
          </cell>
          <cell r="AD47">
            <v>6755687</v>
          </cell>
          <cell r="AE47">
            <v>8344725</v>
          </cell>
          <cell r="AF47">
            <v>8441365</v>
          </cell>
          <cell r="AG47">
            <v>6538681</v>
          </cell>
          <cell r="AI47">
            <v>0</v>
          </cell>
        </row>
        <row r="49">
          <cell r="I49">
            <v>0</v>
          </cell>
          <cell r="J49">
            <v>110</v>
          </cell>
          <cell r="K49">
            <v>-970</v>
          </cell>
          <cell r="L49">
            <v>-1307</v>
          </cell>
          <cell r="M49">
            <v>-267</v>
          </cell>
          <cell r="N49">
            <v>-3096</v>
          </cell>
          <cell r="O49">
            <v>1836171</v>
          </cell>
          <cell r="P49">
            <v>2072831</v>
          </cell>
          <cell r="Q49">
            <v>1792198</v>
          </cell>
          <cell r="R49">
            <v>2148566</v>
          </cell>
          <cell r="S49">
            <v>2246625</v>
          </cell>
          <cell r="T49">
            <v>1971559</v>
          </cell>
          <cell r="U49">
            <v>1894232</v>
          </cell>
          <cell r="V49">
            <v>1868389</v>
          </cell>
          <cell r="W49">
            <v>1851130</v>
          </cell>
          <cell r="X49">
            <v>2567302</v>
          </cell>
          <cell r="Y49">
            <v>2405917</v>
          </cell>
          <cell r="Z49">
            <v>2195043</v>
          </cell>
          <cell r="AA49">
            <v>1873608</v>
          </cell>
          <cell r="AB49">
            <v>1413978</v>
          </cell>
          <cell r="AC49">
            <v>1684159</v>
          </cell>
          <cell r="AD49">
            <v>1851218</v>
          </cell>
          <cell r="AE49">
            <v>1927300</v>
          </cell>
          <cell r="AF49">
            <v>1865334</v>
          </cell>
          <cell r="AG49">
            <v>1973170</v>
          </cell>
          <cell r="AI49">
            <v>110</v>
          </cell>
        </row>
        <row r="50">
          <cell r="I50">
            <v>0</v>
          </cell>
          <cell r="J50">
            <v>-488</v>
          </cell>
          <cell r="K50">
            <v>-722</v>
          </cell>
          <cell r="L50">
            <v>0</v>
          </cell>
          <cell r="M50">
            <v>-1793</v>
          </cell>
          <cell r="N50">
            <v>-2315</v>
          </cell>
          <cell r="O50">
            <v>1984036</v>
          </cell>
          <cell r="P50">
            <v>1916327</v>
          </cell>
          <cell r="Q50">
            <v>2212168</v>
          </cell>
          <cell r="R50">
            <v>2269001</v>
          </cell>
          <cell r="S50">
            <v>2582540</v>
          </cell>
          <cell r="T50">
            <v>2309276</v>
          </cell>
          <cell r="U50">
            <v>2178770</v>
          </cell>
          <cell r="V50">
            <v>2122735</v>
          </cell>
          <cell r="W50">
            <v>2106079</v>
          </cell>
          <cell r="X50">
            <v>2414969</v>
          </cell>
          <cell r="Y50">
            <v>2618151</v>
          </cell>
          <cell r="Z50">
            <v>2619958</v>
          </cell>
          <cell r="AA50">
            <v>2185166</v>
          </cell>
          <cell r="AB50">
            <v>1856130</v>
          </cell>
          <cell r="AC50">
            <v>2175223</v>
          </cell>
          <cell r="AD50">
            <v>2606344</v>
          </cell>
          <cell r="AE50">
            <v>2684316</v>
          </cell>
          <cell r="AF50">
            <v>2354265</v>
          </cell>
          <cell r="AG50">
            <v>2154508</v>
          </cell>
          <cell r="AI50">
            <v>-488</v>
          </cell>
        </row>
        <row r="51">
          <cell r="I51">
            <v>0</v>
          </cell>
          <cell r="J51">
            <v>0</v>
          </cell>
          <cell r="K51">
            <v>-47800</v>
          </cell>
          <cell r="L51">
            <v>-2883</v>
          </cell>
          <cell r="M51">
            <v>0</v>
          </cell>
          <cell r="N51">
            <v>-9082</v>
          </cell>
          <cell r="O51">
            <v>1721020</v>
          </cell>
          <cell r="P51">
            <v>1563301</v>
          </cell>
          <cell r="Q51">
            <v>1647462</v>
          </cell>
          <cell r="R51">
            <v>1632175</v>
          </cell>
          <cell r="S51">
            <v>1849700</v>
          </cell>
          <cell r="T51">
            <v>1881771</v>
          </cell>
          <cell r="U51">
            <v>1696327</v>
          </cell>
          <cell r="V51">
            <v>1704638</v>
          </cell>
          <cell r="W51">
            <v>1849683</v>
          </cell>
          <cell r="X51">
            <v>2089900</v>
          </cell>
          <cell r="Y51">
            <v>2394324</v>
          </cell>
          <cell r="Z51">
            <v>2502907</v>
          </cell>
          <cell r="AA51">
            <v>1871415</v>
          </cell>
          <cell r="AB51">
            <v>1612450</v>
          </cell>
          <cell r="AC51">
            <v>1586228</v>
          </cell>
          <cell r="AD51">
            <v>1812121</v>
          </cell>
          <cell r="AE51">
            <v>1828283</v>
          </cell>
          <cell r="AF51">
            <v>1810494</v>
          </cell>
          <cell r="AG51">
            <v>1454095</v>
          </cell>
          <cell r="AI51">
            <v>0</v>
          </cell>
        </row>
        <row r="52">
          <cell r="I52">
            <v>-2829</v>
          </cell>
          <cell r="J52">
            <v>-131</v>
          </cell>
          <cell r="K52">
            <v>0</v>
          </cell>
          <cell r="L52">
            <v>0</v>
          </cell>
          <cell r="M52">
            <v>0</v>
          </cell>
          <cell r="N52">
            <v>-1692</v>
          </cell>
          <cell r="O52">
            <v>1051925</v>
          </cell>
          <cell r="P52">
            <v>1177952</v>
          </cell>
          <cell r="Q52">
            <v>1237778</v>
          </cell>
          <cell r="R52">
            <v>1189870</v>
          </cell>
          <cell r="S52">
            <v>1245988</v>
          </cell>
          <cell r="T52">
            <v>1108948</v>
          </cell>
          <cell r="U52">
            <v>1085003</v>
          </cell>
          <cell r="V52">
            <v>984877</v>
          </cell>
          <cell r="W52">
            <v>1082040</v>
          </cell>
          <cell r="X52">
            <v>1221256</v>
          </cell>
          <cell r="Y52">
            <v>1385706</v>
          </cell>
          <cell r="Z52">
            <v>1469716</v>
          </cell>
          <cell r="AA52">
            <v>1137041</v>
          </cell>
          <cell r="AB52">
            <v>951719</v>
          </cell>
          <cell r="AC52">
            <v>1168462</v>
          </cell>
          <cell r="AD52">
            <v>1313327</v>
          </cell>
          <cell r="AE52">
            <v>1282439</v>
          </cell>
          <cell r="AF52">
            <v>1219817</v>
          </cell>
          <cell r="AG52">
            <v>1054007</v>
          </cell>
          <cell r="AI52">
            <v>-131</v>
          </cell>
        </row>
        <row r="53">
          <cell r="I53">
            <v>0</v>
          </cell>
          <cell r="J53">
            <v>0</v>
          </cell>
          <cell r="K53">
            <v>0</v>
          </cell>
          <cell r="L53">
            <v>-121</v>
          </cell>
          <cell r="M53">
            <v>-2589</v>
          </cell>
          <cell r="N53">
            <v>-4626</v>
          </cell>
          <cell r="O53">
            <v>2162473</v>
          </cell>
          <cell r="P53">
            <v>1865379</v>
          </cell>
          <cell r="Q53">
            <v>2043749</v>
          </cell>
          <cell r="R53">
            <v>2187758</v>
          </cell>
          <cell r="S53">
            <v>2239724</v>
          </cell>
          <cell r="T53">
            <v>2407926</v>
          </cell>
          <cell r="U53">
            <v>2135564</v>
          </cell>
          <cell r="V53">
            <v>1969834</v>
          </cell>
          <cell r="W53">
            <v>2347026</v>
          </cell>
          <cell r="X53">
            <v>2600776</v>
          </cell>
          <cell r="Y53">
            <v>3087550</v>
          </cell>
          <cell r="Z53">
            <v>2963795</v>
          </cell>
          <cell r="AA53">
            <v>2302506</v>
          </cell>
          <cell r="AB53">
            <v>1793434</v>
          </cell>
          <cell r="AC53">
            <v>1838379</v>
          </cell>
          <cell r="AD53">
            <v>2291014</v>
          </cell>
          <cell r="AE53">
            <v>2320206</v>
          </cell>
          <cell r="AF53">
            <v>2189459</v>
          </cell>
          <cell r="AG53">
            <v>1903591</v>
          </cell>
          <cell r="AI53">
            <v>0</v>
          </cell>
        </row>
        <row r="54">
          <cell r="I54">
            <v>0</v>
          </cell>
          <cell r="J54">
            <v>0</v>
          </cell>
          <cell r="K54">
            <v>-4000</v>
          </cell>
          <cell r="L54">
            <v>-1801</v>
          </cell>
          <cell r="M54">
            <v>-279</v>
          </cell>
          <cell r="N54">
            <v>-36455</v>
          </cell>
          <cell r="O54">
            <v>2703634</v>
          </cell>
          <cell r="P54">
            <v>2426651</v>
          </cell>
          <cell r="Q54">
            <v>2721773</v>
          </cell>
          <cell r="R54">
            <v>2698185</v>
          </cell>
          <cell r="S54">
            <v>2696303</v>
          </cell>
          <cell r="T54">
            <v>2803903</v>
          </cell>
          <cell r="U54">
            <v>2485970</v>
          </cell>
          <cell r="V54">
            <v>2560119</v>
          </cell>
          <cell r="W54">
            <v>2476043</v>
          </cell>
          <cell r="X54">
            <v>2716585</v>
          </cell>
          <cell r="Y54">
            <v>3059658</v>
          </cell>
          <cell r="Z54">
            <v>3103138</v>
          </cell>
          <cell r="AA54">
            <v>2674311</v>
          </cell>
          <cell r="AB54">
            <v>2494392</v>
          </cell>
          <cell r="AC54">
            <v>2536665</v>
          </cell>
          <cell r="AD54">
            <v>2815329</v>
          </cell>
          <cell r="AE54">
            <v>2574914</v>
          </cell>
          <cell r="AF54">
            <v>2533956</v>
          </cell>
          <cell r="AG54">
            <v>2229756</v>
          </cell>
          <cell r="AI54">
            <v>0</v>
          </cell>
        </row>
        <row r="55">
          <cell r="I55">
            <v>0</v>
          </cell>
          <cell r="J55">
            <v>0</v>
          </cell>
          <cell r="K55">
            <v>0</v>
          </cell>
          <cell r="L55">
            <v>-28961</v>
          </cell>
          <cell r="M55">
            <v>-99</v>
          </cell>
          <cell r="N55">
            <v>-663</v>
          </cell>
          <cell r="O55">
            <v>2458670</v>
          </cell>
          <cell r="P55">
            <v>2382255</v>
          </cell>
          <cell r="Q55">
            <v>2646233</v>
          </cell>
          <cell r="R55">
            <v>3059006</v>
          </cell>
          <cell r="S55">
            <v>2927344</v>
          </cell>
          <cell r="T55">
            <v>3226137</v>
          </cell>
          <cell r="U55">
            <v>2917626</v>
          </cell>
          <cell r="V55">
            <v>2570953</v>
          </cell>
          <cell r="W55">
            <v>2503123</v>
          </cell>
          <cell r="X55">
            <v>2472445</v>
          </cell>
          <cell r="Y55">
            <v>2894911</v>
          </cell>
          <cell r="Z55">
            <v>3080016</v>
          </cell>
          <cell r="AA55">
            <v>2678966</v>
          </cell>
          <cell r="AB55">
            <v>2339360</v>
          </cell>
          <cell r="AC55">
            <v>2574676</v>
          </cell>
          <cell r="AD55">
            <v>3082363</v>
          </cell>
          <cell r="AE55">
            <v>3190375</v>
          </cell>
          <cell r="AF55">
            <v>3888698</v>
          </cell>
          <cell r="AG55">
            <v>3799506</v>
          </cell>
          <cell r="AI55">
            <v>0</v>
          </cell>
        </row>
        <row r="56">
          <cell r="I56">
            <v>0</v>
          </cell>
          <cell r="J56">
            <v>-13</v>
          </cell>
          <cell r="K56">
            <v>0</v>
          </cell>
          <cell r="L56">
            <v>0</v>
          </cell>
          <cell r="M56">
            <v>-1897</v>
          </cell>
          <cell r="N56">
            <v>-21</v>
          </cell>
          <cell r="O56">
            <v>1821642</v>
          </cell>
          <cell r="P56">
            <v>1655050</v>
          </cell>
          <cell r="Q56">
            <v>1465737</v>
          </cell>
          <cell r="R56">
            <v>1972084</v>
          </cell>
          <cell r="S56">
            <v>2069149</v>
          </cell>
          <cell r="T56">
            <v>2301065</v>
          </cell>
          <cell r="U56">
            <v>1932411</v>
          </cell>
          <cell r="V56">
            <v>1795507</v>
          </cell>
          <cell r="W56">
            <v>2136656</v>
          </cell>
          <cell r="X56">
            <v>2269595</v>
          </cell>
          <cell r="Y56">
            <v>2723217</v>
          </cell>
          <cell r="Z56">
            <v>2845246</v>
          </cell>
          <cell r="AA56">
            <v>2233847</v>
          </cell>
          <cell r="AB56">
            <v>1786395</v>
          </cell>
          <cell r="AC56">
            <v>1876675</v>
          </cell>
          <cell r="AD56">
            <v>2354382</v>
          </cell>
          <cell r="AE56">
            <v>2215203</v>
          </cell>
          <cell r="AF56">
            <v>2257311</v>
          </cell>
          <cell r="AG56">
            <v>1889422</v>
          </cell>
          <cell r="AI56">
            <v>-13</v>
          </cell>
        </row>
        <row r="57">
          <cell r="I57">
            <v>0</v>
          </cell>
          <cell r="J57">
            <v>0</v>
          </cell>
          <cell r="K57">
            <v>-61520</v>
          </cell>
          <cell r="L57">
            <v>-1878</v>
          </cell>
          <cell r="M57">
            <v>-524</v>
          </cell>
          <cell r="N57">
            <v>-685</v>
          </cell>
          <cell r="O57">
            <v>3604396</v>
          </cell>
          <cell r="P57">
            <v>3879186</v>
          </cell>
          <cell r="Q57">
            <v>4486933</v>
          </cell>
          <cell r="R57">
            <v>4694270</v>
          </cell>
          <cell r="S57">
            <v>4645736</v>
          </cell>
          <cell r="T57">
            <v>5114420</v>
          </cell>
          <cell r="U57">
            <v>4547044</v>
          </cell>
          <cell r="V57">
            <v>4204958</v>
          </cell>
          <cell r="W57">
            <v>4642066</v>
          </cell>
          <cell r="X57">
            <v>4248450</v>
          </cell>
          <cell r="Y57">
            <v>4893080</v>
          </cell>
          <cell r="Z57">
            <v>5377036</v>
          </cell>
          <cell r="AA57">
            <v>4473802</v>
          </cell>
          <cell r="AB57">
            <v>4181438</v>
          </cell>
          <cell r="AC57">
            <v>4167014</v>
          </cell>
          <cell r="AD57">
            <v>5720900</v>
          </cell>
          <cell r="AE57">
            <v>4558436</v>
          </cell>
          <cell r="AF57">
            <v>4621926</v>
          </cell>
          <cell r="AG57">
            <v>4040791</v>
          </cell>
          <cell r="AI57">
            <v>0</v>
          </cell>
        </row>
        <row r="58">
          <cell r="I58">
            <v>0</v>
          </cell>
          <cell r="J58">
            <v>0</v>
          </cell>
          <cell r="K58">
            <v>-2775</v>
          </cell>
          <cell r="L58">
            <v>-1155</v>
          </cell>
          <cell r="M58">
            <v>0</v>
          </cell>
          <cell r="N58">
            <v>-2312</v>
          </cell>
          <cell r="O58">
            <v>-3575</v>
          </cell>
          <cell r="P58">
            <v>1576915</v>
          </cell>
          <cell r="Q58">
            <v>1663085</v>
          </cell>
          <cell r="R58">
            <v>1904893</v>
          </cell>
          <cell r="S58">
            <v>1780926</v>
          </cell>
          <cell r="T58">
            <v>2069193</v>
          </cell>
          <cell r="U58">
            <v>1807292</v>
          </cell>
          <cell r="V58">
            <v>1612420</v>
          </cell>
          <cell r="W58">
            <v>1884810</v>
          </cell>
          <cell r="X58">
            <v>2002651</v>
          </cell>
          <cell r="Y58">
            <v>2429973</v>
          </cell>
          <cell r="Z58">
            <v>2559613</v>
          </cell>
          <cell r="AA58">
            <v>1936944</v>
          </cell>
          <cell r="AB58">
            <v>1590356</v>
          </cell>
          <cell r="AC58">
            <v>1770193</v>
          </cell>
          <cell r="AD58">
            <v>2200681</v>
          </cell>
          <cell r="AE58">
            <v>2020173</v>
          </cell>
          <cell r="AF58">
            <v>1990044</v>
          </cell>
          <cell r="AG58">
            <v>1724402</v>
          </cell>
          <cell r="AI58">
            <v>0</v>
          </cell>
        </row>
        <row r="59">
          <cell r="I59">
            <v>0</v>
          </cell>
          <cell r="J59">
            <v>-245</v>
          </cell>
          <cell r="K59">
            <v>-104698</v>
          </cell>
          <cell r="L59">
            <v>-244</v>
          </cell>
          <cell r="M59">
            <v>0</v>
          </cell>
          <cell r="N59">
            <v>0</v>
          </cell>
          <cell r="O59">
            <v>-4906</v>
          </cell>
          <cell r="P59">
            <v>2113251</v>
          </cell>
          <cell r="Q59">
            <v>2475253</v>
          </cell>
          <cell r="R59">
            <v>2849262</v>
          </cell>
          <cell r="S59">
            <v>2909088</v>
          </cell>
          <cell r="T59">
            <v>3009880</v>
          </cell>
          <cell r="U59">
            <v>2770567</v>
          </cell>
          <cell r="V59">
            <v>2538841</v>
          </cell>
          <cell r="W59">
            <v>2711914</v>
          </cell>
          <cell r="X59">
            <v>2737794</v>
          </cell>
          <cell r="Y59">
            <v>3082570</v>
          </cell>
          <cell r="Z59">
            <v>3516203</v>
          </cell>
          <cell r="AA59">
            <v>2895672</v>
          </cell>
          <cell r="AB59">
            <v>2484455</v>
          </cell>
          <cell r="AC59">
            <v>2565525</v>
          </cell>
          <cell r="AD59">
            <v>3315163</v>
          </cell>
          <cell r="AE59">
            <v>3158185</v>
          </cell>
          <cell r="AF59">
            <v>3195205</v>
          </cell>
          <cell r="AG59">
            <v>2878239</v>
          </cell>
          <cell r="AI59">
            <v>-245</v>
          </cell>
        </row>
        <row r="60">
          <cell r="I60">
            <v>0</v>
          </cell>
          <cell r="J60">
            <v>439</v>
          </cell>
          <cell r="K60">
            <v>0</v>
          </cell>
          <cell r="L60">
            <v>-4252</v>
          </cell>
          <cell r="M60">
            <v>-3216</v>
          </cell>
          <cell r="N60">
            <v>-1016</v>
          </cell>
          <cell r="O60">
            <v>-12846</v>
          </cell>
          <cell r="P60">
            <v>1448797</v>
          </cell>
          <cell r="Q60">
            <v>1479881</v>
          </cell>
          <cell r="R60">
            <v>1810670</v>
          </cell>
          <cell r="S60">
            <v>1792921</v>
          </cell>
          <cell r="T60">
            <v>2095678</v>
          </cell>
          <cell r="U60">
            <v>1818684</v>
          </cell>
          <cell r="V60">
            <v>1587584</v>
          </cell>
          <cell r="W60">
            <v>1811570</v>
          </cell>
          <cell r="X60">
            <v>1722258</v>
          </cell>
          <cell r="Y60">
            <v>2140969</v>
          </cell>
          <cell r="Z60">
            <v>2273593</v>
          </cell>
          <cell r="AA60">
            <v>1948476</v>
          </cell>
          <cell r="AB60">
            <v>1499863</v>
          </cell>
          <cell r="AC60">
            <v>1526861</v>
          </cell>
          <cell r="AD60">
            <v>2000317</v>
          </cell>
          <cell r="AE60">
            <v>2029724</v>
          </cell>
          <cell r="AF60">
            <v>2008541</v>
          </cell>
          <cell r="AG60">
            <v>1812159</v>
          </cell>
          <cell r="AI60">
            <v>439</v>
          </cell>
        </row>
        <row r="61">
          <cell r="I61">
            <v>-8</v>
          </cell>
          <cell r="J61">
            <v>0</v>
          </cell>
          <cell r="K61">
            <v>0</v>
          </cell>
          <cell r="L61">
            <v>-2573</v>
          </cell>
          <cell r="M61">
            <v>-1573</v>
          </cell>
          <cell r="N61">
            <v>0</v>
          </cell>
          <cell r="O61">
            <v>-4819</v>
          </cell>
          <cell r="P61">
            <v>1292947</v>
          </cell>
          <cell r="Q61">
            <v>1267917</v>
          </cell>
          <cell r="R61">
            <v>1512818</v>
          </cell>
          <cell r="S61">
            <v>1411465</v>
          </cell>
          <cell r="T61">
            <v>1643359</v>
          </cell>
          <cell r="U61">
            <v>1455773</v>
          </cell>
          <cell r="V61">
            <v>1250939</v>
          </cell>
          <cell r="W61">
            <v>1457262</v>
          </cell>
          <cell r="X61">
            <v>1394506</v>
          </cell>
          <cell r="Y61">
            <v>1730102</v>
          </cell>
          <cell r="Z61">
            <v>1773245</v>
          </cell>
          <cell r="AA61">
            <v>1533467</v>
          </cell>
          <cell r="AB61">
            <v>1289062</v>
          </cell>
          <cell r="AC61">
            <v>1268447</v>
          </cell>
          <cell r="AD61">
            <v>1553007</v>
          </cell>
          <cell r="AE61">
            <v>1571468</v>
          </cell>
          <cell r="AF61">
            <v>1601327</v>
          </cell>
          <cell r="AG61">
            <v>1343799</v>
          </cell>
          <cell r="AI61">
            <v>0</v>
          </cell>
        </row>
        <row r="62">
          <cell r="I62">
            <v>0</v>
          </cell>
          <cell r="J62">
            <v>-2459</v>
          </cell>
          <cell r="K62">
            <v>-7630</v>
          </cell>
          <cell r="L62">
            <v>0</v>
          </cell>
          <cell r="M62">
            <v>0</v>
          </cell>
          <cell r="N62">
            <v>-1273</v>
          </cell>
          <cell r="O62">
            <v>1520</v>
          </cell>
          <cell r="P62">
            <v>1282300</v>
          </cell>
          <cell r="Q62">
            <v>1466619</v>
          </cell>
          <cell r="R62">
            <v>1742643</v>
          </cell>
          <cell r="S62">
            <v>1583709</v>
          </cell>
          <cell r="T62">
            <v>1766680</v>
          </cell>
          <cell r="U62">
            <v>1578269</v>
          </cell>
          <cell r="V62">
            <v>1322643</v>
          </cell>
          <cell r="W62">
            <v>1570710</v>
          </cell>
          <cell r="X62">
            <v>1603308</v>
          </cell>
          <cell r="Y62">
            <v>1727066</v>
          </cell>
          <cell r="Z62">
            <v>1752890</v>
          </cell>
          <cell r="AA62">
            <v>1487468</v>
          </cell>
          <cell r="AB62">
            <v>1289222</v>
          </cell>
          <cell r="AC62">
            <v>1308306</v>
          </cell>
          <cell r="AD62">
            <v>1485547</v>
          </cell>
          <cell r="AE62">
            <v>1494188</v>
          </cell>
          <cell r="AF62">
            <v>1552508</v>
          </cell>
          <cell r="AG62">
            <v>1156878</v>
          </cell>
          <cell r="AI62">
            <v>-2459</v>
          </cell>
        </row>
        <row r="63">
          <cell r="I63">
            <v>0</v>
          </cell>
          <cell r="J63">
            <v>0</v>
          </cell>
          <cell r="K63">
            <v>-32761</v>
          </cell>
          <cell r="L63">
            <v>-631</v>
          </cell>
          <cell r="M63">
            <v>-240</v>
          </cell>
          <cell r="N63">
            <v>-3190</v>
          </cell>
          <cell r="O63">
            <v>-786</v>
          </cell>
          <cell r="P63">
            <v>1396107</v>
          </cell>
          <cell r="Q63">
            <v>1352908</v>
          </cell>
          <cell r="R63">
            <v>1462368</v>
          </cell>
          <cell r="S63">
            <v>1429716</v>
          </cell>
          <cell r="T63">
            <v>1621945</v>
          </cell>
          <cell r="U63">
            <v>1504293</v>
          </cell>
          <cell r="V63">
            <v>1313932</v>
          </cell>
          <cell r="W63">
            <v>1618810</v>
          </cell>
          <cell r="X63">
            <v>1696797</v>
          </cell>
          <cell r="Y63">
            <v>2230361</v>
          </cell>
          <cell r="Z63">
            <v>2303566</v>
          </cell>
          <cell r="AA63">
            <v>1967674</v>
          </cell>
          <cell r="AB63">
            <v>1485853</v>
          </cell>
          <cell r="AC63">
            <v>1380587</v>
          </cell>
          <cell r="AD63">
            <v>1582054</v>
          </cell>
          <cell r="AE63">
            <v>1578138</v>
          </cell>
          <cell r="AF63">
            <v>1680138</v>
          </cell>
          <cell r="AG63">
            <v>1380101</v>
          </cell>
          <cell r="AI63">
            <v>0</v>
          </cell>
        </row>
        <row r="64">
          <cell r="I64">
            <v>0</v>
          </cell>
          <cell r="J64">
            <v>0</v>
          </cell>
          <cell r="K64">
            <v>-7103</v>
          </cell>
          <cell r="L64">
            <v>0</v>
          </cell>
          <cell r="M64">
            <v>-80</v>
          </cell>
          <cell r="N64">
            <v>-1984</v>
          </cell>
          <cell r="O64">
            <v>32998</v>
          </cell>
          <cell r="P64">
            <v>2177535</v>
          </cell>
          <cell r="Q64">
            <v>2004035</v>
          </cell>
          <cell r="R64">
            <v>2317489</v>
          </cell>
          <cell r="S64">
            <v>2297168</v>
          </cell>
          <cell r="T64">
            <v>2361113</v>
          </cell>
          <cell r="U64">
            <v>2112501</v>
          </cell>
          <cell r="V64">
            <v>1976848</v>
          </cell>
          <cell r="W64">
            <v>2360995</v>
          </cell>
          <cell r="X64">
            <v>2013673</v>
          </cell>
          <cell r="Y64">
            <v>2458523</v>
          </cell>
          <cell r="Z64">
            <v>2782540</v>
          </cell>
          <cell r="AA64">
            <v>2253221</v>
          </cell>
          <cell r="AB64">
            <v>1928980</v>
          </cell>
          <cell r="AC64">
            <v>1858506</v>
          </cell>
          <cell r="AD64">
            <v>2192242</v>
          </cell>
          <cell r="AE64">
            <v>2142444</v>
          </cell>
          <cell r="AF64">
            <v>2130550</v>
          </cell>
          <cell r="AG64">
            <v>1694446</v>
          </cell>
          <cell r="AI64">
            <v>0</v>
          </cell>
        </row>
        <row r="65">
          <cell r="I65">
            <v>-4</v>
          </cell>
          <cell r="J65">
            <v>-65759</v>
          </cell>
          <cell r="K65">
            <v>-28984</v>
          </cell>
          <cell r="L65">
            <v>0</v>
          </cell>
          <cell r="M65">
            <v>0</v>
          </cell>
          <cell r="N65">
            <v>-2675</v>
          </cell>
          <cell r="O65">
            <v>-4135</v>
          </cell>
          <cell r="P65">
            <v>2147083</v>
          </cell>
          <cell r="Q65">
            <v>2138046</v>
          </cell>
          <cell r="R65">
            <v>2505167</v>
          </cell>
          <cell r="S65">
            <v>2440310</v>
          </cell>
          <cell r="T65">
            <v>2823637</v>
          </cell>
          <cell r="U65">
            <v>2403336</v>
          </cell>
          <cell r="V65">
            <v>2158322</v>
          </cell>
          <cell r="W65">
            <v>2484518</v>
          </cell>
          <cell r="X65">
            <v>2572566</v>
          </cell>
          <cell r="Y65">
            <v>3278323</v>
          </cell>
          <cell r="Z65">
            <v>3461094</v>
          </cell>
          <cell r="AA65">
            <v>3123201</v>
          </cell>
          <cell r="AB65">
            <v>2226032</v>
          </cell>
          <cell r="AC65">
            <v>1977514</v>
          </cell>
          <cell r="AD65">
            <v>2260357</v>
          </cell>
          <cell r="AE65">
            <v>2445000</v>
          </cell>
          <cell r="AF65">
            <v>2454928</v>
          </cell>
          <cell r="AG65">
            <v>2133989</v>
          </cell>
          <cell r="AI65">
            <v>-65759</v>
          </cell>
        </row>
        <row r="66">
          <cell r="I66">
            <v>0</v>
          </cell>
          <cell r="J66">
            <v>-33</v>
          </cell>
          <cell r="K66">
            <v>-10</v>
          </cell>
          <cell r="L66">
            <v>-2095</v>
          </cell>
          <cell r="M66">
            <v>-375</v>
          </cell>
          <cell r="N66">
            <v>-1076</v>
          </cell>
          <cell r="O66">
            <v>-5078</v>
          </cell>
          <cell r="P66">
            <v>1625805</v>
          </cell>
          <cell r="Q66">
            <v>1619217</v>
          </cell>
          <cell r="R66">
            <v>1969798</v>
          </cell>
          <cell r="S66">
            <v>1857184</v>
          </cell>
          <cell r="T66">
            <v>2048486</v>
          </cell>
          <cell r="U66">
            <v>1910985</v>
          </cell>
          <cell r="V66">
            <v>1717368</v>
          </cell>
          <cell r="W66">
            <v>1742819</v>
          </cell>
          <cell r="X66">
            <v>1550492</v>
          </cell>
          <cell r="Y66">
            <v>1900103</v>
          </cell>
          <cell r="Z66">
            <v>2060659</v>
          </cell>
          <cell r="AA66">
            <v>2010776</v>
          </cell>
          <cell r="AB66">
            <v>1428158</v>
          </cell>
          <cell r="AC66">
            <v>1406928</v>
          </cell>
          <cell r="AD66">
            <v>1748311</v>
          </cell>
          <cell r="AE66">
            <v>1891726</v>
          </cell>
          <cell r="AF66">
            <v>1886600</v>
          </cell>
          <cell r="AG66">
            <v>1583420</v>
          </cell>
          <cell r="AI66">
            <v>-33</v>
          </cell>
        </row>
        <row r="67">
          <cell r="I67">
            <v>0</v>
          </cell>
          <cell r="J67">
            <v>0</v>
          </cell>
          <cell r="K67">
            <v>-15821</v>
          </cell>
          <cell r="L67">
            <v>0</v>
          </cell>
          <cell r="M67">
            <v>0</v>
          </cell>
          <cell r="N67">
            <v>-685</v>
          </cell>
          <cell r="O67">
            <v>3316</v>
          </cell>
          <cell r="P67">
            <v>1808179</v>
          </cell>
          <cell r="Q67">
            <v>1711978</v>
          </cell>
          <cell r="R67">
            <v>2218742</v>
          </cell>
          <cell r="S67">
            <v>2111947</v>
          </cell>
          <cell r="T67">
            <v>2353299</v>
          </cell>
          <cell r="U67">
            <v>2410117</v>
          </cell>
          <cell r="V67">
            <v>1927403</v>
          </cell>
          <cell r="W67">
            <v>2079375</v>
          </cell>
          <cell r="X67">
            <v>2176689</v>
          </cell>
          <cell r="Y67">
            <v>2347569</v>
          </cell>
          <cell r="Z67">
            <v>2410901</v>
          </cell>
          <cell r="AA67">
            <v>2660961</v>
          </cell>
          <cell r="AB67">
            <v>1699374</v>
          </cell>
          <cell r="AC67">
            <v>1793969</v>
          </cell>
          <cell r="AD67">
            <v>2166759</v>
          </cell>
          <cell r="AE67">
            <v>1971305</v>
          </cell>
          <cell r="AF67">
            <v>2205330</v>
          </cell>
          <cell r="AG67">
            <v>1859551</v>
          </cell>
          <cell r="AI67">
            <v>0</v>
          </cell>
        </row>
        <row r="68">
          <cell r="I68">
            <v>0</v>
          </cell>
          <cell r="J68">
            <v>0</v>
          </cell>
          <cell r="K68">
            <v>-966</v>
          </cell>
          <cell r="L68">
            <v>-173</v>
          </cell>
          <cell r="M68">
            <v>-224</v>
          </cell>
          <cell r="N68">
            <v>-5854</v>
          </cell>
          <cell r="O68">
            <v>3888</v>
          </cell>
          <cell r="P68">
            <v>1896237</v>
          </cell>
          <cell r="Q68">
            <v>1932467</v>
          </cell>
          <cell r="R68">
            <v>2312505</v>
          </cell>
          <cell r="S68">
            <v>2139093</v>
          </cell>
          <cell r="T68">
            <v>2460961</v>
          </cell>
          <cell r="U68">
            <v>2015653</v>
          </cell>
          <cell r="V68">
            <v>1786845</v>
          </cell>
          <cell r="W68">
            <v>1607609</v>
          </cell>
          <cell r="X68">
            <v>1802367</v>
          </cell>
          <cell r="Y68">
            <v>1824033</v>
          </cell>
          <cell r="Z68">
            <v>2464953</v>
          </cell>
          <cell r="AA68">
            <v>1889494</v>
          </cell>
          <cell r="AB68">
            <v>1691940</v>
          </cell>
          <cell r="AC68">
            <v>1535800</v>
          </cell>
          <cell r="AD68">
            <v>1772585</v>
          </cell>
          <cell r="AE68">
            <v>1786702</v>
          </cell>
          <cell r="AF68">
            <v>2298977</v>
          </cell>
          <cell r="AG68">
            <v>1255684</v>
          </cell>
          <cell r="AI68">
            <v>0</v>
          </cell>
        </row>
        <row r="70">
          <cell r="I70">
            <v>21498121</v>
          </cell>
          <cell r="J70">
            <v>20311704</v>
          </cell>
          <cell r="K70">
            <v>21262617</v>
          </cell>
          <cell r="L70">
            <v>21076512</v>
          </cell>
          <cell r="M70">
            <v>20683089</v>
          </cell>
          <cell r="N70">
            <v>23498421</v>
          </cell>
          <cell r="O70">
            <v>19744615</v>
          </cell>
          <cell r="P70">
            <v>18946407</v>
          </cell>
          <cell r="Q70">
            <v>21715978</v>
          </cell>
          <cell r="R70">
            <v>22279506</v>
          </cell>
          <cell r="S70">
            <v>24059752</v>
          </cell>
          <cell r="T70">
            <v>21344551</v>
          </cell>
          <cell r="U70">
            <v>21234782</v>
          </cell>
          <cell r="V70">
            <v>21642934</v>
          </cell>
          <cell r="W70">
            <v>18854781</v>
          </cell>
          <cell r="X70">
            <v>18846905</v>
          </cell>
          <cell r="Y70">
            <v>19610276</v>
          </cell>
          <cell r="Z70">
            <v>19834980</v>
          </cell>
          <cell r="AA70">
            <v>19224701</v>
          </cell>
          <cell r="AB70">
            <v>16854378</v>
          </cell>
          <cell r="AC70">
            <v>20706129</v>
          </cell>
          <cell r="AD70">
            <v>23103648</v>
          </cell>
          <cell r="AE70">
            <v>23618755</v>
          </cell>
          <cell r="AF70">
            <v>20024030</v>
          </cell>
          <cell r="AG70">
            <v>19745066</v>
          </cell>
          <cell r="AI70">
            <v>20311704</v>
          </cell>
        </row>
        <row r="71">
          <cell r="I71">
            <v>10351516</v>
          </cell>
          <cell r="J71">
            <v>9827905</v>
          </cell>
          <cell r="K71">
            <v>10574473</v>
          </cell>
          <cell r="L71">
            <v>10895027</v>
          </cell>
          <cell r="M71">
            <v>11146962</v>
          </cell>
          <cell r="N71">
            <v>12533993</v>
          </cell>
          <cell r="O71">
            <v>8292955</v>
          </cell>
          <cell r="P71">
            <v>8099828</v>
          </cell>
          <cell r="Q71">
            <v>9127114</v>
          </cell>
          <cell r="R71">
            <v>9364289</v>
          </cell>
          <cell r="S71">
            <v>10750305</v>
          </cell>
          <cell r="T71">
            <v>9401644</v>
          </cell>
          <cell r="U71">
            <v>8993700</v>
          </cell>
          <cell r="V71">
            <v>8506005</v>
          </cell>
          <cell r="W71">
            <v>7878882</v>
          </cell>
          <cell r="X71">
            <v>8941555</v>
          </cell>
          <cell r="Y71">
            <v>9968756</v>
          </cell>
          <cell r="Z71">
            <v>9818906</v>
          </cell>
          <cell r="AA71">
            <v>8820505</v>
          </cell>
          <cell r="AB71">
            <v>7654618</v>
          </cell>
          <cell r="AC71">
            <v>8831500</v>
          </cell>
          <cell r="AD71">
            <v>10746707</v>
          </cell>
          <cell r="AE71">
            <v>10912702</v>
          </cell>
          <cell r="AF71">
            <v>9366160</v>
          </cell>
          <cell r="AG71">
            <v>8535465</v>
          </cell>
          <cell r="AI71">
            <v>9827905</v>
          </cell>
        </row>
        <row r="72">
          <cell r="I72">
            <v>13746334</v>
          </cell>
          <cell r="J72">
            <v>12397152</v>
          </cell>
          <cell r="K72">
            <v>13391124</v>
          </cell>
          <cell r="L72">
            <v>13437791</v>
          </cell>
          <cell r="M72">
            <v>13584019</v>
          </cell>
          <cell r="N72">
            <v>14862324</v>
          </cell>
          <cell r="O72">
            <v>11196186</v>
          </cell>
          <cell r="P72">
            <v>10929094</v>
          </cell>
          <cell r="Q72">
            <v>12417039</v>
          </cell>
          <cell r="R72">
            <v>12190663</v>
          </cell>
          <cell r="S72">
            <v>13976574</v>
          </cell>
          <cell r="T72">
            <v>12649392</v>
          </cell>
          <cell r="U72">
            <v>12483699</v>
          </cell>
          <cell r="V72">
            <v>8792048</v>
          </cell>
          <cell r="W72">
            <v>9149819</v>
          </cell>
          <cell r="X72">
            <v>9448094</v>
          </cell>
          <cell r="Y72">
            <v>10404722</v>
          </cell>
          <cell r="Z72">
            <v>10522029</v>
          </cell>
          <cell r="AA72">
            <v>9652243</v>
          </cell>
          <cell r="AB72">
            <v>8583231</v>
          </cell>
          <cell r="AC72">
            <v>9642276</v>
          </cell>
          <cell r="AD72">
            <v>11409105</v>
          </cell>
          <cell r="AE72">
            <v>11515321</v>
          </cell>
          <cell r="AF72">
            <v>10900003</v>
          </cell>
          <cell r="AG72">
            <v>9250396</v>
          </cell>
          <cell r="AI72">
            <v>12397152</v>
          </cell>
        </row>
        <row r="73">
          <cell r="I73">
            <v>16494764</v>
          </cell>
          <cell r="J73">
            <v>14271101</v>
          </cell>
          <cell r="K73">
            <v>16363240</v>
          </cell>
          <cell r="L73">
            <v>15932483</v>
          </cell>
          <cell r="M73">
            <v>15980499</v>
          </cell>
          <cell r="N73">
            <v>17520915</v>
          </cell>
          <cell r="O73">
            <v>14210928</v>
          </cell>
          <cell r="P73">
            <v>13567119</v>
          </cell>
          <cell r="Q73">
            <v>14418876</v>
          </cell>
          <cell r="R73">
            <v>14677193</v>
          </cell>
          <cell r="S73">
            <v>15997501</v>
          </cell>
          <cell r="T73">
            <v>15397985</v>
          </cell>
          <cell r="U73">
            <v>14860975</v>
          </cell>
          <cell r="V73">
            <v>12643669</v>
          </cell>
          <cell r="W73">
            <v>12849839</v>
          </cell>
          <cell r="X73">
            <v>12532506</v>
          </cell>
          <cell r="Y73">
            <v>13705747</v>
          </cell>
          <cell r="Z73">
            <v>14518934</v>
          </cell>
          <cell r="AA73">
            <v>13003981</v>
          </cell>
          <cell r="AB73">
            <v>11512727</v>
          </cell>
          <cell r="AC73">
            <v>13092605</v>
          </cell>
          <cell r="AD73">
            <v>15825909</v>
          </cell>
          <cell r="AE73">
            <v>14927814</v>
          </cell>
          <cell r="AF73">
            <v>15493736</v>
          </cell>
          <cell r="AG73">
            <v>12566258</v>
          </cell>
          <cell r="AI73">
            <v>14271101</v>
          </cell>
        </row>
        <row r="74">
          <cell r="I74">
            <v>17589137</v>
          </cell>
          <cell r="J74">
            <v>15118181</v>
          </cell>
          <cell r="K74">
            <v>16834182</v>
          </cell>
          <cell r="L74">
            <v>17792838</v>
          </cell>
          <cell r="M74">
            <v>17647866</v>
          </cell>
          <cell r="N74">
            <v>18749345</v>
          </cell>
          <cell r="O74">
            <v>14739750</v>
          </cell>
          <cell r="P74">
            <v>13696494</v>
          </cell>
          <cell r="Q74">
            <v>15108718</v>
          </cell>
          <cell r="R74">
            <v>16574923</v>
          </cell>
          <cell r="S74">
            <v>16835772</v>
          </cell>
          <cell r="T74">
            <v>17260876</v>
          </cell>
          <cell r="U74">
            <v>16690574</v>
          </cell>
          <cell r="V74">
            <v>13902354</v>
          </cell>
          <cell r="W74">
            <v>15451288</v>
          </cell>
          <cell r="X74">
            <v>15342493</v>
          </cell>
          <cell r="Y74">
            <v>16541232</v>
          </cell>
          <cell r="Z74">
            <v>17672952</v>
          </cell>
          <cell r="AA74">
            <v>15700205</v>
          </cell>
          <cell r="AB74">
            <v>13949247</v>
          </cell>
          <cell r="AC74">
            <v>15635199</v>
          </cell>
          <cell r="AD74">
            <v>19793664</v>
          </cell>
          <cell r="AE74">
            <v>18030540</v>
          </cell>
          <cell r="AF74">
            <v>18539304</v>
          </cell>
          <cell r="AG74">
            <v>15906973</v>
          </cell>
          <cell r="AI74">
            <v>15118181</v>
          </cell>
        </row>
        <row r="75">
          <cell r="I75">
            <v>19256206</v>
          </cell>
          <cell r="J75">
            <v>16509022</v>
          </cell>
          <cell r="K75">
            <v>17389185</v>
          </cell>
          <cell r="L75">
            <v>17391414</v>
          </cell>
          <cell r="M75">
            <v>17431938</v>
          </cell>
          <cell r="N75">
            <v>18232223</v>
          </cell>
          <cell r="O75">
            <v>13997015</v>
          </cell>
          <cell r="P75">
            <v>13343232</v>
          </cell>
          <cell r="Q75">
            <v>15208635</v>
          </cell>
          <cell r="R75">
            <v>15771682</v>
          </cell>
          <cell r="S75">
            <v>16855454</v>
          </cell>
          <cell r="T75">
            <v>17207909</v>
          </cell>
          <cell r="U75">
            <v>15554311</v>
          </cell>
          <cell r="V75">
            <v>14259793</v>
          </cell>
          <cell r="W75">
            <v>13588081</v>
          </cell>
          <cell r="X75">
            <v>13558131</v>
          </cell>
          <cell r="Y75">
            <v>14774580</v>
          </cell>
          <cell r="Z75">
            <v>16197205</v>
          </cell>
          <cell r="AA75">
            <v>14529249</v>
          </cell>
          <cell r="AB75">
            <v>13606900</v>
          </cell>
          <cell r="AC75">
            <v>14421971</v>
          </cell>
          <cell r="AD75">
            <v>17984605</v>
          </cell>
          <cell r="AE75">
            <v>16462023</v>
          </cell>
          <cell r="AF75">
            <v>17204678</v>
          </cell>
          <cell r="AG75">
            <v>14630596</v>
          </cell>
          <cell r="AI75">
            <v>16509022</v>
          </cell>
        </row>
        <row r="76">
          <cell r="I76">
            <v>25364199</v>
          </cell>
          <cell r="J76">
            <v>22209027</v>
          </cell>
          <cell r="K76">
            <v>23416381</v>
          </cell>
          <cell r="L76">
            <v>22435135</v>
          </cell>
          <cell r="M76">
            <v>23040945</v>
          </cell>
          <cell r="N76">
            <v>24857895</v>
          </cell>
          <cell r="O76">
            <v>19856653</v>
          </cell>
          <cell r="P76">
            <v>19154393</v>
          </cell>
          <cell r="Q76">
            <v>20215549</v>
          </cell>
          <cell r="R76">
            <v>22828947</v>
          </cell>
          <cell r="S76">
            <v>23149561</v>
          </cell>
          <cell r="T76">
            <v>24079068</v>
          </cell>
          <cell r="U76">
            <v>21789799</v>
          </cell>
          <cell r="V76">
            <v>19635882</v>
          </cell>
          <cell r="W76">
            <v>19061463</v>
          </cell>
          <cell r="X76">
            <v>18497240</v>
          </cell>
          <cell r="Y76">
            <v>19199567</v>
          </cell>
          <cell r="Z76">
            <v>21492410</v>
          </cell>
          <cell r="AA76">
            <v>19733246</v>
          </cell>
          <cell r="AB76">
            <v>18131931</v>
          </cell>
          <cell r="AC76">
            <v>19246877</v>
          </cell>
          <cell r="AD76">
            <v>23453573</v>
          </cell>
          <cell r="AE76">
            <v>22303448</v>
          </cell>
          <cell r="AF76">
            <v>22186693</v>
          </cell>
          <cell r="AG76">
            <v>18036457</v>
          </cell>
          <cell r="AI76">
            <v>22209027</v>
          </cell>
        </row>
        <row r="77">
          <cell r="I77">
            <v>20028348</v>
          </cell>
          <cell r="J77">
            <v>17817653</v>
          </cell>
          <cell r="K77">
            <v>18836664</v>
          </cell>
          <cell r="L77">
            <v>18875505</v>
          </cell>
          <cell r="M77">
            <v>18999291</v>
          </cell>
          <cell r="N77">
            <v>20901262</v>
          </cell>
          <cell r="O77">
            <v>16422299</v>
          </cell>
          <cell r="P77">
            <v>16379182</v>
          </cell>
          <cell r="Q77">
            <v>17328307</v>
          </cell>
          <cell r="R77">
            <v>19787758</v>
          </cell>
          <cell r="S77">
            <v>20048112</v>
          </cell>
          <cell r="T77">
            <v>20192803</v>
          </cell>
          <cell r="U77">
            <v>18735991</v>
          </cell>
          <cell r="V77">
            <v>16366362</v>
          </cell>
          <cell r="W77">
            <v>17250755</v>
          </cell>
          <cell r="X77">
            <v>15979844</v>
          </cell>
          <cell r="Y77">
            <v>17689668</v>
          </cell>
          <cell r="Z77">
            <v>18664216</v>
          </cell>
          <cell r="AA77">
            <v>17193842</v>
          </cell>
          <cell r="AB77">
            <v>15089980</v>
          </cell>
          <cell r="AC77">
            <v>16764810</v>
          </cell>
          <cell r="AD77">
            <v>20719183</v>
          </cell>
          <cell r="AE77">
            <v>20158302</v>
          </cell>
          <cell r="AF77">
            <v>20753804</v>
          </cell>
          <cell r="AG77">
            <v>17056438</v>
          </cell>
          <cell r="AI77">
            <v>17817653</v>
          </cell>
        </row>
        <row r="78">
          <cell r="I78">
            <v>21132638</v>
          </cell>
          <cell r="J78">
            <v>18499267</v>
          </cell>
          <cell r="K78">
            <v>19854820</v>
          </cell>
          <cell r="L78">
            <v>20018412</v>
          </cell>
          <cell r="M78">
            <v>20286857</v>
          </cell>
          <cell r="N78">
            <v>22135878</v>
          </cell>
          <cell r="O78">
            <v>15465680</v>
          </cell>
          <cell r="P78">
            <v>13716913</v>
          </cell>
          <cell r="Q78">
            <v>14943948</v>
          </cell>
          <cell r="R78">
            <v>17490835</v>
          </cell>
          <cell r="S78">
            <v>16990015</v>
          </cell>
          <cell r="T78">
            <v>18519575</v>
          </cell>
          <cell r="U78">
            <v>15752283</v>
          </cell>
          <cell r="V78">
            <v>13797853</v>
          </cell>
          <cell r="W78">
            <v>16215278</v>
          </cell>
          <cell r="X78">
            <v>14843573</v>
          </cell>
          <cell r="Y78">
            <v>17169490</v>
          </cell>
          <cell r="Z78">
            <v>18067459</v>
          </cell>
          <cell r="AA78">
            <v>15182874</v>
          </cell>
          <cell r="AB78">
            <v>14245261</v>
          </cell>
          <cell r="AC78">
            <v>15182465</v>
          </cell>
          <cell r="AD78">
            <v>17788003</v>
          </cell>
          <cell r="AE78">
            <v>16966055</v>
          </cell>
          <cell r="AF78">
            <v>17703783</v>
          </cell>
          <cell r="AG78">
            <v>14719619</v>
          </cell>
          <cell r="AI78">
            <v>18499267</v>
          </cell>
        </row>
        <row r="79">
          <cell r="I79">
            <v>17296238</v>
          </cell>
          <cell r="J79">
            <v>14318107</v>
          </cell>
          <cell r="K79">
            <v>14853819</v>
          </cell>
          <cell r="L79">
            <v>15796068</v>
          </cell>
          <cell r="M79">
            <v>16048088</v>
          </cell>
          <cell r="N79">
            <v>17073820</v>
          </cell>
          <cell r="O79">
            <v>15222196</v>
          </cell>
          <cell r="P79">
            <v>11968514</v>
          </cell>
          <cell r="Q79">
            <v>12993403</v>
          </cell>
          <cell r="R79">
            <v>15775282</v>
          </cell>
          <cell r="S79">
            <v>15330489</v>
          </cell>
          <cell r="T79">
            <v>16290738</v>
          </cell>
          <cell r="U79">
            <v>15692241</v>
          </cell>
          <cell r="V79">
            <v>12535868</v>
          </cell>
          <cell r="W79">
            <v>13331936</v>
          </cell>
          <cell r="X79">
            <v>12245850</v>
          </cell>
          <cell r="Y79">
            <v>13447905</v>
          </cell>
          <cell r="Z79">
            <v>14776170</v>
          </cell>
          <cell r="AA79">
            <v>12815927</v>
          </cell>
          <cell r="AB79">
            <v>11678706</v>
          </cell>
          <cell r="AC79">
            <v>13202695</v>
          </cell>
          <cell r="AD79">
            <v>16819613</v>
          </cell>
          <cell r="AE79">
            <v>15660955</v>
          </cell>
          <cell r="AF79">
            <v>15920593</v>
          </cell>
          <cell r="AG79">
            <v>12666528</v>
          </cell>
          <cell r="AI79">
            <v>14318107</v>
          </cell>
        </row>
        <row r="80">
          <cell r="I80">
            <v>27152817</v>
          </cell>
          <cell r="J80">
            <v>23686405</v>
          </cell>
          <cell r="K80">
            <v>23652248</v>
          </cell>
          <cell r="L80">
            <v>24846342</v>
          </cell>
          <cell r="M80">
            <v>23888475</v>
          </cell>
          <cell r="N80">
            <v>27352865</v>
          </cell>
          <cell r="O80">
            <v>24280411</v>
          </cell>
          <cell r="P80">
            <v>19876030</v>
          </cell>
          <cell r="Q80">
            <v>21697863</v>
          </cell>
          <cell r="R80">
            <v>24364839</v>
          </cell>
          <cell r="S80">
            <v>24208297</v>
          </cell>
          <cell r="T80">
            <v>25965829</v>
          </cell>
          <cell r="U80">
            <v>24222590</v>
          </cell>
          <cell r="V80">
            <v>21240299</v>
          </cell>
          <cell r="W80">
            <v>20059091</v>
          </cell>
          <cell r="X80">
            <v>19748911</v>
          </cell>
          <cell r="Y80">
            <v>20723663</v>
          </cell>
          <cell r="Z80">
            <v>22712601</v>
          </cell>
          <cell r="AA80">
            <v>20090159</v>
          </cell>
          <cell r="AB80">
            <v>17941695</v>
          </cell>
          <cell r="AC80">
            <v>19596031</v>
          </cell>
          <cell r="AD80">
            <v>25316641</v>
          </cell>
          <cell r="AE80">
            <v>22542719</v>
          </cell>
          <cell r="AF80">
            <v>25016389</v>
          </cell>
          <cell r="AG80">
            <v>20731089</v>
          </cell>
          <cell r="AI80">
            <v>23686405</v>
          </cell>
        </row>
        <row r="81">
          <cell r="I81">
            <v>22731615</v>
          </cell>
          <cell r="J81">
            <v>18802193</v>
          </cell>
          <cell r="K81">
            <v>19526837</v>
          </cell>
          <cell r="L81">
            <v>19152173</v>
          </cell>
          <cell r="M81">
            <v>19961054</v>
          </cell>
          <cell r="N81">
            <v>21754258</v>
          </cell>
          <cell r="O81">
            <v>19719308</v>
          </cell>
          <cell r="P81">
            <v>16649583</v>
          </cell>
          <cell r="Q81">
            <v>17584932</v>
          </cell>
          <cell r="R81">
            <v>20815261</v>
          </cell>
          <cell r="S81">
            <v>20114071</v>
          </cell>
          <cell r="T81">
            <v>22684836</v>
          </cell>
          <cell r="U81">
            <v>19872963</v>
          </cell>
          <cell r="V81">
            <v>17594783</v>
          </cell>
          <cell r="W81">
            <v>18361799</v>
          </cell>
          <cell r="X81">
            <v>16215237</v>
          </cell>
          <cell r="Y81">
            <v>17545724</v>
          </cell>
          <cell r="Z81">
            <v>19219851</v>
          </cell>
          <cell r="AA81">
            <v>17640436</v>
          </cell>
          <cell r="AB81">
            <v>16311306</v>
          </cell>
          <cell r="AC81">
            <v>16350221</v>
          </cell>
          <cell r="AD81">
            <v>21161832</v>
          </cell>
          <cell r="AE81">
            <v>19988279</v>
          </cell>
          <cell r="AF81">
            <v>20742361</v>
          </cell>
          <cell r="AG81">
            <v>17911246</v>
          </cell>
          <cell r="AI81">
            <v>18802193</v>
          </cell>
        </row>
        <row r="82">
          <cell r="I82">
            <v>12971084</v>
          </cell>
          <cell r="J82">
            <v>11250682</v>
          </cell>
          <cell r="K82">
            <v>11571773</v>
          </cell>
          <cell r="L82">
            <v>11865273</v>
          </cell>
          <cell r="M82">
            <v>12331035</v>
          </cell>
          <cell r="N82">
            <v>13570396</v>
          </cell>
          <cell r="O82">
            <v>12072355</v>
          </cell>
          <cell r="P82">
            <v>9726643</v>
          </cell>
          <cell r="Q82">
            <v>10326389</v>
          </cell>
          <cell r="R82">
            <v>11765702</v>
          </cell>
          <cell r="S82">
            <v>11746722</v>
          </cell>
          <cell r="T82">
            <v>12859290</v>
          </cell>
          <cell r="U82">
            <v>11532684</v>
          </cell>
          <cell r="V82">
            <v>10310652</v>
          </cell>
          <cell r="W82">
            <v>10529812</v>
          </cell>
          <cell r="X82">
            <v>9569279</v>
          </cell>
          <cell r="Y82">
            <v>10867825</v>
          </cell>
          <cell r="Z82">
            <v>11502641</v>
          </cell>
          <cell r="AA82">
            <v>10460478</v>
          </cell>
          <cell r="AB82">
            <v>9303074</v>
          </cell>
          <cell r="AC82">
            <v>9700373</v>
          </cell>
          <cell r="AD82">
            <v>12499345</v>
          </cell>
          <cell r="AE82">
            <v>12291084</v>
          </cell>
          <cell r="AF82">
            <v>12484312</v>
          </cell>
          <cell r="AG82">
            <v>10393265</v>
          </cell>
          <cell r="AI82">
            <v>11250682</v>
          </cell>
        </row>
        <row r="83">
          <cell r="I83">
            <v>13880115</v>
          </cell>
          <cell r="J83">
            <v>11816405</v>
          </cell>
          <cell r="K83">
            <v>12011206</v>
          </cell>
          <cell r="L83">
            <v>12420417</v>
          </cell>
          <cell r="M83">
            <v>12844592</v>
          </cell>
          <cell r="N83">
            <v>14517364</v>
          </cell>
          <cell r="O83">
            <v>13034824</v>
          </cell>
          <cell r="P83">
            <v>11024906</v>
          </cell>
          <cell r="Q83">
            <v>10962806</v>
          </cell>
          <cell r="R83">
            <v>13735719</v>
          </cell>
          <cell r="S83">
            <v>12568925</v>
          </cell>
          <cell r="T83">
            <v>14791005</v>
          </cell>
          <cell r="U83">
            <v>12547919</v>
          </cell>
          <cell r="V83">
            <v>11627094</v>
          </cell>
          <cell r="W83">
            <v>11109037</v>
          </cell>
          <cell r="X83">
            <v>10261577</v>
          </cell>
          <cell r="Y83">
            <v>11214270</v>
          </cell>
          <cell r="Z83">
            <v>12375824</v>
          </cell>
          <cell r="AA83">
            <v>10559392</v>
          </cell>
          <cell r="AB83">
            <v>9866351</v>
          </cell>
          <cell r="AC83">
            <v>9941936</v>
          </cell>
          <cell r="AD83">
            <v>12315996</v>
          </cell>
          <cell r="AE83">
            <v>12092258</v>
          </cell>
          <cell r="AF83">
            <v>12928889</v>
          </cell>
          <cell r="AG83">
            <v>10688883</v>
          </cell>
          <cell r="AI83">
            <v>11816405</v>
          </cell>
        </row>
        <row r="84">
          <cell r="I84">
            <v>17828165</v>
          </cell>
          <cell r="J84">
            <v>14886202</v>
          </cell>
          <cell r="K84">
            <v>15367082</v>
          </cell>
          <cell r="L84">
            <v>16060098</v>
          </cell>
          <cell r="M84">
            <v>17157931</v>
          </cell>
          <cell r="N84">
            <v>18686513</v>
          </cell>
          <cell r="O84">
            <v>16522781</v>
          </cell>
          <cell r="P84">
            <v>13136695</v>
          </cell>
          <cell r="Q84">
            <v>13591677</v>
          </cell>
          <cell r="R84">
            <v>17112471</v>
          </cell>
          <cell r="S84">
            <v>16385307</v>
          </cell>
          <cell r="T84">
            <v>17856720</v>
          </cell>
          <cell r="U84">
            <v>16383445</v>
          </cell>
          <cell r="V84">
            <v>14124514</v>
          </cell>
          <cell r="W84">
            <v>14203820</v>
          </cell>
          <cell r="X84">
            <v>13223007</v>
          </cell>
          <cell r="Y84">
            <v>14953582</v>
          </cell>
          <cell r="Z84">
            <v>16253438</v>
          </cell>
          <cell r="AA84">
            <v>14305101</v>
          </cell>
          <cell r="AB84">
            <v>12510604</v>
          </cell>
          <cell r="AC84">
            <v>13309531</v>
          </cell>
          <cell r="AD84">
            <v>17260235</v>
          </cell>
          <cell r="AE84">
            <v>15659604</v>
          </cell>
          <cell r="AF84">
            <v>17003546</v>
          </cell>
          <cell r="AG84">
            <v>14462783</v>
          </cell>
          <cell r="AI84">
            <v>14886202</v>
          </cell>
        </row>
        <row r="85">
          <cell r="I85">
            <v>15199160</v>
          </cell>
          <cell r="J85">
            <v>13384116</v>
          </cell>
          <cell r="K85">
            <v>13448243</v>
          </cell>
          <cell r="L85">
            <v>13876734</v>
          </cell>
          <cell r="M85">
            <v>14540833</v>
          </cell>
          <cell r="N85">
            <v>16205283</v>
          </cell>
          <cell r="O85">
            <v>15024727</v>
          </cell>
          <cell r="P85">
            <v>11633014</v>
          </cell>
          <cell r="Q85">
            <v>11801116</v>
          </cell>
          <cell r="R85">
            <v>14162376</v>
          </cell>
          <cell r="S85">
            <v>13796796</v>
          </cell>
          <cell r="T85">
            <v>15081311</v>
          </cell>
          <cell r="U85">
            <v>13474594</v>
          </cell>
          <cell r="V85">
            <v>12520550</v>
          </cell>
          <cell r="W85">
            <v>12411367</v>
          </cell>
          <cell r="X85">
            <v>11358273</v>
          </cell>
          <cell r="Y85">
            <v>14783651</v>
          </cell>
          <cell r="Z85">
            <v>13843804</v>
          </cell>
          <cell r="AA85">
            <v>13398461</v>
          </cell>
          <cell r="AB85">
            <v>11917121</v>
          </cell>
          <cell r="AC85">
            <v>12030657</v>
          </cell>
          <cell r="AD85">
            <v>15412800</v>
          </cell>
          <cell r="AE85">
            <v>14646668</v>
          </cell>
          <cell r="AF85">
            <v>15509002</v>
          </cell>
          <cell r="AG85">
            <v>13651740</v>
          </cell>
          <cell r="AI85">
            <v>13384116</v>
          </cell>
        </row>
        <row r="86">
          <cell r="I86">
            <v>17286826</v>
          </cell>
          <cell r="J86">
            <v>14629532</v>
          </cell>
          <cell r="K86">
            <v>14595926</v>
          </cell>
          <cell r="L86">
            <v>15616996</v>
          </cell>
          <cell r="M86">
            <v>16188800</v>
          </cell>
          <cell r="N86">
            <v>16848931</v>
          </cell>
          <cell r="O86">
            <v>16540559</v>
          </cell>
          <cell r="P86">
            <v>11643065</v>
          </cell>
          <cell r="Q86">
            <v>12718202</v>
          </cell>
          <cell r="R86">
            <v>14567610</v>
          </cell>
          <cell r="S86">
            <v>13880986</v>
          </cell>
          <cell r="T86">
            <v>15652871</v>
          </cell>
          <cell r="U86">
            <v>13934215</v>
          </cell>
          <cell r="V86">
            <v>12898049</v>
          </cell>
          <cell r="W86">
            <v>13100761</v>
          </cell>
          <cell r="X86">
            <v>12276492</v>
          </cell>
          <cell r="Y86">
            <v>13253358</v>
          </cell>
          <cell r="Z86">
            <v>14425768</v>
          </cell>
          <cell r="AA86">
            <v>13989320</v>
          </cell>
          <cell r="AB86">
            <v>11125627</v>
          </cell>
          <cell r="AC86">
            <v>11714434</v>
          </cell>
          <cell r="AD86">
            <v>14378481</v>
          </cell>
          <cell r="AE86">
            <v>14965375</v>
          </cell>
          <cell r="AF86">
            <v>14796339</v>
          </cell>
          <cell r="AG86">
            <v>12670830</v>
          </cell>
          <cell r="AI86">
            <v>14629532</v>
          </cell>
        </row>
        <row r="87">
          <cell r="I87">
            <v>11632438</v>
          </cell>
          <cell r="J87">
            <v>9817828</v>
          </cell>
          <cell r="K87">
            <v>9817006</v>
          </cell>
          <cell r="L87">
            <v>10427906</v>
          </cell>
          <cell r="M87">
            <v>10520438</v>
          </cell>
          <cell r="N87">
            <v>10992928</v>
          </cell>
          <cell r="O87">
            <v>11558323</v>
          </cell>
          <cell r="P87">
            <v>7773245</v>
          </cell>
          <cell r="Q87">
            <v>8279381</v>
          </cell>
          <cell r="R87">
            <v>9636274</v>
          </cell>
          <cell r="S87">
            <v>9730477</v>
          </cell>
          <cell r="T87">
            <v>10526599</v>
          </cell>
          <cell r="U87">
            <v>9566735</v>
          </cell>
          <cell r="V87">
            <v>8750334</v>
          </cell>
          <cell r="W87">
            <v>9188990</v>
          </cell>
          <cell r="X87">
            <v>8488358</v>
          </cell>
          <cell r="Y87">
            <v>9543324</v>
          </cell>
          <cell r="Z87">
            <v>10017348</v>
          </cell>
          <cell r="AA87">
            <v>9977153</v>
          </cell>
          <cell r="AB87">
            <v>7915727</v>
          </cell>
          <cell r="AC87">
            <v>8257960</v>
          </cell>
          <cell r="AD87">
            <v>10174619</v>
          </cell>
          <cell r="AE87">
            <v>10575656</v>
          </cell>
          <cell r="AF87">
            <v>11889996</v>
          </cell>
          <cell r="AG87">
            <v>9922986</v>
          </cell>
          <cell r="AI87">
            <v>9817828</v>
          </cell>
        </row>
        <row r="88">
          <cell r="I88">
            <v>13912536</v>
          </cell>
          <cell r="J88">
            <v>10978821</v>
          </cell>
          <cell r="K88">
            <v>10589345</v>
          </cell>
          <cell r="L88">
            <v>12493799</v>
          </cell>
          <cell r="M88">
            <v>11842745</v>
          </cell>
          <cell r="N88">
            <v>11657365</v>
          </cell>
          <cell r="O88">
            <v>12696546</v>
          </cell>
          <cell r="P88">
            <v>9010763</v>
          </cell>
          <cell r="Q88">
            <v>8948520</v>
          </cell>
          <cell r="R88">
            <v>10989558</v>
          </cell>
          <cell r="S88">
            <v>10678936</v>
          </cell>
          <cell r="T88">
            <v>11982318</v>
          </cell>
          <cell r="U88">
            <v>10469228</v>
          </cell>
          <cell r="V88">
            <v>9798944</v>
          </cell>
          <cell r="W88">
            <v>9473997</v>
          </cell>
          <cell r="X88">
            <v>8938861</v>
          </cell>
          <cell r="Y88">
            <v>9664153</v>
          </cell>
          <cell r="Z88">
            <v>10317053</v>
          </cell>
          <cell r="AA88">
            <v>10421916</v>
          </cell>
          <cell r="AB88">
            <v>8908567</v>
          </cell>
          <cell r="AC88">
            <v>8832699</v>
          </cell>
          <cell r="AD88">
            <v>9469469</v>
          </cell>
          <cell r="AE88">
            <v>10276268</v>
          </cell>
          <cell r="AF88">
            <v>10541507</v>
          </cell>
          <cell r="AG88">
            <v>8722184</v>
          </cell>
          <cell r="AI88">
            <v>10978821</v>
          </cell>
        </row>
        <row r="89">
          <cell r="I89">
            <v>23256359</v>
          </cell>
          <cell r="J89">
            <v>19182573</v>
          </cell>
          <cell r="K89">
            <v>18079745</v>
          </cell>
          <cell r="L89">
            <v>21096628</v>
          </cell>
          <cell r="M89">
            <v>19775539</v>
          </cell>
          <cell r="N89">
            <v>20814467</v>
          </cell>
          <cell r="O89">
            <v>22963192</v>
          </cell>
          <cell r="P89">
            <v>17271249</v>
          </cell>
          <cell r="Q89">
            <v>17306117</v>
          </cell>
          <cell r="R89">
            <v>19816218</v>
          </cell>
          <cell r="S89">
            <v>19061832</v>
          </cell>
          <cell r="T89">
            <v>20721757</v>
          </cell>
          <cell r="U89">
            <v>20161622</v>
          </cell>
          <cell r="V89">
            <v>18719620</v>
          </cell>
          <cell r="W89">
            <v>17345107</v>
          </cell>
          <cell r="X89">
            <v>18669576</v>
          </cell>
          <cell r="Y89">
            <v>18260413</v>
          </cell>
          <cell r="Z89">
            <v>20744156</v>
          </cell>
          <cell r="AA89">
            <v>22782570</v>
          </cell>
          <cell r="AB89">
            <v>14884217</v>
          </cell>
          <cell r="AC89">
            <v>15687201</v>
          </cell>
          <cell r="AD89">
            <v>20240014</v>
          </cell>
          <cell r="AE89">
            <v>20811052</v>
          </cell>
          <cell r="AF89">
            <v>23082162</v>
          </cell>
          <cell r="AG89">
            <v>17615292</v>
          </cell>
          <cell r="AI89">
            <v>19182573</v>
          </cell>
        </row>
        <row r="91">
          <cell r="I91">
            <v>159412772</v>
          </cell>
          <cell r="J91">
            <v>159241719</v>
          </cell>
          <cell r="K91">
            <v>150847810</v>
          </cell>
          <cell r="L91">
            <v>155584159</v>
          </cell>
          <cell r="M91">
            <v>144215451</v>
          </cell>
          <cell r="N91">
            <v>150630150</v>
          </cell>
          <cell r="O91">
            <v>159488635</v>
          </cell>
          <cell r="P91">
            <v>151053083</v>
          </cell>
          <cell r="Q91">
            <v>149517279</v>
          </cell>
          <cell r="R91">
            <v>160490503</v>
          </cell>
          <cell r="S91">
            <v>157094598</v>
          </cell>
          <cell r="T91">
            <v>149874792</v>
          </cell>
          <cell r="U91">
            <v>156947830</v>
          </cell>
          <cell r="V91">
            <v>145483172</v>
          </cell>
          <cell r="W91">
            <v>139236532</v>
          </cell>
          <cell r="X91">
            <v>139073456</v>
          </cell>
          <cell r="Y91">
            <v>131086983</v>
          </cell>
          <cell r="Z91">
            <v>142697998</v>
          </cell>
          <cell r="AA91">
            <v>142484899</v>
          </cell>
          <cell r="AB91">
            <v>129148122</v>
          </cell>
          <cell r="AC91">
            <v>138629351</v>
          </cell>
          <cell r="AD91">
            <v>142182896</v>
          </cell>
          <cell r="AE91">
            <v>128286409</v>
          </cell>
          <cell r="AF91">
            <v>133356478</v>
          </cell>
          <cell r="AG91">
            <v>139468217</v>
          </cell>
          <cell r="AI91">
            <v>159241719</v>
          </cell>
        </row>
        <row r="92">
          <cell r="I92">
            <v>5698460</v>
          </cell>
          <cell r="J92">
            <v>5062300</v>
          </cell>
          <cell r="K92">
            <v>4988649</v>
          </cell>
          <cell r="L92">
            <v>5356691</v>
          </cell>
          <cell r="M92">
            <v>5195170</v>
          </cell>
          <cell r="N92">
            <v>5381919</v>
          </cell>
          <cell r="O92">
            <v>5679280</v>
          </cell>
          <cell r="P92">
            <v>5109677</v>
          </cell>
          <cell r="Q92">
            <v>6822791</v>
          </cell>
          <cell r="R92">
            <v>6335890</v>
          </cell>
          <cell r="S92">
            <v>7321232</v>
          </cell>
          <cell r="T92">
            <v>6869128</v>
          </cell>
          <cell r="U92">
            <v>6421617</v>
          </cell>
          <cell r="V92">
            <v>5747073</v>
          </cell>
          <cell r="W92">
            <v>5341548</v>
          </cell>
          <cell r="X92">
            <v>5499221</v>
          </cell>
          <cell r="Y92">
            <v>5853884</v>
          </cell>
          <cell r="Z92">
            <v>5775540</v>
          </cell>
          <cell r="AA92">
            <v>6091053</v>
          </cell>
          <cell r="AB92">
            <v>5611697</v>
          </cell>
          <cell r="AC92">
            <v>10846603</v>
          </cell>
          <cell r="AD92">
            <v>11581085</v>
          </cell>
          <cell r="AE92">
            <v>11874703</v>
          </cell>
          <cell r="AF92">
            <v>10142134</v>
          </cell>
          <cell r="AG92">
            <v>9708784</v>
          </cell>
          <cell r="AI92">
            <v>5062300</v>
          </cell>
        </row>
        <row r="93">
          <cell r="I93">
            <v>9144217</v>
          </cell>
          <cell r="J93">
            <v>9308795</v>
          </cell>
          <cell r="K93">
            <v>9784621</v>
          </cell>
          <cell r="L93">
            <v>9101109</v>
          </cell>
          <cell r="M93">
            <v>8270142</v>
          </cell>
          <cell r="N93">
            <v>8835409</v>
          </cell>
          <cell r="O93">
            <v>8346439</v>
          </cell>
          <cell r="P93">
            <v>8746197</v>
          </cell>
          <cell r="Q93">
            <v>9295315</v>
          </cell>
          <cell r="R93">
            <v>8849344</v>
          </cell>
          <cell r="S93">
            <v>9114320</v>
          </cell>
          <cell r="T93">
            <v>9094651</v>
          </cell>
          <cell r="U93">
            <v>8915237</v>
          </cell>
          <cell r="V93">
            <v>9320652</v>
          </cell>
          <cell r="W93">
            <v>9177887</v>
          </cell>
          <cell r="X93">
            <v>8290997</v>
          </cell>
          <cell r="Y93">
            <v>8940479</v>
          </cell>
          <cell r="Z93">
            <v>8665673</v>
          </cell>
          <cell r="AA93">
            <v>9058264</v>
          </cell>
          <cell r="AB93">
            <v>8599346</v>
          </cell>
          <cell r="AC93">
            <v>4431410</v>
          </cell>
          <cell r="AD93">
            <v>4626681</v>
          </cell>
          <cell r="AE93">
            <v>4375042</v>
          </cell>
          <cell r="AF93">
            <v>4830381</v>
          </cell>
          <cell r="AG93">
            <v>4736127</v>
          </cell>
          <cell r="AI93">
            <v>9308795</v>
          </cell>
        </row>
        <row r="94">
          <cell r="I94">
            <v>29046926</v>
          </cell>
          <cell r="J94">
            <v>27329813</v>
          </cell>
          <cell r="K94">
            <v>30376836</v>
          </cell>
          <cell r="L94">
            <v>28422876</v>
          </cell>
          <cell r="M94">
            <v>27005519</v>
          </cell>
          <cell r="N94">
            <v>25469205</v>
          </cell>
          <cell r="O94">
            <v>26418659</v>
          </cell>
          <cell r="P94">
            <v>27156736</v>
          </cell>
          <cell r="Q94">
            <v>31313278</v>
          </cell>
          <cell r="R94">
            <v>29589647</v>
          </cell>
          <cell r="S94">
            <v>29407184</v>
          </cell>
          <cell r="T94">
            <v>27512120</v>
          </cell>
          <cell r="U94">
            <v>31153213</v>
          </cell>
          <cell r="V94">
            <v>28670090</v>
          </cell>
          <cell r="W94">
            <v>30661646</v>
          </cell>
          <cell r="X94">
            <v>27725250</v>
          </cell>
          <cell r="Y94">
            <v>26746435</v>
          </cell>
          <cell r="Z94">
            <v>25499882</v>
          </cell>
          <cell r="AA94">
            <v>29388353</v>
          </cell>
          <cell r="AB94">
            <v>24693829</v>
          </cell>
          <cell r="AC94">
            <v>27899888</v>
          </cell>
          <cell r="AD94">
            <v>28533783</v>
          </cell>
          <cell r="AE94">
            <v>25656276</v>
          </cell>
          <cell r="AF94">
            <v>29376810</v>
          </cell>
          <cell r="AG94">
            <v>26930127</v>
          </cell>
          <cell r="AI94">
            <v>27329813</v>
          </cell>
        </row>
        <row r="95">
          <cell r="I95">
            <v>8114880</v>
          </cell>
          <cell r="J95">
            <v>7388858</v>
          </cell>
          <cell r="K95">
            <v>7093324</v>
          </cell>
          <cell r="L95">
            <v>7817902</v>
          </cell>
          <cell r="M95">
            <v>6695581</v>
          </cell>
          <cell r="N95">
            <v>7051385</v>
          </cell>
          <cell r="O95">
            <v>7125168</v>
          </cell>
          <cell r="P95">
            <v>7098270</v>
          </cell>
          <cell r="Q95">
            <v>7213132</v>
          </cell>
          <cell r="R95">
            <v>7800891</v>
          </cell>
          <cell r="S95">
            <v>7061869</v>
          </cell>
          <cell r="T95">
            <v>7846285</v>
          </cell>
          <cell r="U95">
            <v>7223965</v>
          </cell>
          <cell r="V95">
            <v>7261073</v>
          </cell>
          <cell r="W95">
            <v>6854166</v>
          </cell>
          <cell r="X95">
            <v>6680282</v>
          </cell>
          <cell r="Y95">
            <v>6400028</v>
          </cell>
          <cell r="Z95">
            <v>5633471</v>
          </cell>
          <cell r="AA95">
            <v>6149996</v>
          </cell>
          <cell r="AB95">
            <v>6200426</v>
          </cell>
          <cell r="AC95">
            <v>6134361</v>
          </cell>
          <cell r="AD95">
            <v>6863857</v>
          </cell>
          <cell r="AE95">
            <v>6336393</v>
          </cell>
          <cell r="AF95">
            <v>6733379</v>
          </cell>
          <cell r="AG95">
            <v>6260407</v>
          </cell>
          <cell r="AI95">
            <v>7388858</v>
          </cell>
        </row>
        <row r="96">
          <cell r="I96">
            <v>14187102</v>
          </cell>
          <cell r="J96">
            <v>13667988</v>
          </cell>
          <cell r="K96">
            <v>13257947</v>
          </cell>
          <cell r="L96">
            <v>14067001</v>
          </cell>
          <cell r="M96">
            <v>12169684</v>
          </cell>
          <cell r="N96">
            <v>12200299</v>
          </cell>
          <cell r="O96">
            <v>12442886</v>
          </cell>
          <cell r="P96">
            <v>5017322</v>
          </cell>
          <cell r="Q96">
            <v>5617228</v>
          </cell>
          <cell r="R96">
            <v>5798540</v>
          </cell>
          <cell r="S96">
            <v>5536042</v>
          </cell>
          <cell r="T96">
            <v>5418640</v>
          </cell>
          <cell r="U96">
            <v>5346337</v>
          </cell>
          <cell r="V96">
            <v>5366271</v>
          </cell>
          <cell r="W96">
            <v>5083131</v>
          </cell>
          <cell r="X96">
            <v>6542635</v>
          </cell>
          <cell r="Y96">
            <v>7058470</v>
          </cell>
          <cell r="Z96">
            <v>6766710</v>
          </cell>
          <cell r="AA96">
            <v>6566968</v>
          </cell>
          <cell r="AB96">
            <v>6671837</v>
          </cell>
          <cell r="AC96">
            <v>6879014</v>
          </cell>
          <cell r="AD96">
            <v>7312327</v>
          </cell>
          <cell r="AE96">
            <v>6962144</v>
          </cell>
          <cell r="AF96">
            <v>6857796</v>
          </cell>
          <cell r="AG96">
            <v>6877838</v>
          </cell>
          <cell r="AI96">
            <v>13667988</v>
          </cell>
        </row>
        <row r="97">
          <cell r="I97">
            <v>10352448</v>
          </cell>
          <cell r="J97">
            <v>10225369</v>
          </cell>
          <cell r="K97">
            <v>10296235</v>
          </cell>
          <cell r="L97">
            <v>9145332</v>
          </cell>
          <cell r="M97">
            <v>9357741</v>
          </cell>
          <cell r="N97">
            <v>9344084</v>
          </cell>
          <cell r="O97">
            <v>8978920</v>
          </cell>
          <cell r="P97">
            <v>16108542</v>
          </cell>
          <cell r="Q97">
            <v>17776797</v>
          </cell>
          <cell r="R97">
            <v>17143256</v>
          </cell>
          <cell r="S97">
            <v>15843734</v>
          </cell>
          <cell r="T97">
            <v>18266069</v>
          </cell>
          <cell r="U97">
            <v>17526561</v>
          </cell>
          <cell r="V97">
            <v>16499200</v>
          </cell>
          <cell r="W97">
            <v>17064942</v>
          </cell>
          <cell r="X97">
            <v>15345735</v>
          </cell>
          <cell r="Y97">
            <v>16091112</v>
          </cell>
          <cell r="Z97">
            <v>15321094</v>
          </cell>
          <cell r="AA97">
            <v>17018061</v>
          </cell>
          <cell r="AB97">
            <v>15618837</v>
          </cell>
          <cell r="AC97">
            <v>15787689</v>
          </cell>
          <cell r="AD97">
            <v>17263662</v>
          </cell>
          <cell r="AE97">
            <v>17786101</v>
          </cell>
          <cell r="AF97">
            <v>15745037</v>
          </cell>
          <cell r="AG97">
            <v>16932271</v>
          </cell>
          <cell r="AI97">
            <v>10225369</v>
          </cell>
        </row>
        <row r="98">
          <cell r="I98">
            <v>7522258</v>
          </cell>
          <cell r="J98">
            <v>7510678</v>
          </cell>
          <cell r="K98">
            <v>8108700</v>
          </cell>
          <cell r="L98">
            <v>8031688</v>
          </cell>
          <cell r="M98">
            <v>7726240</v>
          </cell>
          <cell r="N98">
            <v>8074230</v>
          </cell>
          <cell r="O98">
            <v>7927594</v>
          </cell>
          <cell r="P98">
            <v>7383234</v>
          </cell>
          <cell r="Q98">
            <v>8250854</v>
          </cell>
          <cell r="R98">
            <v>8107396</v>
          </cell>
          <cell r="S98">
            <v>7985336</v>
          </cell>
          <cell r="T98">
            <v>8521226</v>
          </cell>
          <cell r="U98">
            <v>7156426</v>
          </cell>
          <cell r="V98">
            <v>7124713</v>
          </cell>
          <cell r="W98">
            <v>7905243</v>
          </cell>
          <cell r="X98">
            <v>6821323</v>
          </cell>
          <cell r="Y98">
            <v>6865646</v>
          </cell>
          <cell r="Z98">
            <v>7369556</v>
          </cell>
          <cell r="AA98">
            <v>7095419</v>
          </cell>
          <cell r="AB98">
            <v>8025879</v>
          </cell>
          <cell r="AC98">
            <v>7710444</v>
          </cell>
          <cell r="AD98">
            <v>8077640</v>
          </cell>
          <cell r="AE98">
            <v>8775678</v>
          </cell>
          <cell r="AF98">
            <v>7212642</v>
          </cell>
          <cell r="AG98">
            <v>7397647</v>
          </cell>
          <cell r="AI98">
            <v>7510678</v>
          </cell>
        </row>
        <row r="99">
          <cell r="I99">
            <v>8945431</v>
          </cell>
          <cell r="J99">
            <v>8835717</v>
          </cell>
          <cell r="K99">
            <v>9023749</v>
          </cell>
          <cell r="L99">
            <v>9178595</v>
          </cell>
          <cell r="M99">
            <v>8751994</v>
          </cell>
          <cell r="N99">
            <v>9174266</v>
          </cell>
          <cell r="O99">
            <v>8931424</v>
          </cell>
          <cell r="P99">
            <v>8762308</v>
          </cell>
          <cell r="Q99">
            <v>9894260</v>
          </cell>
          <cell r="R99">
            <v>10122589</v>
          </cell>
          <cell r="S99">
            <v>9829263</v>
          </cell>
          <cell r="T99">
            <v>10950524</v>
          </cell>
          <cell r="U99">
            <v>9630036</v>
          </cell>
          <cell r="V99">
            <v>9139923</v>
          </cell>
          <cell r="W99">
            <v>9979334</v>
          </cell>
          <cell r="X99">
            <v>8533520</v>
          </cell>
          <cell r="Y99">
            <v>8648964</v>
          </cell>
          <cell r="Z99">
            <v>8851622</v>
          </cell>
          <cell r="AA99">
            <v>8855462</v>
          </cell>
          <cell r="AB99">
            <v>9153127</v>
          </cell>
          <cell r="AC99">
            <v>9111747</v>
          </cell>
          <cell r="AD99">
            <v>9061567</v>
          </cell>
          <cell r="AE99">
            <v>8936205</v>
          </cell>
          <cell r="AF99">
            <v>8211018</v>
          </cell>
          <cell r="AG99">
            <v>8408575</v>
          </cell>
          <cell r="AI99">
            <v>8835717</v>
          </cell>
        </row>
        <row r="100">
          <cell r="I100">
            <v>9982492</v>
          </cell>
          <cell r="J100">
            <v>9559641</v>
          </cell>
          <cell r="K100">
            <v>10111191</v>
          </cell>
          <cell r="L100">
            <v>9471496</v>
          </cell>
          <cell r="M100">
            <v>9237686</v>
          </cell>
          <cell r="N100">
            <v>8885323</v>
          </cell>
          <cell r="O100">
            <v>9387124</v>
          </cell>
          <cell r="P100">
            <v>9235964</v>
          </cell>
          <cell r="Q100">
            <v>10112763</v>
          </cell>
          <cell r="R100">
            <v>10481908</v>
          </cell>
          <cell r="S100">
            <v>10241429</v>
          </cell>
          <cell r="T100">
            <v>10372308</v>
          </cell>
          <cell r="U100">
            <v>9844441</v>
          </cell>
          <cell r="V100">
            <v>9698695</v>
          </cell>
          <cell r="W100">
            <v>10010404</v>
          </cell>
          <cell r="X100">
            <v>9872551</v>
          </cell>
          <cell r="Y100">
            <v>9530449</v>
          </cell>
          <cell r="Z100">
            <v>9428882</v>
          </cell>
          <cell r="AA100">
            <v>9499837</v>
          </cell>
          <cell r="AB100">
            <v>10053119</v>
          </cell>
          <cell r="AC100">
            <v>9476741</v>
          </cell>
          <cell r="AD100">
            <v>11544864</v>
          </cell>
          <cell r="AE100">
            <v>10934364</v>
          </cell>
          <cell r="AF100">
            <v>10487279</v>
          </cell>
          <cell r="AG100">
            <v>10489731</v>
          </cell>
          <cell r="AI100">
            <v>9559641</v>
          </cell>
        </row>
        <row r="101">
          <cell r="I101">
            <v>4151207</v>
          </cell>
          <cell r="J101">
            <v>3978007</v>
          </cell>
          <cell r="K101">
            <v>3891739</v>
          </cell>
          <cell r="L101">
            <v>3863386</v>
          </cell>
          <cell r="M101">
            <v>3979013</v>
          </cell>
          <cell r="N101">
            <v>4071255</v>
          </cell>
          <cell r="O101">
            <v>4117396</v>
          </cell>
          <cell r="P101">
            <v>3724682</v>
          </cell>
          <cell r="Q101">
            <v>6330260</v>
          </cell>
          <cell r="R101">
            <v>6110202</v>
          </cell>
          <cell r="S101">
            <v>5256623</v>
          </cell>
          <cell r="T101">
            <v>7102821</v>
          </cell>
          <cell r="U101">
            <v>6376513</v>
          </cell>
          <cell r="V101">
            <v>6541735</v>
          </cell>
          <cell r="W101">
            <v>6638361</v>
          </cell>
          <cell r="X101">
            <v>5884601</v>
          </cell>
          <cell r="Y101">
            <v>6233359</v>
          </cell>
          <cell r="Z101">
            <v>5997528</v>
          </cell>
          <cell r="AA101">
            <v>6168659</v>
          </cell>
          <cell r="AB101">
            <v>5870957</v>
          </cell>
          <cell r="AC101">
            <v>6527278</v>
          </cell>
          <cell r="AD101">
            <v>6509088</v>
          </cell>
          <cell r="AE101">
            <v>5097299</v>
          </cell>
          <cell r="AF101">
            <v>6945850</v>
          </cell>
          <cell r="AG101">
            <v>6750680</v>
          </cell>
          <cell r="AI101">
            <v>3978007</v>
          </cell>
        </row>
        <row r="102">
          <cell r="I102">
            <v>20354843</v>
          </cell>
          <cell r="J102">
            <v>16224547</v>
          </cell>
          <cell r="K102">
            <v>16914078</v>
          </cell>
          <cell r="L102">
            <v>16524546</v>
          </cell>
          <cell r="M102">
            <v>15359324</v>
          </cell>
          <cell r="N102">
            <v>16269105</v>
          </cell>
          <cell r="O102">
            <v>16418724</v>
          </cell>
          <cell r="P102">
            <v>15034367</v>
          </cell>
          <cell r="Q102">
            <v>17510650</v>
          </cell>
          <cell r="R102">
            <v>16993375</v>
          </cell>
          <cell r="S102">
            <v>16471349</v>
          </cell>
          <cell r="T102">
            <v>19253684</v>
          </cell>
          <cell r="U102">
            <v>16798071</v>
          </cell>
          <cell r="V102">
            <v>17257706</v>
          </cell>
          <cell r="W102">
            <v>15850809</v>
          </cell>
          <cell r="X102">
            <v>14052406</v>
          </cell>
          <cell r="Y102">
            <v>15039012</v>
          </cell>
          <cell r="Z102">
            <v>13677784</v>
          </cell>
          <cell r="AA102">
            <v>16188783</v>
          </cell>
          <cell r="AB102">
            <v>14783300</v>
          </cell>
          <cell r="AC102">
            <v>16327357</v>
          </cell>
          <cell r="AD102">
            <v>18163253</v>
          </cell>
          <cell r="AE102">
            <v>17370901</v>
          </cell>
          <cell r="AF102">
            <v>16741621</v>
          </cell>
          <cell r="AG102">
            <v>16208876</v>
          </cell>
          <cell r="AI102">
            <v>16224547</v>
          </cell>
        </row>
        <row r="103">
          <cell r="I103">
            <v>3590286</v>
          </cell>
          <cell r="J103">
            <v>3381496</v>
          </cell>
          <cell r="K103">
            <v>3918879</v>
          </cell>
          <cell r="L103">
            <v>3680997</v>
          </cell>
          <cell r="M103">
            <v>3648293</v>
          </cell>
          <cell r="N103">
            <v>3139226</v>
          </cell>
          <cell r="O103">
            <v>4204532</v>
          </cell>
          <cell r="P103">
            <v>3667802</v>
          </cell>
          <cell r="Q103">
            <v>3966290</v>
          </cell>
          <cell r="R103">
            <v>4759110</v>
          </cell>
          <cell r="S103">
            <v>4370521</v>
          </cell>
          <cell r="T103">
            <v>4650055</v>
          </cell>
          <cell r="U103">
            <v>4182770</v>
          </cell>
          <cell r="V103">
            <v>4333287</v>
          </cell>
          <cell r="W103">
            <v>4423346</v>
          </cell>
          <cell r="X103">
            <v>3858845</v>
          </cell>
          <cell r="Y103">
            <v>4042319</v>
          </cell>
          <cell r="Z103">
            <v>3907258</v>
          </cell>
          <cell r="AA103">
            <v>4645614</v>
          </cell>
          <cell r="AB103">
            <v>3830289</v>
          </cell>
          <cell r="AC103">
            <v>4609763</v>
          </cell>
          <cell r="AD103">
            <v>4582156</v>
          </cell>
          <cell r="AE103">
            <v>5178567</v>
          </cell>
          <cell r="AF103">
            <v>4819719</v>
          </cell>
          <cell r="AG103">
            <v>4459134</v>
          </cell>
          <cell r="AI103">
            <v>3381496</v>
          </cell>
        </row>
        <row r="104">
          <cell r="I104">
            <v>22044135</v>
          </cell>
          <cell r="J104">
            <v>19560228</v>
          </cell>
          <cell r="K104">
            <v>20238958</v>
          </cell>
          <cell r="L104">
            <v>20325863</v>
          </cell>
          <cell r="M104">
            <v>19249020</v>
          </cell>
          <cell r="N104">
            <v>21617974</v>
          </cell>
          <cell r="O104">
            <v>21511647</v>
          </cell>
          <cell r="P104">
            <v>20602367</v>
          </cell>
          <cell r="Q104">
            <v>18539052</v>
          </cell>
          <cell r="R104">
            <v>21622404</v>
          </cell>
          <cell r="S104">
            <v>19881179</v>
          </cell>
          <cell r="T104">
            <v>20774822</v>
          </cell>
          <cell r="U104">
            <v>19666518</v>
          </cell>
          <cell r="V104">
            <v>19853481</v>
          </cell>
          <cell r="W104">
            <v>19917519</v>
          </cell>
          <cell r="X104">
            <v>18681830</v>
          </cell>
          <cell r="Y104">
            <v>17472039</v>
          </cell>
          <cell r="Z104">
            <v>19401260</v>
          </cell>
          <cell r="AA104">
            <v>19425811</v>
          </cell>
          <cell r="AB104">
            <v>19235099</v>
          </cell>
          <cell r="AC104">
            <v>19747869</v>
          </cell>
          <cell r="AD104">
            <v>20682652</v>
          </cell>
          <cell r="AE104">
            <v>19270390</v>
          </cell>
          <cell r="AF104">
            <v>18629672</v>
          </cell>
          <cell r="AG104">
            <v>18902100</v>
          </cell>
          <cell r="AI104">
            <v>19560228</v>
          </cell>
        </row>
        <row r="105">
          <cell r="I105">
            <v>15695354</v>
          </cell>
          <cell r="J105">
            <v>14480788</v>
          </cell>
          <cell r="K105">
            <v>14223041</v>
          </cell>
          <cell r="L105">
            <v>14369028</v>
          </cell>
          <cell r="M105">
            <v>14668420</v>
          </cell>
          <cell r="N105">
            <v>15383781</v>
          </cell>
          <cell r="O105">
            <v>13325023</v>
          </cell>
          <cell r="P105">
            <v>14518613</v>
          </cell>
          <cell r="Q105">
            <v>14140557</v>
          </cell>
          <cell r="R105">
            <v>14471428</v>
          </cell>
          <cell r="S105">
            <v>14844720</v>
          </cell>
          <cell r="T105">
            <v>16232184</v>
          </cell>
          <cell r="U105">
            <v>13565932</v>
          </cell>
          <cell r="V105">
            <v>14325256</v>
          </cell>
          <cell r="W105">
            <v>14935696</v>
          </cell>
          <cell r="X105">
            <v>12778338</v>
          </cell>
          <cell r="Y105">
            <v>13408550</v>
          </cell>
          <cell r="Z105">
            <v>13881086</v>
          </cell>
          <cell r="AA105">
            <v>13475351</v>
          </cell>
          <cell r="AB105">
            <v>13039843</v>
          </cell>
          <cell r="AC105">
            <v>13361453</v>
          </cell>
          <cell r="AD105">
            <v>14571068</v>
          </cell>
          <cell r="AE105">
            <v>12307807</v>
          </cell>
          <cell r="AF105">
            <v>14550820</v>
          </cell>
          <cell r="AG105">
            <v>11848749</v>
          </cell>
          <cell r="AI105">
            <v>14480788</v>
          </cell>
        </row>
        <row r="106">
          <cell r="I106">
            <v>21856062</v>
          </cell>
          <cell r="J106">
            <v>21930133</v>
          </cell>
          <cell r="K106">
            <v>19797388</v>
          </cell>
          <cell r="L106">
            <v>20735090</v>
          </cell>
          <cell r="M106">
            <v>22073181</v>
          </cell>
          <cell r="N106">
            <v>22816648</v>
          </cell>
          <cell r="O106">
            <v>23515101</v>
          </cell>
          <cell r="P106">
            <v>21728918</v>
          </cell>
          <cell r="Q106">
            <v>22978778</v>
          </cell>
          <cell r="R106">
            <v>26191259</v>
          </cell>
          <cell r="S106">
            <v>27891020</v>
          </cell>
          <cell r="T106">
            <v>26201750</v>
          </cell>
          <cell r="U106">
            <v>25604194</v>
          </cell>
          <cell r="V106">
            <v>25556988</v>
          </cell>
          <cell r="W106">
            <v>24465368</v>
          </cell>
          <cell r="X106">
            <v>23968906</v>
          </cell>
          <cell r="Y106">
            <v>24836340</v>
          </cell>
          <cell r="Z106">
            <v>24030034</v>
          </cell>
          <cell r="AA106">
            <v>26345831</v>
          </cell>
          <cell r="AB106">
            <v>22298251</v>
          </cell>
          <cell r="AC106">
            <v>23883943</v>
          </cell>
          <cell r="AD106">
            <v>26228579</v>
          </cell>
          <cell r="AE106">
            <v>24920141</v>
          </cell>
          <cell r="AF106">
            <v>22894067</v>
          </cell>
          <cell r="AG106">
            <v>22502483</v>
          </cell>
          <cell r="AI106">
            <v>21930133</v>
          </cell>
        </row>
        <row r="107">
          <cell r="I107">
            <v>21584704</v>
          </cell>
          <cell r="J107">
            <v>20196378</v>
          </cell>
          <cell r="K107">
            <v>20260751</v>
          </cell>
          <cell r="L107">
            <v>19298924</v>
          </cell>
          <cell r="M107">
            <v>18281790</v>
          </cell>
          <cell r="N107">
            <v>19778911</v>
          </cell>
          <cell r="O107">
            <v>18591678</v>
          </cell>
          <cell r="P107">
            <v>19145075</v>
          </cell>
          <cell r="Q107">
            <v>19632899</v>
          </cell>
          <cell r="R107">
            <v>21583027</v>
          </cell>
          <cell r="S107">
            <v>20893778</v>
          </cell>
          <cell r="T107">
            <v>21019619</v>
          </cell>
          <cell r="U107">
            <v>20269807</v>
          </cell>
          <cell r="V107">
            <v>20095838</v>
          </cell>
          <cell r="W107">
            <v>21791976</v>
          </cell>
          <cell r="X107">
            <v>19222246</v>
          </cell>
          <cell r="Y107">
            <v>19686956</v>
          </cell>
          <cell r="Z107">
            <v>19204584</v>
          </cell>
          <cell r="AA107">
            <v>19421011</v>
          </cell>
          <cell r="AB107">
            <v>20264359</v>
          </cell>
          <cell r="AC107">
            <v>19780329</v>
          </cell>
          <cell r="AD107">
            <v>22232015</v>
          </cell>
          <cell r="AE107">
            <v>21178535</v>
          </cell>
          <cell r="AF107">
            <v>21298183</v>
          </cell>
          <cell r="AG107">
            <v>19306489</v>
          </cell>
          <cell r="AI107">
            <v>20196378</v>
          </cell>
        </row>
        <row r="108">
          <cell r="I108">
            <v>17282747</v>
          </cell>
          <cell r="J108">
            <v>15558820</v>
          </cell>
          <cell r="K108">
            <v>16051240</v>
          </cell>
          <cell r="L108">
            <v>15596962</v>
          </cell>
          <cell r="M108">
            <v>15986736</v>
          </cell>
          <cell r="N108">
            <v>16548649</v>
          </cell>
          <cell r="O108">
            <v>15613923</v>
          </cell>
          <cell r="P108">
            <v>14447624</v>
          </cell>
          <cell r="Q108">
            <v>17384515</v>
          </cell>
          <cell r="R108">
            <v>15436703</v>
          </cell>
          <cell r="S108">
            <v>16128608</v>
          </cell>
          <cell r="T108">
            <v>15397810</v>
          </cell>
          <cell r="U108">
            <v>15264143</v>
          </cell>
          <cell r="V108">
            <v>15859544</v>
          </cell>
          <cell r="W108">
            <v>16018091</v>
          </cell>
          <cell r="X108">
            <v>14833091</v>
          </cell>
          <cell r="Y108">
            <v>14708477</v>
          </cell>
          <cell r="Z108">
            <v>14011490</v>
          </cell>
          <cell r="AA108">
            <v>15032111</v>
          </cell>
          <cell r="AB108">
            <v>14138119</v>
          </cell>
          <cell r="AC108">
            <v>14162950</v>
          </cell>
          <cell r="AD108">
            <v>16582493</v>
          </cell>
          <cell r="AE108">
            <v>16073289</v>
          </cell>
          <cell r="AF108">
            <v>15441424</v>
          </cell>
          <cell r="AG108">
            <v>15451052</v>
          </cell>
          <cell r="AI108">
            <v>15558820</v>
          </cell>
        </row>
        <row r="109">
          <cell r="I109">
            <v>16150038</v>
          </cell>
          <cell r="J109">
            <v>17043901</v>
          </cell>
          <cell r="K109">
            <v>16010141</v>
          </cell>
          <cell r="L109">
            <v>17942372</v>
          </cell>
          <cell r="M109">
            <v>15889032</v>
          </cell>
          <cell r="N109">
            <v>15309989</v>
          </cell>
          <cell r="O109">
            <v>17803062</v>
          </cell>
          <cell r="P109">
            <v>15945174</v>
          </cell>
          <cell r="Q109">
            <v>16936052</v>
          </cell>
          <cell r="R109">
            <v>18104768</v>
          </cell>
          <cell r="S109">
            <v>16326629</v>
          </cell>
          <cell r="T109">
            <v>16179032</v>
          </cell>
          <cell r="U109">
            <v>18229379</v>
          </cell>
          <cell r="V109">
            <v>16290769</v>
          </cell>
          <cell r="W109">
            <v>15854723</v>
          </cell>
          <cell r="X109">
            <v>17354584</v>
          </cell>
          <cell r="Y109">
            <v>17460321</v>
          </cell>
          <cell r="Z109">
            <v>12635760</v>
          </cell>
          <cell r="AA109">
            <v>15099454</v>
          </cell>
          <cell r="AB109">
            <v>16076974</v>
          </cell>
          <cell r="AC109">
            <v>16773173</v>
          </cell>
          <cell r="AD109">
            <v>16128830</v>
          </cell>
          <cell r="AE109">
            <v>14293082</v>
          </cell>
          <cell r="AF109">
            <v>13463146</v>
          </cell>
          <cell r="AG109">
            <v>13543053</v>
          </cell>
          <cell r="AI109">
            <v>17043901</v>
          </cell>
        </row>
        <row r="110">
          <cell r="I110">
            <v>90418380</v>
          </cell>
          <cell r="J110">
            <v>24674504</v>
          </cell>
          <cell r="K110">
            <v>58687257</v>
          </cell>
          <cell r="L110">
            <v>73930800</v>
          </cell>
          <cell r="M110">
            <v>49040089</v>
          </cell>
          <cell r="N110">
            <v>59858927</v>
          </cell>
          <cell r="O110">
            <v>63555720</v>
          </cell>
          <cell r="P110">
            <v>49600294</v>
          </cell>
          <cell r="Q110">
            <v>60465479</v>
          </cell>
          <cell r="R110">
            <v>59012761</v>
          </cell>
          <cell r="S110">
            <v>59248827</v>
          </cell>
          <cell r="T110">
            <v>62052857</v>
          </cell>
          <cell r="U110">
            <v>61790296</v>
          </cell>
          <cell r="V110">
            <v>56809222</v>
          </cell>
          <cell r="W110">
            <v>60479755</v>
          </cell>
          <cell r="X110">
            <v>58660799</v>
          </cell>
          <cell r="Y110">
            <v>55799767</v>
          </cell>
          <cell r="Z110">
            <v>62349523</v>
          </cell>
          <cell r="AA110">
            <v>57410373</v>
          </cell>
          <cell r="AB110">
            <v>59994545</v>
          </cell>
          <cell r="AC110">
            <v>67558668</v>
          </cell>
          <cell r="AD110">
            <v>48323715</v>
          </cell>
          <cell r="AE110">
            <v>56376595</v>
          </cell>
          <cell r="AF110">
            <v>67592302</v>
          </cell>
          <cell r="AG110">
            <v>48504495</v>
          </cell>
          <cell r="AI110">
            <v>24674504</v>
          </cell>
        </row>
        <row r="112">
          <cell r="I112">
            <v>2542301</v>
          </cell>
          <cell r="J112">
            <v>2229705</v>
          </cell>
          <cell r="K112">
            <v>2593165</v>
          </cell>
          <cell r="L112">
            <v>2602188</v>
          </cell>
          <cell r="M112">
            <v>2450693</v>
          </cell>
          <cell r="N112">
            <v>2686341</v>
          </cell>
          <cell r="O112">
            <v>2693346</v>
          </cell>
          <cell r="P112">
            <v>2506345</v>
          </cell>
          <cell r="Q112">
            <v>2323628</v>
          </cell>
          <cell r="R112">
            <v>2238860</v>
          </cell>
          <cell r="S112">
            <v>2370260</v>
          </cell>
          <cell r="T112">
            <v>2232856</v>
          </cell>
          <cell r="U112">
            <v>2298807</v>
          </cell>
          <cell r="V112">
            <v>2460061</v>
          </cell>
          <cell r="W112">
            <v>2398368</v>
          </cell>
          <cell r="X112">
            <v>2507317</v>
          </cell>
          <cell r="Y112">
            <v>2023072</v>
          </cell>
          <cell r="Z112">
            <v>2330949</v>
          </cell>
          <cell r="AA112">
            <v>2223011</v>
          </cell>
          <cell r="AB112">
            <v>2152188</v>
          </cell>
          <cell r="AC112">
            <v>2024185</v>
          </cell>
          <cell r="AD112">
            <v>1967667</v>
          </cell>
          <cell r="AE112">
            <v>1970107</v>
          </cell>
          <cell r="AF112">
            <v>1985811</v>
          </cell>
          <cell r="AG112">
            <v>1791903</v>
          </cell>
          <cell r="AI112">
            <v>2229705</v>
          </cell>
        </row>
        <row r="113">
          <cell r="I113">
            <v>3140</v>
          </cell>
          <cell r="J113">
            <v>4021</v>
          </cell>
          <cell r="K113">
            <v>6440</v>
          </cell>
          <cell r="L113">
            <v>8091</v>
          </cell>
          <cell r="M113">
            <v>7256</v>
          </cell>
          <cell r="N113">
            <v>9507</v>
          </cell>
          <cell r="O113">
            <v>4394</v>
          </cell>
          <cell r="P113">
            <v>4802</v>
          </cell>
          <cell r="Q113">
            <v>3811</v>
          </cell>
          <cell r="R113">
            <v>3572</v>
          </cell>
          <cell r="S113">
            <v>3865</v>
          </cell>
          <cell r="T113">
            <v>3222</v>
          </cell>
          <cell r="U113">
            <v>3075</v>
          </cell>
          <cell r="V113">
            <v>4665</v>
          </cell>
          <cell r="W113">
            <v>211967</v>
          </cell>
          <cell r="X113">
            <v>241300</v>
          </cell>
          <cell r="Y113">
            <v>248283</v>
          </cell>
          <cell r="Z113">
            <v>236369</v>
          </cell>
          <cell r="AA113">
            <v>245171</v>
          </cell>
          <cell r="AB113">
            <v>282716</v>
          </cell>
          <cell r="AC113">
            <v>276481</v>
          </cell>
          <cell r="AD113">
            <v>258701</v>
          </cell>
          <cell r="AE113">
            <v>264506</v>
          </cell>
          <cell r="AF113">
            <v>282947</v>
          </cell>
          <cell r="AG113">
            <v>269993</v>
          </cell>
          <cell r="AI113">
            <v>4021</v>
          </cell>
        </row>
        <row r="114">
          <cell r="I114">
            <v>2263922</v>
          </cell>
          <cell r="J114">
            <v>2146490</v>
          </cell>
          <cell r="K114">
            <v>2506245</v>
          </cell>
          <cell r="L114">
            <v>2520669</v>
          </cell>
          <cell r="M114">
            <v>2197609</v>
          </cell>
          <cell r="N114">
            <v>2255681</v>
          </cell>
          <cell r="O114">
            <v>2213856</v>
          </cell>
          <cell r="P114">
            <v>2092031</v>
          </cell>
          <cell r="Q114">
            <v>2242525</v>
          </cell>
          <cell r="R114">
            <v>2017670</v>
          </cell>
          <cell r="S114">
            <v>1812703</v>
          </cell>
          <cell r="T114">
            <v>2111872</v>
          </cell>
          <cell r="U114">
            <v>1959879</v>
          </cell>
          <cell r="V114">
            <v>2855144</v>
          </cell>
          <cell r="W114">
            <v>2258176</v>
          </cell>
          <cell r="X114">
            <v>2372620</v>
          </cell>
          <cell r="Y114">
            <v>2394495</v>
          </cell>
          <cell r="Z114">
            <v>2267023</v>
          </cell>
          <cell r="AA114">
            <v>2169477</v>
          </cell>
          <cell r="AB114">
            <v>1997748</v>
          </cell>
          <cell r="AC114">
            <v>1858383</v>
          </cell>
          <cell r="AD114">
            <v>1840742</v>
          </cell>
          <cell r="AE114">
            <v>1899817</v>
          </cell>
          <cell r="AF114">
            <v>1760199</v>
          </cell>
          <cell r="AG114">
            <v>1890250</v>
          </cell>
          <cell r="AI114">
            <v>2146490</v>
          </cell>
        </row>
        <row r="115">
          <cell r="I115">
            <v>530178</v>
          </cell>
          <cell r="J115">
            <v>521000</v>
          </cell>
          <cell r="K115">
            <v>579400</v>
          </cell>
          <cell r="L115">
            <v>528200</v>
          </cell>
          <cell r="M115">
            <v>548600</v>
          </cell>
          <cell r="N115">
            <v>615800</v>
          </cell>
          <cell r="O115">
            <v>551800</v>
          </cell>
          <cell r="P115">
            <v>507800</v>
          </cell>
          <cell r="Q115">
            <v>558800</v>
          </cell>
          <cell r="R115">
            <v>558200</v>
          </cell>
          <cell r="S115">
            <v>409200</v>
          </cell>
          <cell r="T115">
            <v>552800</v>
          </cell>
          <cell r="U115">
            <v>423600</v>
          </cell>
          <cell r="V115">
            <v>539000</v>
          </cell>
          <cell r="W115">
            <v>883945</v>
          </cell>
          <cell r="X115">
            <v>840469</v>
          </cell>
          <cell r="Y115">
            <v>980749</v>
          </cell>
          <cell r="Z115">
            <v>1024709</v>
          </cell>
          <cell r="AA115">
            <v>899899</v>
          </cell>
          <cell r="AB115">
            <v>836984</v>
          </cell>
          <cell r="AC115">
            <v>823192</v>
          </cell>
          <cell r="AD115">
            <v>822209</v>
          </cell>
          <cell r="AE115">
            <v>902303</v>
          </cell>
          <cell r="AF115">
            <v>875170</v>
          </cell>
          <cell r="AG115">
            <v>1538620</v>
          </cell>
          <cell r="AI115">
            <v>521000</v>
          </cell>
        </row>
        <row r="116">
          <cell r="I116">
            <v>6721905</v>
          </cell>
          <cell r="J116">
            <v>6856938</v>
          </cell>
          <cell r="K116">
            <v>6987922</v>
          </cell>
          <cell r="L116">
            <v>7176359</v>
          </cell>
          <cell r="M116">
            <v>6747192</v>
          </cell>
          <cell r="N116">
            <v>6929743</v>
          </cell>
          <cell r="O116">
            <v>7376029</v>
          </cell>
          <cell r="P116">
            <v>6518186</v>
          </cell>
          <cell r="Q116">
            <v>5629976</v>
          </cell>
          <cell r="R116">
            <v>5537091</v>
          </cell>
          <cell r="S116">
            <v>5028373</v>
          </cell>
          <cell r="T116">
            <v>1263233</v>
          </cell>
          <cell r="U116">
            <v>1345827</v>
          </cell>
          <cell r="V116">
            <v>1342348</v>
          </cell>
          <cell r="W116">
            <v>1435618</v>
          </cell>
          <cell r="X116">
            <v>1488026</v>
          </cell>
          <cell r="Y116">
            <v>1752142</v>
          </cell>
          <cell r="Z116">
            <v>1749168</v>
          </cell>
          <cell r="AA116">
            <v>1704172</v>
          </cell>
          <cell r="AB116">
            <v>1540360</v>
          </cell>
          <cell r="AC116">
            <v>1485152</v>
          </cell>
          <cell r="AD116">
            <v>1362133</v>
          </cell>
          <cell r="AE116">
            <v>1506128</v>
          </cell>
          <cell r="AF116">
            <v>1369304</v>
          </cell>
          <cell r="AG116">
            <v>1548116</v>
          </cell>
          <cell r="AI116">
            <v>6856938</v>
          </cell>
        </row>
        <row r="117">
          <cell r="I117">
            <v>6322891</v>
          </cell>
          <cell r="J117">
            <v>6860995</v>
          </cell>
          <cell r="K117">
            <v>7544975</v>
          </cell>
          <cell r="L117">
            <v>7539743</v>
          </cell>
          <cell r="M117">
            <v>8350788</v>
          </cell>
          <cell r="N117">
            <v>6010773</v>
          </cell>
          <cell r="O117">
            <v>7687505</v>
          </cell>
          <cell r="P117">
            <v>6612872</v>
          </cell>
          <cell r="Q117">
            <v>6232669</v>
          </cell>
          <cell r="R117">
            <v>6391373</v>
          </cell>
          <cell r="S117">
            <v>6072188</v>
          </cell>
          <cell r="T117">
            <v>5152175</v>
          </cell>
          <cell r="U117">
            <v>5894154</v>
          </cell>
          <cell r="V117">
            <v>5829164</v>
          </cell>
          <cell r="W117">
            <v>5823734</v>
          </cell>
          <cell r="X117">
            <v>3662139</v>
          </cell>
          <cell r="Y117">
            <v>6417399</v>
          </cell>
          <cell r="Z117">
            <v>5333716</v>
          </cell>
          <cell r="AA117">
            <v>5421721</v>
          </cell>
          <cell r="AB117">
            <v>5850269</v>
          </cell>
          <cell r="AC117">
            <v>5160123</v>
          </cell>
          <cell r="AD117">
            <v>4905229</v>
          </cell>
          <cell r="AE117">
            <v>5407980</v>
          </cell>
          <cell r="AF117">
            <v>3630781</v>
          </cell>
          <cell r="AG117">
            <v>6151242</v>
          </cell>
          <cell r="AI117">
            <v>6860995</v>
          </cell>
        </row>
        <row r="118">
          <cell r="I118">
            <v>293303</v>
          </cell>
          <cell r="J118">
            <v>322505</v>
          </cell>
          <cell r="K118">
            <v>377357</v>
          </cell>
          <cell r="L118">
            <v>404746</v>
          </cell>
          <cell r="M118">
            <v>406355</v>
          </cell>
          <cell r="N118">
            <v>448233</v>
          </cell>
          <cell r="O118">
            <v>230371</v>
          </cell>
          <cell r="P118">
            <v>189657</v>
          </cell>
          <cell r="Q118">
            <v>159658</v>
          </cell>
          <cell r="R118">
            <v>188091</v>
          </cell>
          <cell r="S118">
            <v>188352</v>
          </cell>
          <cell r="T118">
            <v>218335</v>
          </cell>
          <cell r="U118">
            <v>215820</v>
          </cell>
          <cell r="V118">
            <v>220765</v>
          </cell>
          <cell r="W118">
            <v>174866</v>
          </cell>
          <cell r="X118">
            <v>151459</v>
          </cell>
          <cell r="Y118">
            <v>94962</v>
          </cell>
          <cell r="Z118">
            <v>195944</v>
          </cell>
          <cell r="AA118">
            <v>117229</v>
          </cell>
          <cell r="AB118">
            <v>111239</v>
          </cell>
          <cell r="AC118">
            <v>108068</v>
          </cell>
          <cell r="AD118">
            <v>105251</v>
          </cell>
          <cell r="AE118">
            <v>135299</v>
          </cell>
          <cell r="AF118">
            <v>162341</v>
          </cell>
          <cell r="AG118">
            <v>166084</v>
          </cell>
          <cell r="AI118">
            <v>322505</v>
          </cell>
        </row>
        <row r="119">
          <cell r="I119">
            <v>3168848</v>
          </cell>
          <cell r="J119">
            <v>3639620</v>
          </cell>
          <cell r="K119">
            <v>3364394</v>
          </cell>
          <cell r="L119">
            <v>3495381</v>
          </cell>
          <cell r="M119">
            <v>3512129</v>
          </cell>
          <cell r="N119">
            <v>3215562</v>
          </cell>
          <cell r="O119">
            <v>2986763</v>
          </cell>
          <cell r="P119">
            <v>2865984</v>
          </cell>
          <cell r="Q119">
            <v>2052083</v>
          </cell>
          <cell r="R119">
            <v>2191292</v>
          </cell>
          <cell r="S119">
            <v>2465633</v>
          </cell>
          <cell r="T119">
            <v>5442145</v>
          </cell>
          <cell r="U119">
            <v>7359808</v>
          </cell>
          <cell r="V119">
            <v>5353896</v>
          </cell>
          <cell r="W119">
            <v>2903838</v>
          </cell>
          <cell r="X119">
            <v>2377679</v>
          </cell>
          <cell r="Y119">
            <v>2498730</v>
          </cell>
          <cell r="Z119">
            <v>2724980</v>
          </cell>
          <cell r="AA119">
            <v>2534203</v>
          </cell>
          <cell r="AB119">
            <v>2487164</v>
          </cell>
          <cell r="AC119">
            <v>2429094</v>
          </cell>
          <cell r="AD119">
            <v>2425994</v>
          </cell>
          <cell r="AE119">
            <v>2464670</v>
          </cell>
          <cell r="AF119">
            <v>1180302</v>
          </cell>
          <cell r="AG119">
            <v>2068226</v>
          </cell>
          <cell r="AI119">
            <v>3639620</v>
          </cell>
        </row>
        <row r="120">
          <cell r="I120">
            <v>275654</v>
          </cell>
          <cell r="J120">
            <v>280099</v>
          </cell>
          <cell r="K120">
            <v>319486</v>
          </cell>
          <cell r="L120">
            <v>351290</v>
          </cell>
          <cell r="M120">
            <v>385940</v>
          </cell>
          <cell r="N120">
            <v>383423</v>
          </cell>
          <cell r="O120">
            <v>363249</v>
          </cell>
          <cell r="P120">
            <v>286975</v>
          </cell>
          <cell r="Q120">
            <v>287088</v>
          </cell>
          <cell r="R120">
            <v>288034</v>
          </cell>
          <cell r="S120">
            <v>309357</v>
          </cell>
          <cell r="T120">
            <v>786338</v>
          </cell>
          <cell r="U120">
            <v>1094445</v>
          </cell>
          <cell r="V120">
            <v>775039</v>
          </cell>
          <cell r="W120">
            <v>533911</v>
          </cell>
          <cell r="X120">
            <v>797372</v>
          </cell>
          <cell r="Y120">
            <v>1023212</v>
          </cell>
          <cell r="Z120">
            <v>1088323</v>
          </cell>
          <cell r="AA120">
            <v>833460</v>
          </cell>
          <cell r="AB120">
            <v>742657</v>
          </cell>
          <cell r="AC120">
            <v>796163</v>
          </cell>
          <cell r="AD120">
            <v>711610</v>
          </cell>
          <cell r="AE120">
            <v>733975</v>
          </cell>
          <cell r="AF120">
            <v>911070</v>
          </cell>
          <cell r="AG120">
            <v>930471</v>
          </cell>
          <cell r="AI120">
            <v>280099</v>
          </cell>
        </row>
        <row r="121">
          <cell r="I121">
            <v>1302183</v>
          </cell>
          <cell r="J121">
            <v>1379642</v>
          </cell>
          <cell r="K121">
            <v>1452952</v>
          </cell>
          <cell r="L121">
            <v>1502289</v>
          </cell>
          <cell r="M121">
            <v>1490630</v>
          </cell>
          <cell r="N121">
            <v>1487802</v>
          </cell>
          <cell r="O121">
            <v>1390257</v>
          </cell>
          <cell r="P121">
            <v>1008298</v>
          </cell>
          <cell r="Q121">
            <v>1079247</v>
          </cell>
          <cell r="R121">
            <v>890037</v>
          </cell>
          <cell r="S121">
            <v>1205833</v>
          </cell>
          <cell r="T121">
            <v>971298</v>
          </cell>
          <cell r="U121">
            <v>1141211</v>
          </cell>
          <cell r="V121">
            <v>1344532</v>
          </cell>
          <cell r="W121">
            <v>1526287</v>
          </cell>
          <cell r="X121">
            <v>1572724</v>
          </cell>
          <cell r="Y121">
            <v>1520612</v>
          </cell>
          <cell r="Z121">
            <v>1753708</v>
          </cell>
          <cell r="AA121">
            <v>1696027</v>
          </cell>
          <cell r="AB121">
            <v>1550585</v>
          </cell>
          <cell r="AC121">
            <v>1278856</v>
          </cell>
          <cell r="AD121">
            <v>1403363</v>
          </cell>
          <cell r="AE121">
            <v>1386447</v>
          </cell>
          <cell r="AF121">
            <v>1329703</v>
          </cell>
          <cell r="AG121">
            <v>1328668</v>
          </cell>
          <cell r="AI121">
            <v>1379642</v>
          </cell>
        </row>
        <row r="122">
          <cell r="I122">
            <v>1884542</v>
          </cell>
          <cell r="J122">
            <v>1909867</v>
          </cell>
          <cell r="K122">
            <v>1819612</v>
          </cell>
          <cell r="L122">
            <v>2128272</v>
          </cell>
          <cell r="M122">
            <v>1676495</v>
          </cell>
          <cell r="N122">
            <v>1778704</v>
          </cell>
          <cell r="O122">
            <v>1654389</v>
          </cell>
          <cell r="P122">
            <v>1740177</v>
          </cell>
          <cell r="Q122">
            <v>1706420</v>
          </cell>
          <cell r="R122">
            <v>1818289</v>
          </cell>
          <cell r="S122">
            <v>1668187</v>
          </cell>
          <cell r="T122">
            <v>1715522</v>
          </cell>
          <cell r="U122">
            <v>1849074</v>
          </cell>
          <cell r="V122">
            <v>1147472</v>
          </cell>
          <cell r="W122">
            <v>240354</v>
          </cell>
          <cell r="X122">
            <v>296978</v>
          </cell>
          <cell r="Y122">
            <v>295372</v>
          </cell>
          <cell r="Z122">
            <v>341350</v>
          </cell>
          <cell r="AA122">
            <v>319787</v>
          </cell>
          <cell r="AB122">
            <v>332401</v>
          </cell>
          <cell r="AC122">
            <v>373280</v>
          </cell>
          <cell r="AD122">
            <v>472546</v>
          </cell>
          <cell r="AE122">
            <v>419014</v>
          </cell>
          <cell r="AF122">
            <v>431747</v>
          </cell>
          <cell r="AG122">
            <v>439388</v>
          </cell>
          <cell r="AI122">
            <v>1909867</v>
          </cell>
        </row>
        <row r="123">
          <cell r="I123">
            <v>3306995</v>
          </cell>
          <cell r="J123">
            <v>3648878</v>
          </cell>
          <cell r="K123">
            <v>3667273</v>
          </cell>
          <cell r="L123">
            <v>3499380</v>
          </cell>
          <cell r="M123">
            <v>3694775</v>
          </cell>
          <cell r="N123">
            <v>4694199</v>
          </cell>
          <cell r="O123">
            <v>2599279</v>
          </cell>
          <cell r="P123">
            <v>2576821</v>
          </cell>
          <cell r="Q123">
            <v>2191031</v>
          </cell>
          <cell r="R123">
            <v>2197654</v>
          </cell>
          <cell r="S123">
            <v>2041553</v>
          </cell>
          <cell r="T123">
            <v>1528516</v>
          </cell>
          <cell r="U123">
            <v>1767246</v>
          </cell>
          <cell r="V123">
            <v>1880620</v>
          </cell>
          <cell r="W123">
            <v>2459442</v>
          </cell>
          <cell r="X123">
            <v>2539113</v>
          </cell>
          <cell r="Y123">
            <v>2911173</v>
          </cell>
          <cell r="Z123">
            <v>3140628</v>
          </cell>
          <cell r="AA123">
            <v>2888202</v>
          </cell>
          <cell r="AB123">
            <v>2194030</v>
          </cell>
          <cell r="AC123">
            <v>1980476</v>
          </cell>
          <cell r="AD123">
            <v>2315939</v>
          </cell>
          <cell r="AE123">
            <v>2144621</v>
          </cell>
          <cell r="AF123">
            <v>2023710</v>
          </cell>
          <cell r="AG123">
            <v>2976275</v>
          </cell>
          <cell r="AI123">
            <v>3648878</v>
          </cell>
        </row>
        <row r="124">
          <cell r="I124">
            <v>94390</v>
          </cell>
          <cell r="J124">
            <v>71122</v>
          </cell>
          <cell r="K124">
            <v>115792</v>
          </cell>
          <cell r="L124">
            <v>48384</v>
          </cell>
          <cell r="M124">
            <v>29258</v>
          </cell>
          <cell r="N124">
            <v>28714</v>
          </cell>
          <cell r="O124">
            <v>71522</v>
          </cell>
          <cell r="P124">
            <v>66905</v>
          </cell>
          <cell r="Q124">
            <v>63667</v>
          </cell>
          <cell r="R124">
            <v>74041</v>
          </cell>
          <cell r="S124">
            <v>76911</v>
          </cell>
          <cell r="T124">
            <v>80593</v>
          </cell>
          <cell r="U124">
            <v>90785</v>
          </cell>
          <cell r="V124">
            <v>80705</v>
          </cell>
          <cell r="W124">
            <v>5979326</v>
          </cell>
          <cell r="X124">
            <v>4993646</v>
          </cell>
          <cell r="Y124">
            <v>5532134</v>
          </cell>
          <cell r="Z124">
            <v>5640755</v>
          </cell>
          <cell r="AA124">
            <v>5385948</v>
          </cell>
          <cell r="AB124">
            <v>4918336</v>
          </cell>
          <cell r="AC124">
            <v>4508825</v>
          </cell>
          <cell r="AD124">
            <v>4047306</v>
          </cell>
          <cell r="AE124">
            <v>4319925</v>
          </cell>
          <cell r="AF124">
            <v>4255538</v>
          </cell>
          <cell r="AG124">
            <v>4311447</v>
          </cell>
          <cell r="AI124">
            <v>71122</v>
          </cell>
        </row>
        <row r="125">
          <cell r="I125">
            <v>6198117</v>
          </cell>
          <cell r="J125">
            <v>5664220</v>
          </cell>
          <cell r="K125">
            <v>5907339</v>
          </cell>
          <cell r="L125">
            <v>6391210</v>
          </cell>
          <cell r="M125">
            <v>5992204</v>
          </cell>
          <cell r="N125">
            <v>6960970</v>
          </cell>
          <cell r="O125">
            <v>6195852</v>
          </cell>
          <cell r="P125">
            <v>4968386</v>
          </cell>
          <cell r="Q125">
            <v>4991722</v>
          </cell>
          <cell r="R125">
            <v>5527974</v>
          </cell>
          <cell r="S125">
            <v>4923070</v>
          </cell>
          <cell r="T125">
            <v>364632</v>
          </cell>
          <cell r="U125">
            <v>415215</v>
          </cell>
          <cell r="V125">
            <v>527099</v>
          </cell>
          <cell r="W125">
            <v>74962</v>
          </cell>
          <cell r="X125">
            <v>75641</v>
          </cell>
          <cell r="Y125">
            <v>67683</v>
          </cell>
          <cell r="Z125">
            <v>55992</v>
          </cell>
          <cell r="AA125">
            <v>81569</v>
          </cell>
          <cell r="AB125">
            <v>93455</v>
          </cell>
          <cell r="AC125">
            <v>110049</v>
          </cell>
          <cell r="AD125">
            <v>92532</v>
          </cell>
          <cell r="AE125">
            <v>108402</v>
          </cell>
          <cell r="AF125">
            <v>101132</v>
          </cell>
          <cell r="AG125">
            <v>31163</v>
          </cell>
          <cell r="AI125">
            <v>5664220</v>
          </cell>
        </row>
        <row r="126">
          <cell r="I126">
            <v>317894</v>
          </cell>
          <cell r="J126">
            <v>373115</v>
          </cell>
          <cell r="K126">
            <v>296502</v>
          </cell>
          <cell r="L126">
            <v>217702</v>
          </cell>
          <cell r="M126">
            <v>220321</v>
          </cell>
          <cell r="N126">
            <v>148230</v>
          </cell>
          <cell r="O126">
            <v>309423</v>
          </cell>
          <cell r="P126">
            <v>341083</v>
          </cell>
          <cell r="Q126">
            <v>367715</v>
          </cell>
          <cell r="R126">
            <v>367667</v>
          </cell>
          <cell r="S126">
            <v>451108</v>
          </cell>
          <cell r="T126">
            <v>5221190</v>
          </cell>
          <cell r="U126">
            <v>5936135</v>
          </cell>
          <cell r="V126">
            <v>6059595</v>
          </cell>
          <cell r="W126">
            <v>543480</v>
          </cell>
          <cell r="X126">
            <v>452737</v>
          </cell>
          <cell r="Y126">
            <v>710353</v>
          </cell>
          <cell r="Z126">
            <v>1124271</v>
          </cell>
          <cell r="AA126">
            <v>1821056</v>
          </cell>
          <cell r="AB126">
            <v>1967944</v>
          </cell>
          <cell r="AC126">
            <v>1992587</v>
          </cell>
          <cell r="AD126">
            <v>2137568</v>
          </cell>
          <cell r="AE126">
            <v>1534540</v>
          </cell>
          <cell r="AF126">
            <v>812973</v>
          </cell>
          <cell r="AG126">
            <v>1189330</v>
          </cell>
          <cell r="AI126">
            <v>373115</v>
          </cell>
        </row>
        <row r="127">
          <cell r="I127">
            <v>0</v>
          </cell>
          <cell r="J127">
            <v>0</v>
          </cell>
          <cell r="K127">
            <v>0</v>
          </cell>
          <cell r="L127">
            <v>0</v>
          </cell>
          <cell r="M127">
            <v>0</v>
          </cell>
          <cell r="N127">
            <v>0</v>
          </cell>
          <cell r="O127">
            <v>9600</v>
          </cell>
          <cell r="P127">
            <v>57600</v>
          </cell>
          <cell r="Q127">
            <v>41280</v>
          </cell>
          <cell r="R127">
            <v>50880</v>
          </cell>
          <cell r="S127">
            <v>46080</v>
          </cell>
          <cell r="T127">
            <v>40325</v>
          </cell>
          <cell r="U127">
            <v>55755</v>
          </cell>
          <cell r="V127">
            <v>61444</v>
          </cell>
          <cell r="W127">
            <v>4230675</v>
          </cell>
          <cell r="X127">
            <v>4222181</v>
          </cell>
          <cell r="Y127">
            <v>3859260</v>
          </cell>
          <cell r="Z127">
            <v>4493648</v>
          </cell>
          <cell r="AA127">
            <v>3672729</v>
          </cell>
          <cell r="AB127">
            <v>3473985</v>
          </cell>
          <cell r="AC127">
            <v>3964823</v>
          </cell>
          <cell r="AD127">
            <v>3650278</v>
          </cell>
          <cell r="AE127">
            <v>3663335</v>
          </cell>
          <cell r="AF127">
            <v>6604632</v>
          </cell>
          <cell r="AG127">
            <v>274450</v>
          </cell>
          <cell r="AI127">
            <v>0</v>
          </cell>
        </row>
        <row r="128">
          <cell r="I128">
            <v>839440</v>
          </cell>
          <cell r="J128">
            <v>759151</v>
          </cell>
          <cell r="K128">
            <v>915482</v>
          </cell>
          <cell r="L128">
            <v>1088196</v>
          </cell>
          <cell r="M128">
            <v>1011191</v>
          </cell>
          <cell r="N128">
            <v>1051764</v>
          </cell>
          <cell r="O128">
            <v>1119664</v>
          </cell>
          <cell r="P128">
            <v>1014672</v>
          </cell>
          <cell r="Q128">
            <v>893681</v>
          </cell>
          <cell r="R128">
            <v>945609</v>
          </cell>
          <cell r="S128">
            <v>959230</v>
          </cell>
          <cell r="T128">
            <v>985694</v>
          </cell>
          <cell r="U128">
            <v>916755</v>
          </cell>
          <cell r="V128">
            <v>885938</v>
          </cell>
          <cell r="W128">
            <v>2182201</v>
          </cell>
          <cell r="X128">
            <v>2027640</v>
          </cell>
          <cell r="Y128">
            <v>1809535</v>
          </cell>
          <cell r="Z128">
            <v>1997935</v>
          </cell>
          <cell r="AA128">
            <v>2098009</v>
          </cell>
          <cell r="AB128">
            <v>1504386</v>
          </cell>
          <cell r="AC128">
            <v>1528563</v>
          </cell>
          <cell r="AD128">
            <v>1597090</v>
          </cell>
          <cell r="AE128">
            <v>1432161</v>
          </cell>
          <cell r="AF128">
            <v>1322944</v>
          </cell>
          <cell r="AG128">
            <v>1456409</v>
          </cell>
          <cell r="AI128">
            <v>759151</v>
          </cell>
        </row>
        <row r="129">
          <cell r="I129">
            <v>764203</v>
          </cell>
          <cell r="J129">
            <v>696676</v>
          </cell>
          <cell r="K129">
            <v>749224</v>
          </cell>
          <cell r="L129">
            <v>666924</v>
          </cell>
          <cell r="M129">
            <v>618981</v>
          </cell>
          <cell r="N129">
            <v>508489</v>
          </cell>
          <cell r="O129">
            <v>708831</v>
          </cell>
          <cell r="P129">
            <v>586678</v>
          </cell>
          <cell r="Q129">
            <v>593151</v>
          </cell>
          <cell r="R129">
            <v>596384</v>
          </cell>
          <cell r="S129">
            <v>680620</v>
          </cell>
          <cell r="T129">
            <v>736640</v>
          </cell>
          <cell r="U129">
            <v>699030</v>
          </cell>
          <cell r="V129">
            <v>647935</v>
          </cell>
          <cell r="W129">
            <v>827681</v>
          </cell>
          <cell r="X129">
            <v>757735</v>
          </cell>
          <cell r="Y129">
            <v>676869</v>
          </cell>
          <cell r="Z129">
            <v>619822</v>
          </cell>
          <cell r="AA129">
            <v>780901</v>
          </cell>
          <cell r="AB129">
            <v>704177</v>
          </cell>
          <cell r="AC129">
            <v>646224</v>
          </cell>
          <cell r="AD129">
            <v>712088</v>
          </cell>
          <cell r="AE129">
            <v>644615</v>
          </cell>
          <cell r="AF129">
            <v>621494</v>
          </cell>
          <cell r="AG129">
            <v>696110</v>
          </cell>
          <cell r="AI129">
            <v>696676</v>
          </cell>
        </row>
        <row r="130">
          <cell r="I130">
            <v>4954646</v>
          </cell>
          <cell r="J130">
            <v>5022002</v>
          </cell>
          <cell r="K130">
            <v>4648411</v>
          </cell>
          <cell r="L130">
            <v>6249089</v>
          </cell>
          <cell r="M130">
            <v>5172569</v>
          </cell>
          <cell r="N130">
            <v>5133459</v>
          </cell>
          <cell r="O130">
            <v>5407416</v>
          </cell>
          <cell r="P130">
            <v>4581293</v>
          </cell>
          <cell r="Q130">
            <v>4067853</v>
          </cell>
          <cell r="R130">
            <v>4295767</v>
          </cell>
          <cell r="S130">
            <v>4523975</v>
          </cell>
          <cell r="T130">
            <v>3793540</v>
          </cell>
          <cell r="U130">
            <v>3969915</v>
          </cell>
          <cell r="V130">
            <v>3611630</v>
          </cell>
          <cell r="W130">
            <v>5492141</v>
          </cell>
          <cell r="X130">
            <v>5883869</v>
          </cell>
          <cell r="Y130">
            <v>6050493</v>
          </cell>
          <cell r="Z130">
            <v>7117629</v>
          </cell>
          <cell r="AA130">
            <v>5589245</v>
          </cell>
          <cell r="AB130">
            <v>5507688</v>
          </cell>
          <cell r="AC130">
            <v>5536590</v>
          </cell>
          <cell r="AD130">
            <v>4834037</v>
          </cell>
          <cell r="AE130">
            <v>4546614</v>
          </cell>
          <cell r="AF130">
            <v>4384091</v>
          </cell>
          <cell r="AG130">
            <v>4563216</v>
          </cell>
          <cell r="AI130">
            <v>5022002</v>
          </cell>
        </row>
        <row r="131">
          <cell r="I131">
            <v>4112140</v>
          </cell>
          <cell r="J131">
            <v>3996739</v>
          </cell>
          <cell r="K131">
            <v>4096862</v>
          </cell>
          <cell r="L131">
            <v>5127672</v>
          </cell>
          <cell r="M131">
            <v>4335467</v>
          </cell>
          <cell r="N131">
            <v>4384882</v>
          </cell>
          <cell r="O131">
            <v>4405477</v>
          </cell>
          <cell r="P131">
            <v>3619729</v>
          </cell>
          <cell r="Q131">
            <v>3150957</v>
          </cell>
          <cell r="R131">
            <v>2655924</v>
          </cell>
          <cell r="S131">
            <v>2827709</v>
          </cell>
          <cell r="T131">
            <v>2828816</v>
          </cell>
          <cell r="U131">
            <v>2582397</v>
          </cell>
          <cell r="V131">
            <v>2791430</v>
          </cell>
          <cell r="W131">
            <v>3543799</v>
          </cell>
          <cell r="X131">
            <v>5736705</v>
          </cell>
          <cell r="Y131">
            <v>1784545</v>
          </cell>
          <cell r="Z131">
            <v>5319564</v>
          </cell>
          <cell r="AA131">
            <v>4283119</v>
          </cell>
          <cell r="AB131">
            <v>3444871</v>
          </cell>
          <cell r="AC131">
            <v>3070084</v>
          </cell>
          <cell r="AD131">
            <v>3479749</v>
          </cell>
          <cell r="AE131">
            <v>2821275</v>
          </cell>
          <cell r="AF131">
            <v>2863701</v>
          </cell>
          <cell r="AG131">
            <v>3832878</v>
          </cell>
          <cell r="AI131">
            <v>3996739</v>
          </cell>
        </row>
        <row r="133">
          <cell r="I133">
            <v>51840</v>
          </cell>
          <cell r="J133">
            <v>54731</v>
          </cell>
          <cell r="K133">
            <v>60463</v>
          </cell>
          <cell r="L133">
            <v>71443</v>
          </cell>
          <cell r="M133">
            <v>74425</v>
          </cell>
          <cell r="N133">
            <v>85840</v>
          </cell>
          <cell r="O133">
            <v>90178</v>
          </cell>
          <cell r="P133">
            <v>83441</v>
          </cell>
          <cell r="Q133">
            <v>83692</v>
          </cell>
          <cell r="R133">
            <v>80637</v>
          </cell>
          <cell r="S133">
            <v>81080</v>
          </cell>
          <cell r="T133">
            <v>72006</v>
          </cell>
          <cell r="U133">
            <v>70821</v>
          </cell>
          <cell r="V133">
            <v>73983</v>
          </cell>
          <cell r="W133">
            <v>74576</v>
          </cell>
          <cell r="X133">
            <v>80686</v>
          </cell>
          <cell r="Y133">
            <v>81563</v>
          </cell>
          <cell r="Z133">
            <v>93789</v>
          </cell>
          <cell r="AA133">
            <v>92941</v>
          </cell>
          <cell r="AB133">
            <v>85772</v>
          </cell>
          <cell r="AC133">
            <v>85433</v>
          </cell>
          <cell r="AD133">
            <v>81863</v>
          </cell>
          <cell r="AE133">
            <v>79609</v>
          </cell>
          <cell r="AF133">
            <v>72137</v>
          </cell>
          <cell r="AG133">
            <v>70042</v>
          </cell>
          <cell r="AI133">
            <v>54731</v>
          </cell>
        </row>
        <row r="134">
          <cell r="I134">
            <v>197867</v>
          </cell>
          <cell r="J134">
            <v>209609</v>
          </cell>
          <cell r="K134">
            <v>228923</v>
          </cell>
          <cell r="L134">
            <v>259078</v>
          </cell>
          <cell r="M134">
            <v>258995</v>
          </cell>
          <cell r="N134">
            <v>310435</v>
          </cell>
          <cell r="O134">
            <v>301521</v>
          </cell>
          <cell r="P134">
            <v>279108</v>
          </cell>
          <cell r="Q134">
            <v>281121</v>
          </cell>
          <cell r="R134">
            <v>255393</v>
          </cell>
          <cell r="S134">
            <v>245164</v>
          </cell>
          <cell r="T134">
            <v>238039</v>
          </cell>
          <cell r="U134">
            <v>218798</v>
          </cell>
          <cell r="V134">
            <v>221818</v>
          </cell>
          <cell r="W134">
            <v>228731</v>
          </cell>
          <cell r="X134">
            <v>266709</v>
          </cell>
          <cell r="Y134">
            <v>276146</v>
          </cell>
          <cell r="Z134">
            <v>310023</v>
          </cell>
          <cell r="AA134">
            <v>305717</v>
          </cell>
          <cell r="AB134">
            <v>284140</v>
          </cell>
          <cell r="AC134">
            <v>279026</v>
          </cell>
          <cell r="AD134">
            <v>259327</v>
          </cell>
          <cell r="AE134">
            <v>289286</v>
          </cell>
          <cell r="AF134">
            <v>229109</v>
          </cell>
          <cell r="AG134">
            <v>205479</v>
          </cell>
          <cell r="AI134">
            <v>209609</v>
          </cell>
        </row>
        <row r="135">
          <cell r="I135">
            <v>64352</v>
          </cell>
          <cell r="J135">
            <v>68064</v>
          </cell>
          <cell r="K135">
            <v>75372</v>
          </cell>
          <cell r="L135">
            <v>83194</v>
          </cell>
          <cell r="M135">
            <v>79151</v>
          </cell>
          <cell r="N135">
            <v>104058</v>
          </cell>
          <cell r="O135">
            <v>103770</v>
          </cell>
          <cell r="P135">
            <v>97365</v>
          </cell>
          <cell r="Q135">
            <v>95465</v>
          </cell>
          <cell r="R135">
            <v>86992</v>
          </cell>
          <cell r="S135">
            <v>99437</v>
          </cell>
          <cell r="T135">
            <v>90530</v>
          </cell>
          <cell r="U135">
            <v>71168</v>
          </cell>
          <cell r="V135">
            <v>74673</v>
          </cell>
          <cell r="W135">
            <v>75220</v>
          </cell>
          <cell r="X135">
            <v>81471</v>
          </cell>
          <cell r="Y135">
            <v>84600</v>
          </cell>
          <cell r="Z135">
            <v>96797</v>
          </cell>
          <cell r="AA135">
            <v>92124</v>
          </cell>
          <cell r="AB135">
            <v>82162</v>
          </cell>
          <cell r="AC135">
            <v>85497</v>
          </cell>
          <cell r="AD135">
            <v>78406</v>
          </cell>
          <cell r="AE135">
            <v>75059</v>
          </cell>
          <cell r="AF135">
            <v>72244</v>
          </cell>
          <cell r="AG135">
            <v>69493</v>
          </cell>
          <cell r="AI135">
            <v>68064</v>
          </cell>
        </row>
        <row r="136">
          <cell r="I136">
            <v>63872</v>
          </cell>
          <cell r="J136">
            <v>66927</v>
          </cell>
          <cell r="K136">
            <v>77152</v>
          </cell>
          <cell r="L136">
            <v>90454</v>
          </cell>
          <cell r="M136">
            <v>90609</v>
          </cell>
          <cell r="N136">
            <v>111599</v>
          </cell>
          <cell r="O136">
            <v>105826</v>
          </cell>
          <cell r="P136">
            <v>101384</v>
          </cell>
          <cell r="Q136">
            <v>98637</v>
          </cell>
          <cell r="R136">
            <v>91228</v>
          </cell>
          <cell r="S136">
            <v>90680</v>
          </cell>
          <cell r="T136">
            <v>86220</v>
          </cell>
          <cell r="U136">
            <v>85138</v>
          </cell>
          <cell r="V136">
            <v>79943</v>
          </cell>
          <cell r="W136">
            <v>83897</v>
          </cell>
          <cell r="X136">
            <v>88782</v>
          </cell>
          <cell r="Y136">
            <v>87031</v>
          </cell>
          <cell r="Z136">
            <v>103948</v>
          </cell>
          <cell r="AA136">
            <v>100083</v>
          </cell>
          <cell r="AB136">
            <v>96267</v>
          </cell>
          <cell r="AC136">
            <v>95746</v>
          </cell>
          <cell r="AD136">
            <v>88625</v>
          </cell>
          <cell r="AE136">
            <v>86094</v>
          </cell>
          <cell r="AF136">
            <v>90182</v>
          </cell>
          <cell r="AG136">
            <v>82585</v>
          </cell>
          <cell r="AI136">
            <v>66927</v>
          </cell>
        </row>
        <row r="137">
          <cell r="I137">
            <v>161062</v>
          </cell>
          <cell r="J137">
            <v>177477</v>
          </cell>
          <cell r="K137">
            <v>195583</v>
          </cell>
          <cell r="L137">
            <v>223339</v>
          </cell>
          <cell r="M137">
            <v>227046</v>
          </cell>
          <cell r="N137">
            <v>267585</v>
          </cell>
          <cell r="O137">
            <v>272655</v>
          </cell>
          <cell r="P137">
            <v>248446</v>
          </cell>
          <cell r="Q137">
            <v>240289</v>
          </cell>
          <cell r="R137">
            <v>211662</v>
          </cell>
          <cell r="S137">
            <v>199080</v>
          </cell>
          <cell r="T137">
            <v>189948</v>
          </cell>
          <cell r="U137">
            <v>180745</v>
          </cell>
          <cell r="V137">
            <v>198675</v>
          </cell>
          <cell r="W137">
            <v>206638</v>
          </cell>
          <cell r="X137">
            <v>229885</v>
          </cell>
          <cell r="Y137">
            <v>230381</v>
          </cell>
          <cell r="Z137">
            <v>266720</v>
          </cell>
          <cell r="AA137">
            <v>271320</v>
          </cell>
          <cell r="AB137">
            <v>251779</v>
          </cell>
          <cell r="AC137">
            <v>239883</v>
          </cell>
          <cell r="AD137">
            <v>216631</v>
          </cell>
          <cell r="AE137">
            <v>218799</v>
          </cell>
          <cell r="AF137">
            <v>223117</v>
          </cell>
          <cell r="AG137">
            <v>184947</v>
          </cell>
          <cell r="AI137">
            <v>177477</v>
          </cell>
        </row>
        <row r="138">
          <cell r="I138">
            <v>142134</v>
          </cell>
          <cell r="J138">
            <v>150846</v>
          </cell>
          <cell r="K138">
            <v>164721</v>
          </cell>
          <cell r="L138">
            <v>188472</v>
          </cell>
          <cell r="M138">
            <v>194872</v>
          </cell>
          <cell r="N138">
            <v>226673</v>
          </cell>
          <cell r="O138">
            <v>217567</v>
          </cell>
          <cell r="P138">
            <v>195987</v>
          </cell>
          <cell r="Q138">
            <v>187429</v>
          </cell>
          <cell r="R138">
            <v>167356</v>
          </cell>
          <cell r="S138">
            <v>156406</v>
          </cell>
          <cell r="T138">
            <v>148433</v>
          </cell>
          <cell r="U138">
            <v>140074</v>
          </cell>
          <cell r="V138">
            <v>154796</v>
          </cell>
          <cell r="W138">
            <v>163045</v>
          </cell>
          <cell r="X138">
            <v>171650</v>
          </cell>
          <cell r="Y138">
            <v>173158</v>
          </cell>
          <cell r="Z138">
            <v>210735</v>
          </cell>
          <cell r="AA138">
            <v>199541</v>
          </cell>
          <cell r="AB138">
            <v>178456</v>
          </cell>
          <cell r="AC138">
            <v>168780</v>
          </cell>
          <cell r="AD138">
            <v>158119</v>
          </cell>
          <cell r="AE138">
            <v>149333</v>
          </cell>
          <cell r="AF138">
            <v>142013</v>
          </cell>
          <cell r="AG138">
            <v>137691</v>
          </cell>
          <cell r="AI138">
            <v>150846</v>
          </cell>
        </row>
        <row r="139">
          <cell r="I139">
            <v>154142</v>
          </cell>
          <cell r="J139">
            <v>167110</v>
          </cell>
          <cell r="K139">
            <v>182754</v>
          </cell>
          <cell r="L139">
            <v>211519</v>
          </cell>
          <cell r="M139">
            <v>213528</v>
          </cell>
          <cell r="N139">
            <v>255963</v>
          </cell>
          <cell r="O139">
            <v>279709</v>
          </cell>
          <cell r="P139">
            <v>246533</v>
          </cell>
          <cell r="Q139">
            <v>235623</v>
          </cell>
          <cell r="R139">
            <v>210018</v>
          </cell>
          <cell r="S139">
            <v>196753</v>
          </cell>
          <cell r="T139">
            <v>182589</v>
          </cell>
          <cell r="U139">
            <v>172333</v>
          </cell>
          <cell r="V139">
            <v>187003</v>
          </cell>
          <cell r="W139">
            <v>224924</v>
          </cell>
          <cell r="X139">
            <v>252350</v>
          </cell>
          <cell r="Y139">
            <v>252350</v>
          </cell>
          <cell r="Z139">
            <v>297135</v>
          </cell>
          <cell r="AA139">
            <v>297598</v>
          </cell>
          <cell r="AB139">
            <v>276281</v>
          </cell>
          <cell r="AC139">
            <v>264099</v>
          </cell>
          <cell r="AD139">
            <v>239317</v>
          </cell>
          <cell r="AE139">
            <v>222878</v>
          </cell>
          <cell r="AF139">
            <v>210065</v>
          </cell>
          <cell r="AG139">
            <v>215002</v>
          </cell>
          <cell r="AI139">
            <v>167110</v>
          </cell>
        </row>
        <row r="140">
          <cell r="I140">
            <v>33093</v>
          </cell>
          <cell r="J140">
            <v>36312</v>
          </cell>
          <cell r="K140">
            <v>44199</v>
          </cell>
          <cell r="L140">
            <v>49375</v>
          </cell>
          <cell r="M140">
            <v>43881</v>
          </cell>
          <cell r="N140">
            <v>57230</v>
          </cell>
          <cell r="O140">
            <v>57896</v>
          </cell>
          <cell r="P140">
            <v>67290</v>
          </cell>
          <cell r="Q140">
            <v>71472</v>
          </cell>
          <cell r="R140">
            <v>62271</v>
          </cell>
          <cell r="S140">
            <v>56430</v>
          </cell>
          <cell r="T140">
            <v>48481</v>
          </cell>
          <cell r="U140">
            <v>46217</v>
          </cell>
          <cell r="V140">
            <v>64429</v>
          </cell>
          <cell r="W140">
            <v>75977</v>
          </cell>
          <cell r="X140">
            <v>78509</v>
          </cell>
          <cell r="Y140">
            <v>49883</v>
          </cell>
          <cell r="Z140">
            <v>126145</v>
          </cell>
          <cell r="AA140">
            <v>93831</v>
          </cell>
          <cell r="AB140">
            <v>91665</v>
          </cell>
          <cell r="AC140">
            <v>92764</v>
          </cell>
          <cell r="AD140">
            <v>82391</v>
          </cell>
          <cell r="AE140">
            <v>76402</v>
          </cell>
          <cell r="AF140">
            <v>75600</v>
          </cell>
          <cell r="AG140">
            <v>71947</v>
          </cell>
          <cell r="AI140">
            <v>36312</v>
          </cell>
        </row>
        <row r="141">
          <cell r="I141">
            <v>154029</v>
          </cell>
          <cell r="J141">
            <v>168650</v>
          </cell>
          <cell r="K141">
            <v>183325</v>
          </cell>
          <cell r="L141">
            <v>213167</v>
          </cell>
          <cell r="M141">
            <v>213132</v>
          </cell>
          <cell r="N141">
            <v>259091</v>
          </cell>
          <cell r="O141">
            <v>262745</v>
          </cell>
          <cell r="P141">
            <v>239602</v>
          </cell>
          <cell r="Q141">
            <v>227380</v>
          </cell>
          <cell r="R141">
            <v>204463</v>
          </cell>
          <cell r="S141">
            <v>191448</v>
          </cell>
          <cell r="T141">
            <v>181255</v>
          </cell>
          <cell r="U141">
            <v>169773</v>
          </cell>
          <cell r="V141">
            <v>181024</v>
          </cell>
          <cell r="W141">
            <v>195785</v>
          </cell>
          <cell r="X141">
            <v>209572</v>
          </cell>
          <cell r="Y141">
            <v>210024</v>
          </cell>
          <cell r="Z141">
            <v>252511</v>
          </cell>
          <cell r="AA141">
            <v>258859</v>
          </cell>
          <cell r="AB141">
            <v>230790</v>
          </cell>
          <cell r="AC141">
            <v>221548</v>
          </cell>
          <cell r="AD141">
            <v>196865</v>
          </cell>
          <cell r="AE141">
            <v>184056</v>
          </cell>
          <cell r="AF141">
            <v>172883</v>
          </cell>
          <cell r="AG141">
            <v>164000</v>
          </cell>
          <cell r="AI141">
            <v>168650</v>
          </cell>
        </row>
        <row r="142">
          <cell r="I142">
            <v>75702</v>
          </cell>
          <cell r="J142">
            <v>83998</v>
          </cell>
          <cell r="K142">
            <v>93345</v>
          </cell>
          <cell r="L142">
            <v>107951</v>
          </cell>
          <cell r="M142">
            <v>115786</v>
          </cell>
          <cell r="N142">
            <v>147159</v>
          </cell>
          <cell r="O142">
            <v>138847</v>
          </cell>
          <cell r="P142">
            <v>128438</v>
          </cell>
          <cell r="Q142">
            <v>123581</v>
          </cell>
          <cell r="R142">
            <v>110921</v>
          </cell>
          <cell r="S142">
            <v>103384</v>
          </cell>
          <cell r="T142">
            <v>91803</v>
          </cell>
          <cell r="U142">
            <v>93758</v>
          </cell>
          <cell r="V142">
            <v>93903</v>
          </cell>
          <cell r="W142">
            <v>118718</v>
          </cell>
          <cell r="X142">
            <v>127243</v>
          </cell>
          <cell r="Y142">
            <v>128644</v>
          </cell>
          <cell r="Z142">
            <v>155000</v>
          </cell>
          <cell r="AA142">
            <v>158008</v>
          </cell>
          <cell r="AB142">
            <v>137181</v>
          </cell>
          <cell r="AC142">
            <v>138560</v>
          </cell>
          <cell r="AD142">
            <v>121141</v>
          </cell>
          <cell r="AE142">
            <v>111339</v>
          </cell>
          <cell r="AF142">
            <v>109872</v>
          </cell>
          <cell r="AG142">
            <v>106461</v>
          </cell>
          <cell r="AI142">
            <v>83998</v>
          </cell>
        </row>
        <row r="143">
          <cell r="I143">
            <v>201496</v>
          </cell>
          <cell r="J143">
            <v>217310</v>
          </cell>
          <cell r="K143">
            <v>235266</v>
          </cell>
          <cell r="L143">
            <v>273353</v>
          </cell>
          <cell r="M143">
            <v>275196</v>
          </cell>
          <cell r="N143">
            <v>321265</v>
          </cell>
          <cell r="O143">
            <v>328727</v>
          </cell>
          <cell r="P143">
            <v>307385</v>
          </cell>
          <cell r="Q143">
            <v>293101</v>
          </cell>
          <cell r="R143">
            <v>256161</v>
          </cell>
          <cell r="S143">
            <v>240912</v>
          </cell>
          <cell r="T143">
            <v>222588</v>
          </cell>
          <cell r="U143">
            <v>212762</v>
          </cell>
          <cell r="V143">
            <v>215455</v>
          </cell>
          <cell r="W143">
            <v>230936</v>
          </cell>
          <cell r="X143">
            <v>259340</v>
          </cell>
          <cell r="Y143">
            <v>257729</v>
          </cell>
          <cell r="Z143">
            <v>303776</v>
          </cell>
          <cell r="AA143">
            <v>303557</v>
          </cell>
          <cell r="AB143">
            <v>286297</v>
          </cell>
          <cell r="AC143">
            <v>275928</v>
          </cell>
          <cell r="AD143">
            <v>251260</v>
          </cell>
          <cell r="AE143">
            <v>232661</v>
          </cell>
          <cell r="AF143">
            <v>218485</v>
          </cell>
          <cell r="AG143">
            <v>209366</v>
          </cell>
          <cell r="AI143">
            <v>217310</v>
          </cell>
        </row>
        <row r="144">
          <cell r="I144">
            <v>134515</v>
          </cell>
          <cell r="J144">
            <v>140512</v>
          </cell>
          <cell r="K144">
            <v>162131</v>
          </cell>
          <cell r="L144">
            <v>179362</v>
          </cell>
          <cell r="M144">
            <v>187859</v>
          </cell>
          <cell r="N144">
            <v>228507</v>
          </cell>
          <cell r="O144">
            <v>228247</v>
          </cell>
          <cell r="P144">
            <v>189268</v>
          </cell>
          <cell r="Q144">
            <v>181278</v>
          </cell>
          <cell r="R144">
            <v>163823</v>
          </cell>
          <cell r="S144">
            <v>150974</v>
          </cell>
          <cell r="T144">
            <v>148026</v>
          </cell>
          <cell r="U144">
            <v>135973</v>
          </cell>
          <cell r="V144">
            <v>148848</v>
          </cell>
          <cell r="W144">
            <v>162671</v>
          </cell>
          <cell r="X144">
            <v>174269</v>
          </cell>
          <cell r="Y144">
            <v>178493</v>
          </cell>
          <cell r="Z144">
            <v>212668</v>
          </cell>
          <cell r="AA144">
            <v>209622</v>
          </cell>
          <cell r="AB144">
            <v>189550</v>
          </cell>
          <cell r="AC144">
            <v>177669</v>
          </cell>
          <cell r="AD144">
            <v>165338</v>
          </cell>
          <cell r="AE144">
            <v>150644</v>
          </cell>
          <cell r="AF144">
            <v>135528</v>
          </cell>
          <cell r="AG144">
            <v>144150</v>
          </cell>
          <cell r="AI144">
            <v>140512</v>
          </cell>
        </row>
        <row r="145">
          <cell r="I145">
            <v>66124</v>
          </cell>
          <cell r="J145">
            <v>69075</v>
          </cell>
          <cell r="K145">
            <v>79486</v>
          </cell>
          <cell r="L145">
            <v>95273</v>
          </cell>
          <cell r="M145">
            <v>97221</v>
          </cell>
          <cell r="N145">
            <v>116638</v>
          </cell>
          <cell r="O145">
            <v>114429</v>
          </cell>
          <cell r="P145">
            <v>107038</v>
          </cell>
          <cell r="Q145">
            <v>100397</v>
          </cell>
          <cell r="R145">
            <v>92146</v>
          </cell>
          <cell r="S145">
            <v>86607</v>
          </cell>
          <cell r="T145">
            <v>83800</v>
          </cell>
          <cell r="U145">
            <v>77159</v>
          </cell>
          <cell r="V145">
            <v>76478</v>
          </cell>
          <cell r="W145">
            <v>89032</v>
          </cell>
          <cell r="X145">
            <v>98160</v>
          </cell>
          <cell r="Y145">
            <v>98190</v>
          </cell>
          <cell r="Z145">
            <v>117940</v>
          </cell>
          <cell r="AA145">
            <v>119996</v>
          </cell>
          <cell r="AB145">
            <v>111412</v>
          </cell>
          <cell r="AC145">
            <v>108491</v>
          </cell>
          <cell r="AD145">
            <v>95608</v>
          </cell>
          <cell r="AE145">
            <v>90275</v>
          </cell>
          <cell r="AF145">
            <v>83105</v>
          </cell>
          <cell r="AG145">
            <v>82916</v>
          </cell>
          <cell r="AI145">
            <v>69075</v>
          </cell>
        </row>
        <row r="146">
          <cell r="I146">
            <v>54557</v>
          </cell>
          <cell r="J146">
            <v>58478</v>
          </cell>
          <cell r="K146">
            <v>64517</v>
          </cell>
          <cell r="L146">
            <v>76665</v>
          </cell>
          <cell r="M146">
            <v>82498</v>
          </cell>
          <cell r="N146">
            <v>95826</v>
          </cell>
          <cell r="O146">
            <v>97893</v>
          </cell>
          <cell r="P146">
            <v>108163</v>
          </cell>
          <cell r="Q146">
            <v>97136</v>
          </cell>
          <cell r="R146">
            <v>88088</v>
          </cell>
          <cell r="S146">
            <v>82618</v>
          </cell>
          <cell r="T146">
            <v>95536</v>
          </cell>
          <cell r="U146">
            <v>89890</v>
          </cell>
          <cell r="V146">
            <v>104687</v>
          </cell>
          <cell r="W146">
            <v>88767</v>
          </cell>
          <cell r="X146">
            <v>95868</v>
          </cell>
          <cell r="Y146">
            <v>97119</v>
          </cell>
          <cell r="Z146">
            <v>128525</v>
          </cell>
          <cell r="AA146">
            <v>115422</v>
          </cell>
          <cell r="AB146">
            <v>111344</v>
          </cell>
          <cell r="AC146">
            <v>104910</v>
          </cell>
          <cell r="AD146">
            <v>94460</v>
          </cell>
          <cell r="AE146">
            <v>83277</v>
          </cell>
          <cell r="AF146">
            <v>82063</v>
          </cell>
          <cell r="AG146">
            <v>76306</v>
          </cell>
          <cell r="AI146">
            <v>58478</v>
          </cell>
        </row>
        <row r="147">
          <cell r="I147">
            <v>139093</v>
          </cell>
          <cell r="J147">
            <v>158356</v>
          </cell>
          <cell r="K147">
            <v>169127</v>
          </cell>
          <cell r="L147">
            <v>192001</v>
          </cell>
          <cell r="M147">
            <v>194422</v>
          </cell>
          <cell r="N147">
            <v>237274</v>
          </cell>
          <cell r="O147">
            <v>238705</v>
          </cell>
          <cell r="P147">
            <v>221369</v>
          </cell>
          <cell r="Q147">
            <v>214591</v>
          </cell>
          <cell r="R147">
            <v>193222</v>
          </cell>
          <cell r="S147">
            <v>179592</v>
          </cell>
          <cell r="T147">
            <v>145565</v>
          </cell>
          <cell r="U147">
            <v>136642</v>
          </cell>
          <cell r="V147">
            <v>149334</v>
          </cell>
          <cell r="W147">
            <v>158932</v>
          </cell>
          <cell r="X147">
            <v>184693</v>
          </cell>
          <cell r="Y147">
            <v>183907</v>
          </cell>
          <cell r="Z147">
            <v>224936</v>
          </cell>
          <cell r="AA147">
            <v>224603</v>
          </cell>
          <cell r="AB147">
            <v>210582</v>
          </cell>
          <cell r="AC147">
            <v>212548</v>
          </cell>
          <cell r="AD147">
            <v>184376</v>
          </cell>
          <cell r="AE147">
            <v>170175</v>
          </cell>
          <cell r="AF147">
            <v>161706</v>
          </cell>
          <cell r="AG147">
            <v>154248</v>
          </cell>
          <cell r="AI147">
            <v>158356</v>
          </cell>
        </row>
        <row r="148">
          <cell r="I148">
            <v>122441</v>
          </cell>
          <cell r="J148">
            <v>129015</v>
          </cell>
          <cell r="K148">
            <v>140359</v>
          </cell>
          <cell r="L148">
            <v>161519</v>
          </cell>
          <cell r="M148">
            <v>166645</v>
          </cell>
          <cell r="N148">
            <v>174243</v>
          </cell>
          <cell r="O148">
            <v>191176</v>
          </cell>
          <cell r="P148">
            <v>171394</v>
          </cell>
          <cell r="Q148">
            <v>165699</v>
          </cell>
          <cell r="R148">
            <v>155885</v>
          </cell>
          <cell r="S148">
            <v>143958</v>
          </cell>
          <cell r="T148">
            <v>144483</v>
          </cell>
          <cell r="U148">
            <v>138294</v>
          </cell>
          <cell r="V148">
            <v>140850</v>
          </cell>
          <cell r="W148">
            <v>131093</v>
          </cell>
          <cell r="X148">
            <v>140220</v>
          </cell>
          <cell r="Y148">
            <v>140172</v>
          </cell>
          <cell r="Z148">
            <v>165452</v>
          </cell>
          <cell r="AA148">
            <v>168225</v>
          </cell>
          <cell r="AB148">
            <v>156096</v>
          </cell>
          <cell r="AC148">
            <v>151352</v>
          </cell>
          <cell r="AD148">
            <v>147991</v>
          </cell>
          <cell r="AE148">
            <v>136349</v>
          </cell>
          <cell r="AF148">
            <v>128961</v>
          </cell>
          <cell r="AG148">
            <v>122389</v>
          </cell>
          <cell r="AI148">
            <v>129015</v>
          </cell>
        </row>
        <row r="149">
          <cell r="I149">
            <v>1010040</v>
          </cell>
          <cell r="J149">
            <v>1109196</v>
          </cell>
          <cell r="K149">
            <v>1181260</v>
          </cell>
          <cell r="L149">
            <v>1359674</v>
          </cell>
          <cell r="M149">
            <v>1362543</v>
          </cell>
          <cell r="N149">
            <v>1635038</v>
          </cell>
          <cell r="O149">
            <v>1634781</v>
          </cell>
          <cell r="P149">
            <v>1516939</v>
          </cell>
          <cell r="Q149">
            <v>1440604</v>
          </cell>
          <cell r="R149">
            <v>1266280</v>
          </cell>
          <cell r="S149">
            <v>1174498</v>
          </cell>
          <cell r="T149">
            <v>1074752</v>
          </cell>
          <cell r="U149">
            <v>1021241</v>
          </cell>
          <cell r="V149">
            <v>1088996</v>
          </cell>
          <cell r="W149">
            <v>1176355</v>
          </cell>
          <cell r="X149">
            <v>1361559</v>
          </cell>
          <cell r="Y149">
            <v>1316329</v>
          </cell>
          <cell r="Z149">
            <v>1580861</v>
          </cell>
          <cell r="AA149">
            <v>1588903</v>
          </cell>
          <cell r="AB149">
            <v>1477659</v>
          </cell>
          <cell r="AC149">
            <v>1404445</v>
          </cell>
          <cell r="AD149">
            <v>1239827</v>
          </cell>
          <cell r="AE149">
            <v>1145728</v>
          </cell>
          <cell r="AF149">
            <v>1050435</v>
          </cell>
          <cell r="AG149">
            <v>990022</v>
          </cell>
          <cell r="AI149">
            <v>1109196</v>
          </cell>
        </row>
        <row r="150">
          <cell r="I150">
            <v>188654</v>
          </cell>
          <cell r="J150">
            <v>189418</v>
          </cell>
          <cell r="K150">
            <v>217701</v>
          </cell>
          <cell r="L150">
            <v>215870</v>
          </cell>
          <cell r="M150">
            <v>233226</v>
          </cell>
          <cell r="N150">
            <v>274210</v>
          </cell>
          <cell r="O150">
            <v>281875</v>
          </cell>
          <cell r="P150">
            <v>255245</v>
          </cell>
          <cell r="Q150">
            <v>243062</v>
          </cell>
          <cell r="R150">
            <v>227584</v>
          </cell>
          <cell r="S150">
            <v>227100</v>
          </cell>
          <cell r="T150">
            <v>198298</v>
          </cell>
          <cell r="U150">
            <v>205823</v>
          </cell>
          <cell r="V150">
            <v>180897</v>
          </cell>
          <cell r="W150">
            <v>204689</v>
          </cell>
          <cell r="X150">
            <v>225163</v>
          </cell>
          <cell r="Y150">
            <v>228177</v>
          </cell>
          <cell r="Z150">
            <v>262337</v>
          </cell>
          <cell r="AA150">
            <v>275071</v>
          </cell>
          <cell r="AB150">
            <v>248813</v>
          </cell>
          <cell r="AC150">
            <v>239092</v>
          </cell>
          <cell r="AD150">
            <v>231056</v>
          </cell>
          <cell r="AE150">
            <v>219728</v>
          </cell>
          <cell r="AF150">
            <v>208444</v>
          </cell>
          <cell r="AG150">
            <v>191922</v>
          </cell>
          <cell r="AI150">
            <v>189418</v>
          </cell>
        </row>
        <row r="151">
          <cell r="I151">
            <v>116522</v>
          </cell>
          <cell r="J151">
            <v>120168</v>
          </cell>
          <cell r="K151">
            <v>127204</v>
          </cell>
          <cell r="L151">
            <v>151158</v>
          </cell>
          <cell r="M151">
            <v>152174</v>
          </cell>
          <cell r="N151">
            <v>178936</v>
          </cell>
          <cell r="O151">
            <v>186571</v>
          </cell>
          <cell r="P151">
            <v>170698</v>
          </cell>
          <cell r="Q151">
            <v>161489</v>
          </cell>
          <cell r="R151">
            <v>148262</v>
          </cell>
          <cell r="S151">
            <v>137143</v>
          </cell>
          <cell r="T151">
            <v>134055</v>
          </cell>
          <cell r="U151">
            <v>123460</v>
          </cell>
          <cell r="V151">
            <v>132295</v>
          </cell>
          <cell r="W151">
            <v>135465</v>
          </cell>
          <cell r="X151">
            <v>151661</v>
          </cell>
          <cell r="Y151">
            <v>153412</v>
          </cell>
          <cell r="Z151">
            <v>175946</v>
          </cell>
          <cell r="AA151">
            <v>180625</v>
          </cell>
          <cell r="AB151">
            <v>162800</v>
          </cell>
          <cell r="AC151">
            <v>160302</v>
          </cell>
          <cell r="AD151">
            <v>124386</v>
          </cell>
          <cell r="AE151">
            <v>117590</v>
          </cell>
          <cell r="AF151">
            <v>114311</v>
          </cell>
          <cell r="AG151">
            <v>105225</v>
          </cell>
          <cell r="AI151">
            <v>120168</v>
          </cell>
        </row>
        <row r="152">
          <cell r="I152">
            <v>332647</v>
          </cell>
          <cell r="J152">
            <v>303947</v>
          </cell>
          <cell r="K152">
            <v>308239</v>
          </cell>
          <cell r="L152">
            <v>354813</v>
          </cell>
          <cell r="M152">
            <v>342566</v>
          </cell>
          <cell r="N152">
            <v>364766</v>
          </cell>
          <cell r="O152">
            <v>419854</v>
          </cell>
          <cell r="P152">
            <v>354839</v>
          </cell>
          <cell r="Q152">
            <v>355111</v>
          </cell>
          <cell r="R152">
            <v>361986</v>
          </cell>
          <cell r="S152">
            <v>333434</v>
          </cell>
          <cell r="T152">
            <v>348302</v>
          </cell>
          <cell r="U152">
            <v>305880</v>
          </cell>
          <cell r="V152">
            <v>350635</v>
          </cell>
          <cell r="W152">
            <v>333879</v>
          </cell>
          <cell r="X152">
            <v>378204</v>
          </cell>
          <cell r="Y152">
            <v>336881</v>
          </cell>
          <cell r="Z152">
            <v>412876</v>
          </cell>
          <cell r="AA152">
            <v>390414</v>
          </cell>
          <cell r="AB152">
            <v>385291</v>
          </cell>
          <cell r="AC152">
            <v>355411</v>
          </cell>
          <cell r="AD152">
            <v>381855</v>
          </cell>
          <cell r="AE152">
            <v>355342</v>
          </cell>
          <cell r="AF152">
            <v>349561</v>
          </cell>
          <cell r="AG152">
            <v>347886</v>
          </cell>
          <cell r="AI152">
            <v>303947</v>
          </cell>
        </row>
        <row r="154">
          <cell r="I154">
            <v>3780806</v>
          </cell>
          <cell r="J154">
            <v>3477899</v>
          </cell>
          <cell r="K154">
            <v>3500925</v>
          </cell>
          <cell r="L154">
            <v>3613253</v>
          </cell>
          <cell r="M154">
            <v>3375876</v>
          </cell>
          <cell r="N154">
            <v>3918112</v>
          </cell>
          <cell r="O154">
            <v>3700105</v>
          </cell>
          <cell r="P154">
            <v>3567181</v>
          </cell>
          <cell r="Q154">
            <v>4305288</v>
          </cell>
          <cell r="R154">
            <v>4521243</v>
          </cell>
          <cell r="S154">
            <v>4405699</v>
          </cell>
          <cell r="T154">
            <v>3794587</v>
          </cell>
          <cell r="U154">
            <v>4268623</v>
          </cell>
          <cell r="V154">
            <v>3375254</v>
          </cell>
          <cell r="W154">
            <v>2803023</v>
          </cell>
          <cell r="X154">
            <v>2558527</v>
          </cell>
          <cell r="Y154">
            <v>2717085</v>
          </cell>
          <cell r="Z154">
            <v>2744468</v>
          </cell>
          <cell r="AA154">
            <v>2422058</v>
          </cell>
          <cell r="AB154">
            <v>2119996</v>
          </cell>
          <cell r="AC154">
            <v>3157938</v>
          </cell>
          <cell r="AD154">
            <v>3532801</v>
          </cell>
          <cell r="AE154">
            <v>3041363</v>
          </cell>
          <cell r="AF154">
            <v>2500545</v>
          </cell>
          <cell r="AG154">
            <v>2861128</v>
          </cell>
          <cell r="AI154">
            <v>3477899</v>
          </cell>
        </row>
        <row r="155">
          <cell r="I155">
            <v>4599488</v>
          </cell>
          <cell r="J155">
            <v>4140032</v>
          </cell>
          <cell r="K155">
            <v>4503393</v>
          </cell>
          <cell r="L155">
            <v>4593853</v>
          </cell>
          <cell r="M155">
            <v>4786081</v>
          </cell>
          <cell r="N155">
            <v>5133669</v>
          </cell>
          <cell r="O155">
            <v>4437666</v>
          </cell>
          <cell r="P155">
            <v>4202018</v>
          </cell>
          <cell r="Q155">
            <v>4889609</v>
          </cell>
          <cell r="R155">
            <v>4815673</v>
          </cell>
          <cell r="S155">
            <v>4799127</v>
          </cell>
          <cell r="T155">
            <v>4381121</v>
          </cell>
          <cell r="U155">
            <v>4576532</v>
          </cell>
          <cell r="V155">
            <v>4172676</v>
          </cell>
          <cell r="W155">
            <v>3972596</v>
          </cell>
          <cell r="X155">
            <v>4484718</v>
          </cell>
          <cell r="Y155">
            <v>4862351</v>
          </cell>
          <cell r="Z155">
            <v>4950238</v>
          </cell>
          <cell r="AA155">
            <v>4369450</v>
          </cell>
          <cell r="AB155">
            <v>3936932</v>
          </cell>
          <cell r="AC155">
            <v>4575482</v>
          </cell>
          <cell r="AD155">
            <v>5379019</v>
          </cell>
          <cell r="AE155">
            <v>4775677</v>
          </cell>
          <cell r="AF155">
            <v>4304386</v>
          </cell>
          <cell r="AG155">
            <v>4466536</v>
          </cell>
          <cell r="AI155">
            <v>4140032</v>
          </cell>
        </row>
        <row r="156">
          <cell r="I156">
            <v>6375774</v>
          </cell>
          <cell r="J156">
            <v>5566114</v>
          </cell>
          <cell r="K156">
            <v>6221172</v>
          </cell>
          <cell r="L156">
            <v>5594161</v>
          </cell>
          <cell r="M156">
            <v>5993459</v>
          </cell>
          <cell r="N156">
            <v>6343503</v>
          </cell>
          <cell r="O156">
            <v>5780284</v>
          </cell>
          <cell r="P156">
            <v>5287111</v>
          </cell>
          <cell r="Q156">
            <v>6731077</v>
          </cell>
          <cell r="R156">
            <v>6141458</v>
          </cell>
          <cell r="S156">
            <v>6744235</v>
          </cell>
          <cell r="T156">
            <v>6161718</v>
          </cell>
          <cell r="U156">
            <v>6142484</v>
          </cell>
          <cell r="V156">
            <v>4948916</v>
          </cell>
          <cell r="W156">
            <v>5753325</v>
          </cell>
          <cell r="X156">
            <v>5568332</v>
          </cell>
          <cell r="Y156">
            <v>6019924</v>
          </cell>
          <cell r="Z156">
            <v>6300257</v>
          </cell>
          <cell r="AA156">
            <v>5645309</v>
          </cell>
          <cell r="AB156">
            <v>5270888</v>
          </cell>
          <cell r="AC156">
            <v>5694207</v>
          </cell>
          <cell r="AD156">
            <v>6991542</v>
          </cell>
          <cell r="AE156">
            <v>6683370</v>
          </cell>
          <cell r="AF156">
            <v>5941236</v>
          </cell>
          <cell r="AG156">
            <v>5535598</v>
          </cell>
          <cell r="AI156">
            <v>5566114</v>
          </cell>
        </row>
        <row r="157">
          <cell r="I157">
            <v>2754617</v>
          </cell>
          <cell r="J157">
            <v>2405411</v>
          </cell>
          <cell r="K157">
            <v>2728817</v>
          </cell>
          <cell r="L157">
            <v>2914803</v>
          </cell>
          <cell r="M157">
            <v>3048180</v>
          </cell>
          <cell r="N157">
            <v>3294328</v>
          </cell>
          <cell r="O157">
            <v>2716607</v>
          </cell>
          <cell r="P157">
            <v>2499653</v>
          </cell>
          <cell r="Q157">
            <v>3033797</v>
          </cell>
          <cell r="R157">
            <v>3188732</v>
          </cell>
          <cell r="S157">
            <v>3123032</v>
          </cell>
          <cell r="T157">
            <v>2954939</v>
          </cell>
          <cell r="U157">
            <v>3004960</v>
          </cell>
          <cell r="V157">
            <v>2402747</v>
          </cell>
          <cell r="W157">
            <v>2200435</v>
          </cell>
          <cell r="X157">
            <v>2479181</v>
          </cell>
          <cell r="Y157">
            <v>2791571</v>
          </cell>
          <cell r="Z157">
            <v>2738724</v>
          </cell>
          <cell r="AA157">
            <v>2390641</v>
          </cell>
          <cell r="AB157">
            <v>2016617</v>
          </cell>
          <cell r="AC157">
            <v>2665626</v>
          </cell>
          <cell r="AD157">
            <v>3512448</v>
          </cell>
          <cell r="AE157">
            <v>2777453</v>
          </cell>
          <cell r="AF157">
            <v>2771245</v>
          </cell>
          <cell r="AG157">
            <v>2525742</v>
          </cell>
          <cell r="AI157">
            <v>2405411</v>
          </cell>
        </row>
        <row r="158">
          <cell r="I158">
            <v>2303832</v>
          </cell>
          <cell r="J158">
            <v>2125476</v>
          </cell>
          <cell r="K158">
            <v>2546566</v>
          </cell>
          <cell r="L158">
            <v>2708087</v>
          </cell>
          <cell r="M158">
            <v>2799466</v>
          </cell>
          <cell r="N158">
            <v>2901572</v>
          </cell>
          <cell r="O158">
            <v>2494191</v>
          </cell>
          <cell r="P158">
            <v>1985034</v>
          </cell>
          <cell r="Q158">
            <v>2586258</v>
          </cell>
          <cell r="R158">
            <v>2626704</v>
          </cell>
          <cell r="S158">
            <v>2397839</v>
          </cell>
          <cell r="T158">
            <v>2437263</v>
          </cell>
          <cell r="U158">
            <v>2265992</v>
          </cell>
          <cell r="V158">
            <v>2006286</v>
          </cell>
          <cell r="W158">
            <v>2116638</v>
          </cell>
          <cell r="X158">
            <v>2155006</v>
          </cell>
          <cell r="Y158">
            <v>2429255</v>
          </cell>
          <cell r="Z158">
            <v>2701937</v>
          </cell>
          <cell r="AA158">
            <v>2261763</v>
          </cell>
          <cell r="AB158">
            <v>1990602</v>
          </cell>
          <cell r="AC158">
            <v>2256540</v>
          </cell>
          <cell r="AD158">
            <v>2839061</v>
          </cell>
          <cell r="AE158">
            <v>2412868</v>
          </cell>
          <cell r="AF158">
            <v>2450133</v>
          </cell>
          <cell r="AG158">
            <v>2147657</v>
          </cell>
          <cell r="AI158">
            <v>2125476</v>
          </cell>
        </row>
        <row r="159">
          <cell r="I159">
            <v>3805703</v>
          </cell>
          <cell r="J159">
            <v>3298199</v>
          </cell>
          <cell r="K159">
            <v>3646649</v>
          </cell>
          <cell r="L159">
            <v>3830387</v>
          </cell>
          <cell r="M159">
            <v>3925230</v>
          </cell>
          <cell r="N159">
            <v>4084927</v>
          </cell>
          <cell r="O159">
            <v>3809004</v>
          </cell>
          <cell r="P159">
            <v>3229698</v>
          </cell>
          <cell r="Q159">
            <v>3630554</v>
          </cell>
          <cell r="R159">
            <v>3181912</v>
          </cell>
          <cell r="S159">
            <v>3055075</v>
          </cell>
          <cell r="T159">
            <v>3504830</v>
          </cell>
          <cell r="U159">
            <v>3453457</v>
          </cell>
          <cell r="V159">
            <v>3089366</v>
          </cell>
          <cell r="W159">
            <v>2824178</v>
          </cell>
          <cell r="X159">
            <v>3425504</v>
          </cell>
          <cell r="Y159">
            <v>3838068</v>
          </cell>
          <cell r="Z159">
            <v>3882377</v>
          </cell>
          <cell r="AA159">
            <v>3442865</v>
          </cell>
          <cell r="AB159">
            <v>3179277</v>
          </cell>
          <cell r="AC159">
            <v>3359420</v>
          </cell>
          <cell r="AD159">
            <v>4686144</v>
          </cell>
          <cell r="AE159">
            <v>4114771</v>
          </cell>
          <cell r="AF159">
            <v>3757593</v>
          </cell>
          <cell r="AG159">
            <v>3634411</v>
          </cell>
          <cell r="AI159">
            <v>3298199</v>
          </cell>
        </row>
        <row r="160">
          <cell r="I160">
            <v>3173898</v>
          </cell>
          <cell r="J160">
            <v>3057409</v>
          </cell>
          <cell r="K160">
            <v>3154803</v>
          </cell>
          <cell r="L160">
            <v>3317080</v>
          </cell>
          <cell r="M160">
            <v>3395577</v>
          </cell>
          <cell r="N160">
            <v>3488540</v>
          </cell>
          <cell r="O160">
            <v>2817052</v>
          </cell>
          <cell r="P160">
            <v>2552589</v>
          </cell>
          <cell r="Q160">
            <v>2735781</v>
          </cell>
          <cell r="R160">
            <v>3815560</v>
          </cell>
          <cell r="S160">
            <v>3728761</v>
          </cell>
          <cell r="T160">
            <v>3901151</v>
          </cell>
          <cell r="U160">
            <v>3621403</v>
          </cell>
          <cell r="V160">
            <v>3335202</v>
          </cell>
          <cell r="W160">
            <v>3795759</v>
          </cell>
          <cell r="X160">
            <v>3842504</v>
          </cell>
          <cell r="Y160">
            <v>4386101</v>
          </cell>
          <cell r="Z160">
            <v>4515781</v>
          </cell>
          <cell r="AA160">
            <v>3974700</v>
          </cell>
          <cell r="AB160">
            <v>3256233</v>
          </cell>
          <cell r="AC160">
            <v>3457124</v>
          </cell>
          <cell r="AD160">
            <v>4346956</v>
          </cell>
          <cell r="AE160">
            <v>4247819</v>
          </cell>
          <cell r="AF160">
            <v>3949483</v>
          </cell>
          <cell r="AG160">
            <v>3475579</v>
          </cell>
          <cell r="AI160">
            <v>3057409</v>
          </cell>
        </row>
        <row r="161">
          <cell r="I161">
            <v>3436672</v>
          </cell>
          <cell r="J161">
            <v>3035707</v>
          </cell>
          <cell r="K161">
            <v>3311853</v>
          </cell>
          <cell r="L161">
            <v>3400532</v>
          </cell>
          <cell r="M161">
            <v>3419514</v>
          </cell>
          <cell r="N161">
            <v>3711138</v>
          </cell>
          <cell r="O161">
            <v>3181041</v>
          </cell>
          <cell r="P161">
            <v>3050009</v>
          </cell>
          <cell r="Q161">
            <v>3330454</v>
          </cell>
          <cell r="R161">
            <v>3978241</v>
          </cell>
          <cell r="S161">
            <v>3693278</v>
          </cell>
          <cell r="T161">
            <v>3828953</v>
          </cell>
          <cell r="U161">
            <v>3622887</v>
          </cell>
          <cell r="V161">
            <v>3100225</v>
          </cell>
          <cell r="W161">
            <v>3449670</v>
          </cell>
          <cell r="X161">
            <v>3530753</v>
          </cell>
          <cell r="Y161">
            <v>3933023</v>
          </cell>
          <cell r="Z161">
            <v>4202074</v>
          </cell>
          <cell r="AA161">
            <v>3700042</v>
          </cell>
          <cell r="AB161">
            <v>3109949</v>
          </cell>
          <cell r="AC161">
            <v>3349039</v>
          </cell>
          <cell r="AD161">
            <v>4318258</v>
          </cell>
          <cell r="AE161">
            <v>3758329</v>
          </cell>
          <cell r="AF161">
            <v>3837589</v>
          </cell>
          <cell r="AG161">
            <v>3243912</v>
          </cell>
          <cell r="AI161">
            <v>3035707</v>
          </cell>
        </row>
        <row r="162">
          <cell r="I162">
            <v>5577348</v>
          </cell>
          <cell r="J162">
            <v>5147512</v>
          </cell>
          <cell r="K162">
            <v>5269701</v>
          </cell>
          <cell r="L162">
            <v>5568209</v>
          </cell>
          <cell r="M162">
            <v>5612971</v>
          </cell>
          <cell r="N162">
            <v>6257274</v>
          </cell>
          <cell r="O162">
            <v>5270115</v>
          </cell>
          <cell r="P162">
            <v>5018877</v>
          </cell>
          <cell r="Q162">
            <v>5449481</v>
          </cell>
          <cell r="R162">
            <v>6238507</v>
          </cell>
          <cell r="S162">
            <v>5773875</v>
          </cell>
          <cell r="T162">
            <v>6312939</v>
          </cell>
          <cell r="U162">
            <v>6240474</v>
          </cell>
          <cell r="V162">
            <v>5092792</v>
          </cell>
          <cell r="W162">
            <v>5717618</v>
          </cell>
          <cell r="X162">
            <v>5371796</v>
          </cell>
          <cell r="Y162">
            <v>6045509</v>
          </cell>
          <cell r="Z162">
            <v>6560231</v>
          </cell>
          <cell r="AA162">
            <v>5725443</v>
          </cell>
          <cell r="AB162">
            <v>5052577</v>
          </cell>
          <cell r="AC162">
            <v>5596760</v>
          </cell>
          <cell r="AD162">
            <v>6754011</v>
          </cell>
          <cell r="AE162">
            <v>6377815</v>
          </cell>
          <cell r="AF162">
            <v>6099857</v>
          </cell>
          <cell r="AG162">
            <v>5659072</v>
          </cell>
          <cell r="AI162">
            <v>5147512</v>
          </cell>
        </row>
        <row r="163">
          <cell r="I163">
            <v>3821468</v>
          </cell>
          <cell r="J163">
            <v>3542372</v>
          </cell>
          <cell r="K163">
            <v>3387147</v>
          </cell>
          <cell r="L163">
            <v>3774940</v>
          </cell>
          <cell r="M163">
            <v>4651260</v>
          </cell>
          <cell r="N163">
            <v>4325400</v>
          </cell>
          <cell r="O163">
            <v>3707342</v>
          </cell>
          <cell r="P163">
            <v>3265219</v>
          </cell>
          <cell r="Q163">
            <v>3606983</v>
          </cell>
          <cell r="R163">
            <v>4385268</v>
          </cell>
          <cell r="S163">
            <v>3842605</v>
          </cell>
          <cell r="T163">
            <v>3957443</v>
          </cell>
          <cell r="U163">
            <v>4133222</v>
          </cell>
          <cell r="V163">
            <v>3667326</v>
          </cell>
          <cell r="W163">
            <v>3268302</v>
          </cell>
          <cell r="X163">
            <v>3405340</v>
          </cell>
          <cell r="Y163">
            <v>3758797</v>
          </cell>
          <cell r="Z163">
            <v>3942311</v>
          </cell>
          <cell r="AA163">
            <v>3469583</v>
          </cell>
          <cell r="AB163">
            <v>3127269</v>
          </cell>
          <cell r="AC163">
            <v>3436962</v>
          </cell>
          <cell r="AD163">
            <v>4599987</v>
          </cell>
          <cell r="AE163">
            <v>3963246</v>
          </cell>
          <cell r="AF163">
            <v>3830469</v>
          </cell>
          <cell r="AG163">
            <v>3471072</v>
          </cell>
          <cell r="AI163">
            <v>3542372</v>
          </cell>
        </row>
        <row r="164">
          <cell r="I164">
            <v>3266173</v>
          </cell>
          <cell r="J164">
            <v>3093334</v>
          </cell>
          <cell r="K164">
            <v>2955930</v>
          </cell>
          <cell r="L164">
            <v>3322223</v>
          </cell>
          <cell r="M164">
            <v>3481687</v>
          </cell>
          <cell r="N164">
            <v>3555922</v>
          </cell>
          <cell r="O164">
            <v>3268979</v>
          </cell>
          <cell r="P164">
            <v>2774440</v>
          </cell>
          <cell r="Q164">
            <v>2913579</v>
          </cell>
          <cell r="R164">
            <v>3483363</v>
          </cell>
          <cell r="S164">
            <v>3023275</v>
          </cell>
          <cell r="T164">
            <v>3196196</v>
          </cell>
          <cell r="U164">
            <v>3116832</v>
          </cell>
          <cell r="V164">
            <v>2957768</v>
          </cell>
          <cell r="W164">
            <v>2710575</v>
          </cell>
          <cell r="X164">
            <v>2827521</v>
          </cell>
          <cell r="Y164">
            <v>3199862</v>
          </cell>
          <cell r="Z164">
            <v>3219528</v>
          </cell>
          <cell r="AA164">
            <v>2897294</v>
          </cell>
          <cell r="AB164">
            <v>2731067</v>
          </cell>
          <cell r="AC164">
            <v>2521764</v>
          </cell>
          <cell r="AD164">
            <v>3406149</v>
          </cell>
          <cell r="AE164">
            <v>2659468</v>
          </cell>
          <cell r="AF164">
            <v>2763887</v>
          </cell>
          <cell r="AG164">
            <v>2631986</v>
          </cell>
          <cell r="AI164">
            <v>3093334</v>
          </cell>
        </row>
        <row r="165">
          <cell r="I165">
            <v>5063077</v>
          </cell>
          <cell r="J165">
            <v>4494785</v>
          </cell>
          <cell r="K165">
            <v>4401633</v>
          </cell>
          <cell r="L165">
            <v>4433908</v>
          </cell>
          <cell r="M165">
            <v>4697057</v>
          </cell>
          <cell r="N165">
            <v>4828527</v>
          </cell>
          <cell r="O165">
            <v>4561076</v>
          </cell>
          <cell r="P165">
            <v>4046733</v>
          </cell>
          <cell r="Q165">
            <v>4614576</v>
          </cell>
          <cell r="R165">
            <v>5601918</v>
          </cell>
          <cell r="S165">
            <v>5170684</v>
          </cell>
          <cell r="T165">
            <v>5633749</v>
          </cell>
          <cell r="U165">
            <v>5191428</v>
          </cell>
          <cell r="V165">
            <v>4672244</v>
          </cell>
          <cell r="W165">
            <v>4558449</v>
          </cell>
          <cell r="X165">
            <v>4182855</v>
          </cell>
          <cell r="Y165">
            <v>4610447</v>
          </cell>
          <cell r="Z165">
            <v>4963833</v>
          </cell>
          <cell r="AA165">
            <v>4448526</v>
          </cell>
          <cell r="AB165">
            <v>4313519</v>
          </cell>
          <cell r="AC165">
            <v>4378510</v>
          </cell>
          <cell r="AD165">
            <v>5783628</v>
          </cell>
          <cell r="AE165">
            <v>5588864</v>
          </cell>
          <cell r="AF165">
            <v>5461470</v>
          </cell>
          <cell r="AG165">
            <v>4771134</v>
          </cell>
          <cell r="AI165">
            <v>4494785</v>
          </cell>
        </row>
        <row r="166">
          <cell r="I166">
            <v>3522338</v>
          </cell>
          <cell r="J166">
            <v>3193635</v>
          </cell>
          <cell r="K166">
            <v>3096825</v>
          </cell>
          <cell r="L166">
            <v>3330443</v>
          </cell>
          <cell r="M166">
            <v>3447547</v>
          </cell>
          <cell r="N166">
            <v>3657931</v>
          </cell>
          <cell r="O166">
            <v>3250758</v>
          </cell>
          <cell r="P166">
            <v>3223328</v>
          </cell>
          <cell r="Q166">
            <v>3079054</v>
          </cell>
          <cell r="R166">
            <v>4395603</v>
          </cell>
          <cell r="S166">
            <v>3718688</v>
          </cell>
          <cell r="T166">
            <v>3985058</v>
          </cell>
          <cell r="U166">
            <v>3615117</v>
          </cell>
          <cell r="V166">
            <v>3317029</v>
          </cell>
          <cell r="W166">
            <v>3220370</v>
          </cell>
          <cell r="X166">
            <v>3210392</v>
          </cell>
          <cell r="Y166">
            <v>3586559</v>
          </cell>
          <cell r="Z166">
            <v>3834570</v>
          </cell>
          <cell r="AA166">
            <v>3625723</v>
          </cell>
          <cell r="AB166">
            <v>2958754</v>
          </cell>
          <cell r="AC166">
            <v>3099233</v>
          </cell>
          <cell r="AD166">
            <v>4480661</v>
          </cell>
          <cell r="AE166">
            <v>4046128</v>
          </cell>
          <cell r="AF166">
            <v>4114620</v>
          </cell>
          <cell r="AG166">
            <v>3299080</v>
          </cell>
          <cell r="AI166">
            <v>3193635</v>
          </cell>
        </row>
        <row r="167">
          <cell r="I167">
            <v>3290715</v>
          </cell>
          <cell r="J167">
            <v>3160023</v>
          </cell>
          <cell r="K167">
            <v>3166351</v>
          </cell>
          <cell r="L167">
            <v>3249371</v>
          </cell>
          <cell r="M167">
            <v>3461596</v>
          </cell>
          <cell r="N167">
            <v>3566533</v>
          </cell>
          <cell r="O167">
            <v>3436045</v>
          </cell>
          <cell r="P167">
            <v>3125847</v>
          </cell>
          <cell r="Q167">
            <v>3077601</v>
          </cell>
          <cell r="R167">
            <v>4125505</v>
          </cell>
          <cell r="S167">
            <v>3578087</v>
          </cell>
          <cell r="T167">
            <v>3400961</v>
          </cell>
          <cell r="U167">
            <v>3642181</v>
          </cell>
          <cell r="V167">
            <v>3276212</v>
          </cell>
          <cell r="W167">
            <v>3076578</v>
          </cell>
          <cell r="X167">
            <v>3051202</v>
          </cell>
          <cell r="Y167">
            <v>3401328</v>
          </cell>
          <cell r="Z167">
            <v>3707337</v>
          </cell>
          <cell r="AA167">
            <v>3237295</v>
          </cell>
          <cell r="AB167">
            <v>2910367</v>
          </cell>
          <cell r="AC167">
            <v>2797044</v>
          </cell>
          <cell r="AD167">
            <v>4062071</v>
          </cell>
          <cell r="AE167">
            <v>3506985</v>
          </cell>
          <cell r="AF167">
            <v>3188249</v>
          </cell>
          <cell r="AG167">
            <v>2805058</v>
          </cell>
          <cell r="AI167">
            <v>3160023</v>
          </cell>
        </row>
        <row r="168">
          <cell r="I168">
            <v>5271676</v>
          </cell>
          <cell r="J168">
            <v>4753449</v>
          </cell>
          <cell r="K168">
            <v>4702150</v>
          </cell>
          <cell r="L168">
            <v>4653395</v>
          </cell>
          <cell r="M168">
            <v>4961668</v>
          </cell>
          <cell r="N168">
            <v>5247200</v>
          </cell>
          <cell r="O168">
            <v>4688743</v>
          </cell>
          <cell r="P168">
            <v>4532799</v>
          </cell>
          <cell r="Q168">
            <v>4097078</v>
          </cell>
          <cell r="R168">
            <v>5253088</v>
          </cell>
          <cell r="S168">
            <v>4621543</v>
          </cell>
          <cell r="T168">
            <v>5097550</v>
          </cell>
          <cell r="U168">
            <v>5046922</v>
          </cell>
          <cell r="V168">
            <v>4683621</v>
          </cell>
          <cell r="W168">
            <v>4080780</v>
          </cell>
          <cell r="X168">
            <v>3846126</v>
          </cell>
          <cell r="Y168">
            <v>4099920</v>
          </cell>
          <cell r="Z168">
            <v>4486276</v>
          </cell>
          <cell r="AA168">
            <v>3973272</v>
          </cell>
          <cell r="AB168">
            <v>3525962</v>
          </cell>
          <cell r="AC168">
            <v>3668381</v>
          </cell>
          <cell r="AD168">
            <v>4743111</v>
          </cell>
          <cell r="AE168">
            <v>4237984</v>
          </cell>
          <cell r="AF168">
            <v>4128391</v>
          </cell>
          <cell r="AG168">
            <v>3642299</v>
          </cell>
          <cell r="AI168">
            <v>4753449</v>
          </cell>
        </row>
        <row r="169">
          <cell r="I169">
            <v>4754448</v>
          </cell>
          <cell r="J169">
            <v>4133156</v>
          </cell>
          <cell r="K169">
            <v>3955288</v>
          </cell>
          <cell r="L169">
            <v>4519150</v>
          </cell>
          <cell r="M169">
            <v>4706922</v>
          </cell>
          <cell r="N169">
            <v>5502880</v>
          </cell>
          <cell r="O169">
            <v>4584406</v>
          </cell>
          <cell r="P169">
            <v>3878477</v>
          </cell>
          <cell r="Q169">
            <v>4067383</v>
          </cell>
          <cell r="R169">
            <v>5125802</v>
          </cell>
          <cell r="S169">
            <v>4543236</v>
          </cell>
          <cell r="T169">
            <v>5022151</v>
          </cell>
          <cell r="U169">
            <v>4699041</v>
          </cell>
          <cell r="V169">
            <v>4672990</v>
          </cell>
          <cell r="W169">
            <v>4382532</v>
          </cell>
          <cell r="X169">
            <v>4217531</v>
          </cell>
          <cell r="Y169">
            <v>5187305</v>
          </cell>
          <cell r="Z169">
            <v>5677864</v>
          </cell>
          <cell r="AA169">
            <v>5217212</v>
          </cell>
          <cell r="AB169">
            <v>4072774</v>
          </cell>
          <cell r="AC169">
            <v>4100542</v>
          </cell>
          <cell r="AD169">
            <v>5182214</v>
          </cell>
          <cell r="AE169">
            <v>5168809</v>
          </cell>
          <cell r="AF169">
            <v>4878621</v>
          </cell>
          <cell r="AG169">
            <v>8003427</v>
          </cell>
          <cell r="AI169">
            <v>4133156</v>
          </cell>
        </row>
        <row r="170">
          <cell r="I170">
            <v>41361980</v>
          </cell>
          <cell r="J170">
            <v>30292659</v>
          </cell>
          <cell r="K170">
            <v>35196499</v>
          </cell>
          <cell r="L170">
            <v>29664705</v>
          </cell>
          <cell r="M170">
            <v>29192265</v>
          </cell>
          <cell r="N170">
            <v>32959276</v>
          </cell>
          <cell r="O170">
            <v>33143555</v>
          </cell>
          <cell r="P170">
            <v>32076377</v>
          </cell>
          <cell r="Q170">
            <v>36364397</v>
          </cell>
          <cell r="R170">
            <v>45714784</v>
          </cell>
          <cell r="S170">
            <v>37069394</v>
          </cell>
          <cell r="T170">
            <v>41657987</v>
          </cell>
          <cell r="U170">
            <v>39039149</v>
          </cell>
          <cell r="V170">
            <v>37546294</v>
          </cell>
          <cell r="W170">
            <v>33425631</v>
          </cell>
          <cell r="X170">
            <v>28095616</v>
          </cell>
          <cell r="Y170">
            <v>31183619</v>
          </cell>
          <cell r="Z170">
            <v>28692527</v>
          </cell>
          <cell r="AA170">
            <v>31100367</v>
          </cell>
          <cell r="AB170">
            <v>31303352</v>
          </cell>
          <cell r="AC170">
            <v>30408575</v>
          </cell>
          <cell r="AD170">
            <v>41202647</v>
          </cell>
          <cell r="AE170">
            <v>42739934</v>
          </cell>
          <cell r="AF170">
            <v>40093150</v>
          </cell>
          <cell r="AG170">
            <v>32463017</v>
          </cell>
          <cell r="AI170">
            <v>30292659</v>
          </cell>
        </row>
        <row r="171">
          <cell r="I171">
            <v>6941560</v>
          </cell>
          <cell r="J171">
            <v>5202480</v>
          </cell>
          <cell r="K171">
            <v>6261436</v>
          </cell>
          <cell r="L171">
            <v>5401399</v>
          </cell>
          <cell r="M171">
            <v>5353712</v>
          </cell>
          <cell r="N171">
            <v>5780401</v>
          </cell>
          <cell r="O171">
            <v>6034681</v>
          </cell>
          <cell r="P171">
            <v>5139312</v>
          </cell>
          <cell r="Q171">
            <v>7652250</v>
          </cell>
          <cell r="R171">
            <v>8369493</v>
          </cell>
          <cell r="S171">
            <v>7851041</v>
          </cell>
          <cell r="T171">
            <v>8368776</v>
          </cell>
          <cell r="U171">
            <v>7593514</v>
          </cell>
          <cell r="V171">
            <v>6087617</v>
          </cell>
          <cell r="W171">
            <v>6861480</v>
          </cell>
          <cell r="X171">
            <v>5743787</v>
          </cell>
          <cell r="Y171">
            <v>8802078</v>
          </cell>
          <cell r="Z171">
            <v>4144446</v>
          </cell>
          <cell r="AA171">
            <v>9299320</v>
          </cell>
          <cell r="AB171">
            <v>3798433</v>
          </cell>
          <cell r="AC171">
            <v>6601875</v>
          </cell>
          <cell r="AD171">
            <v>8007893</v>
          </cell>
          <cell r="AE171">
            <v>8352978</v>
          </cell>
          <cell r="AF171">
            <v>7015951</v>
          </cell>
          <cell r="AG171">
            <v>2726821</v>
          </cell>
          <cell r="AI171">
            <v>5202480</v>
          </cell>
        </row>
        <row r="172">
          <cell r="I172">
            <v>3428216</v>
          </cell>
          <cell r="J172">
            <v>3833243</v>
          </cell>
          <cell r="K172">
            <v>3703962</v>
          </cell>
          <cell r="L172">
            <v>4567616</v>
          </cell>
          <cell r="M172">
            <v>4141355</v>
          </cell>
          <cell r="N172">
            <v>4085233</v>
          </cell>
          <cell r="O172">
            <v>4208469</v>
          </cell>
          <cell r="P172">
            <v>4025090</v>
          </cell>
          <cell r="Q172">
            <v>4140702</v>
          </cell>
          <cell r="R172">
            <v>5081699</v>
          </cell>
          <cell r="S172">
            <v>4726003</v>
          </cell>
          <cell r="T172">
            <v>4722485</v>
          </cell>
          <cell r="U172">
            <v>4853853</v>
          </cell>
          <cell r="V172">
            <v>4523706</v>
          </cell>
          <cell r="W172">
            <v>4050039</v>
          </cell>
          <cell r="X172">
            <v>4109754</v>
          </cell>
          <cell r="Y172">
            <v>4236746</v>
          </cell>
          <cell r="Z172">
            <v>4600611</v>
          </cell>
          <cell r="AA172">
            <v>4794565</v>
          </cell>
          <cell r="AB172">
            <v>3651770</v>
          </cell>
          <cell r="AC172">
            <v>3859897</v>
          </cell>
          <cell r="AD172">
            <v>5024160</v>
          </cell>
          <cell r="AE172">
            <v>4434931</v>
          </cell>
          <cell r="AF172">
            <v>4534183</v>
          </cell>
          <cell r="AG172">
            <v>4215402</v>
          </cell>
          <cell r="AI172">
            <v>3833243</v>
          </cell>
        </row>
        <row r="173">
          <cell r="I173">
            <v>6385731</v>
          </cell>
          <cell r="J173">
            <v>5002697</v>
          </cell>
          <cell r="K173">
            <v>4634781</v>
          </cell>
          <cell r="L173">
            <v>5852843</v>
          </cell>
          <cell r="M173">
            <v>6002366</v>
          </cell>
          <cell r="N173">
            <v>5745454</v>
          </cell>
          <cell r="O173">
            <v>6423650</v>
          </cell>
          <cell r="P173">
            <v>4487063</v>
          </cell>
          <cell r="Q173">
            <v>4829527</v>
          </cell>
          <cell r="R173">
            <v>5308095</v>
          </cell>
          <cell r="S173">
            <v>5470540</v>
          </cell>
          <cell r="T173">
            <v>5784064</v>
          </cell>
          <cell r="U173">
            <v>5343752</v>
          </cell>
          <cell r="V173">
            <v>5116153</v>
          </cell>
          <cell r="W173">
            <v>4546773</v>
          </cell>
          <cell r="X173">
            <v>5011009</v>
          </cell>
          <cell r="Y173">
            <v>5422408</v>
          </cell>
          <cell r="Z173">
            <v>5899229</v>
          </cell>
          <cell r="AA173">
            <v>5717910</v>
          </cell>
          <cell r="AB173">
            <v>4489213</v>
          </cell>
          <cell r="AC173">
            <v>4206505</v>
          </cell>
          <cell r="AD173">
            <v>5668018</v>
          </cell>
          <cell r="AE173">
            <v>5650767</v>
          </cell>
          <cell r="AF173">
            <v>5676664</v>
          </cell>
          <cell r="AG173">
            <v>5343399</v>
          </cell>
          <cell r="AI173">
            <v>5002697</v>
          </cell>
        </row>
        <row r="175">
          <cell r="I175">
            <v>196377</v>
          </cell>
          <cell r="J175">
            <v>202622</v>
          </cell>
          <cell r="K175">
            <v>210090</v>
          </cell>
          <cell r="L175">
            <v>221678</v>
          </cell>
          <cell r="M175">
            <v>232669</v>
          </cell>
          <cell r="N175">
            <v>215159</v>
          </cell>
          <cell r="O175">
            <v>205993</v>
          </cell>
          <cell r="P175">
            <v>190603</v>
          </cell>
          <cell r="Q175">
            <v>206278</v>
          </cell>
          <cell r="R175">
            <v>211422</v>
          </cell>
          <cell r="S175">
            <v>202187</v>
          </cell>
          <cell r="T175">
            <v>204215</v>
          </cell>
          <cell r="U175">
            <v>199173</v>
          </cell>
          <cell r="V175">
            <v>193607</v>
          </cell>
          <cell r="W175">
            <v>192666</v>
          </cell>
          <cell r="X175">
            <v>209642</v>
          </cell>
          <cell r="Y175">
            <v>212304</v>
          </cell>
          <cell r="Z175">
            <v>234594</v>
          </cell>
          <cell r="AA175">
            <v>186176</v>
          </cell>
          <cell r="AB175">
            <v>179723</v>
          </cell>
          <cell r="AC175">
            <v>199047</v>
          </cell>
          <cell r="AD175">
            <v>197044</v>
          </cell>
          <cell r="AE175">
            <v>199324</v>
          </cell>
          <cell r="AF175">
            <v>186836</v>
          </cell>
          <cell r="AG175">
            <v>204048</v>
          </cell>
          <cell r="AI175">
            <v>202622</v>
          </cell>
        </row>
        <row r="176">
          <cell r="I176">
            <v>557885</v>
          </cell>
          <cell r="J176">
            <v>572367</v>
          </cell>
          <cell r="K176">
            <v>640463</v>
          </cell>
          <cell r="L176">
            <v>666808</v>
          </cell>
          <cell r="M176">
            <v>697514</v>
          </cell>
          <cell r="N176">
            <v>806248</v>
          </cell>
          <cell r="O176">
            <v>627722</v>
          </cell>
          <cell r="P176">
            <v>529068</v>
          </cell>
          <cell r="Q176">
            <v>495835</v>
          </cell>
          <cell r="R176">
            <v>501645</v>
          </cell>
          <cell r="S176">
            <v>563356</v>
          </cell>
          <cell r="T176">
            <v>516824</v>
          </cell>
          <cell r="U176">
            <v>551042</v>
          </cell>
          <cell r="V176">
            <v>609039</v>
          </cell>
          <cell r="W176">
            <v>568408</v>
          </cell>
          <cell r="X176">
            <v>626321</v>
          </cell>
          <cell r="Y176">
            <v>716643</v>
          </cell>
          <cell r="Z176">
            <v>757841</v>
          </cell>
          <cell r="AA176">
            <v>606805</v>
          </cell>
          <cell r="AB176">
            <v>486820</v>
          </cell>
          <cell r="AC176">
            <v>528339</v>
          </cell>
          <cell r="AD176">
            <v>494683</v>
          </cell>
          <cell r="AE176">
            <v>497949</v>
          </cell>
          <cell r="AF176">
            <v>516452</v>
          </cell>
          <cell r="AG176">
            <v>591750</v>
          </cell>
          <cell r="AI176">
            <v>572367</v>
          </cell>
        </row>
        <row r="177">
          <cell r="I177">
            <v>309405</v>
          </cell>
          <cell r="J177">
            <v>318972</v>
          </cell>
          <cell r="K177">
            <v>360377</v>
          </cell>
          <cell r="L177">
            <v>345103</v>
          </cell>
          <cell r="M177">
            <v>355602</v>
          </cell>
          <cell r="N177">
            <v>397876</v>
          </cell>
          <cell r="O177">
            <v>315962</v>
          </cell>
          <cell r="P177">
            <v>307907</v>
          </cell>
          <cell r="Q177">
            <v>337862</v>
          </cell>
          <cell r="R177">
            <v>314015</v>
          </cell>
          <cell r="S177">
            <v>334448</v>
          </cell>
          <cell r="T177">
            <v>323247</v>
          </cell>
          <cell r="U177">
            <v>323287</v>
          </cell>
          <cell r="V177">
            <v>317092</v>
          </cell>
          <cell r="W177">
            <v>435841</v>
          </cell>
          <cell r="X177">
            <v>434986</v>
          </cell>
          <cell r="Y177">
            <v>462582</v>
          </cell>
          <cell r="Z177">
            <v>507143</v>
          </cell>
          <cell r="AA177">
            <v>464696</v>
          </cell>
          <cell r="AB177">
            <v>383249</v>
          </cell>
          <cell r="AC177">
            <v>353830</v>
          </cell>
          <cell r="AD177">
            <v>462387</v>
          </cell>
          <cell r="AE177">
            <v>423182</v>
          </cell>
          <cell r="AF177">
            <v>451089</v>
          </cell>
          <cell r="AG177">
            <v>412193</v>
          </cell>
          <cell r="AI177">
            <v>318972</v>
          </cell>
        </row>
        <row r="178">
          <cell r="I178">
            <v>340168</v>
          </cell>
          <cell r="J178">
            <v>314355</v>
          </cell>
          <cell r="K178">
            <v>375761</v>
          </cell>
          <cell r="L178">
            <v>348304</v>
          </cell>
          <cell r="M178">
            <v>374091</v>
          </cell>
          <cell r="N178">
            <v>424373</v>
          </cell>
          <cell r="O178">
            <v>354567</v>
          </cell>
          <cell r="P178">
            <v>348025</v>
          </cell>
          <cell r="Q178">
            <v>350483</v>
          </cell>
          <cell r="R178">
            <v>351650</v>
          </cell>
          <cell r="S178">
            <v>383168</v>
          </cell>
          <cell r="T178">
            <v>355147</v>
          </cell>
          <cell r="U178">
            <v>347694</v>
          </cell>
          <cell r="V178">
            <v>369513</v>
          </cell>
          <cell r="W178">
            <v>389224</v>
          </cell>
          <cell r="X178">
            <v>407548</v>
          </cell>
          <cell r="Y178">
            <v>422572</v>
          </cell>
          <cell r="Z178">
            <v>454864</v>
          </cell>
          <cell r="AA178">
            <v>361685</v>
          </cell>
          <cell r="AB178">
            <v>370889</v>
          </cell>
          <cell r="AC178">
            <v>401358</v>
          </cell>
          <cell r="AD178">
            <v>375186</v>
          </cell>
          <cell r="AE178">
            <v>363379</v>
          </cell>
          <cell r="AF178">
            <v>399645</v>
          </cell>
          <cell r="AG178">
            <v>345613</v>
          </cell>
          <cell r="AI178">
            <v>314355</v>
          </cell>
        </row>
        <row r="179">
          <cell r="I179">
            <v>146720</v>
          </cell>
          <cell r="J179">
            <v>122599</v>
          </cell>
          <cell r="K179">
            <v>124435</v>
          </cell>
          <cell r="L179">
            <v>138412</v>
          </cell>
          <cell r="M179">
            <v>132564</v>
          </cell>
          <cell r="N179">
            <v>163159</v>
          </cell>
          <cell r="O179">
            <v>140374</v>
          </cell>
          <cell r="P179">
            <v>113270</v>
          </cell>
          <cell r="Q179">
            <v>140086</v>
          </cell>
          <cell r="R179">
            <v>127999</v>
          </cell>
          <cell r="S179">
            <v>130789</v>
          </cell>
          <cell r="T179">
            <v>133814</v>
          </cell>
          <cell r="U179">
            <v>139661</v>
          </cell>
          <cell r="V179">
            <v>134523</v>
          </cell>
          <cell r="W179">
            <v>141616</v>
          </cell>
          <cell r="X179">
            <v>134662</v>
          </cell>
          <cell r="Y179">
            <v>136909</v>
          </cell>
          <cell r="Z179">
            <v>165059</v>
          </cell>
          <cell r="AA179">
            <v>125435</v>
          </cell>
          <cell r="AB179">
            <v>119930</v>
          </cell>
          <cell r="AC179">
            <v>124206</v>
          </cell>
          <cell r="AD179">
            <v>141003</v>
          </cell>
          <cell r="AE179">
            <v>126399</v>
          </cell>
          <cell r="AF179">
            <v>131856</v>
          </cell>
          <cell r="AG179">
            <v>134816</v>
          </cell>
          <cell r="AI179">
            <v>122599</v>
          </cell>
        </row>
        <row r="180">
          <cell r="I180">
            <v>130294</v>
          </cell>
          <cell r="J180">
            <v>114725</v>
          </cell>
          <cell r="K180">
            <v>137817</v>
          </cell>
          <cell r="L180">
            <v>111087</v>
          </cell>
          <cell r="M180">
            <v>120615</v>
          </cell>
          <cell r="N180">
            <v>133824</v>
          </cell>
          <cell r="O180">
            <v>123603</v>
          </cell>
          <cell r="P180">
            <v>109683</v>
          </cell>
          <cell r="Q180">
            <v>113146</v>
          </cell>
          <cell r="R180">
            <v>116282</v>
          </cell>
          <cell r="S180">
            <v>119989</v>
          </cell>
          <cell r="T180">
            <v>118363</v>
          </cell>
          <cell r="U180">
            <v>109609</v>
          </cell>
          <cell r="V180">
            <v>111964</v>
          </cell>
          <cell r="W180">
            <v>99422</v>
          </cell>
          <cell r="X180">
            <v>114452</v>
          </cell>
          <cell r="Y180">
            <v>107802</v>
          </cell>
          <cell r="Z180">
            <v>124547</v>
          </cell>
          <cell r="AA180">
            <v>95224</v>
          </cell>
          <cell r="AB180">
            <v>96559</v>
          </cell>
          <cell r="AC180">
            <v>83987</v>
          </cell>
          <cell r="AD180">
            <v>88555</v>
          </cell>
          <cell r="AE180">
            <v>107282</v>
          </cell>
          <cell r="AF180">
            <v>89182</v>
          </cell>
          <cell r="AG180">
            <v>107997</v>
          </cell>
          <cell r="AI180">
            <v>114725</v>
          </cell>
        </row>
        <row r="181">
          <cell r="I181">
            <v>661605</v>
          </cell>
          <cell r="J181">
            <v>559829</v>
          </cell>
          <cell r="K181">
            <v>598647</v>
          </cell>
          <cell r="L181">
            <v>595369</v>
          </cell>
          <cell r="M181">
            <v>638022</v>
          </cell>
          <cell r="N181">
            <v>481254</v>
          </cell>
          <cell r="O181">
            <v>244414</v>
          </cell>
          <cell r="P181">
            <v>208983</v>
          </cell>
          <cell r="Q181">
            <v>217819</v>
          </cell>
          <cell r="R181">
            <v>261689</v>
          </cell>
          <cell r="S181">
            <v>236536</v>
          </cell>
          <cell r="T181">
            <v>243219</v>
          </cell>
          <cell r="U181">
            <v>244300</v>
          </cell>
          <cell r="V181">
            <v>226442</v>
          </cell>
          <cell r="W181">
            <v>243916</v>
          </cell>
          <cell r="X181">
            <v>245876</v>
          </cell>
          <cell r="Y181">
            <v>289714</v>
          </cell>
          <cell r="Z181">
            <v>298247</v>
          </cell>
          <cell r="AA181">
            <v>238779</v>
          </cell>
          <cell r="AB181">
            <v>221845</v>
          </cell>
          <cell r="AC181">
            <v>218239</v>
          </cell>
          <cell r="AD181">
            <v>255347</v>
          </cell>
          <cell r="AE181">
            <v>221816</v>
          </cell>
          <cell r="AF181">
            <v>244457</v>
          </cell>
          <cell r="AG181">
            <v>230003</v>
          </cell>
          <cell r="AI181">
            <v>559829</v>
          </cell>
        </row>
        <row r="182">
          <cell r="I182">
            <v>135397</v>
          </cell>
          <cell r="J182">
            <v>125684</v>
          </cell>
          <cell r="K182">
            <v>150483</v>
          </cell>
          <cell r="L182">
            <v>142787</v>
          </cell>
          <cell r="M182">
            <v>143240</v>
          </cell>
          <cell r="N182">
            <v>166182</v>
          </cell>
          <cell r="O182">
            <v>143312</v>
          </cell>
          <cell r="P182">
            <v>113795</v>
          </cell>
          <cell r="Q182">
            <v>170775</v>
          </cell>
          <cell r="R182">
            <v>148263</v>
          </cell>
          <cell r="S182">
            <v>137440</v>
          </cell>
          <cell r="T182">
            <v>149965</v>
          </cell>
          <cell r="U182">
            <v>136436</v>
          </cell>
          <cell r="V182">
            <v>150110</v>
          </cell>
          <cell r="W182">
            <v>155178</v>
          </cell>
          <cell r="X182">
            <v>153782</v>
          </cell>
          <cell r="Y182">
            <v>159372</v>
          </cell>
          <cell r="Z182">
            <v>189644</v>
          </cell>
          <cell r="AA182">
            <v>157472</v>
          </cell>
          <cell r="AB182">
            <v>146282</v>
          </cell>
          <cell r="AC182">
            <v>153173</v>
          </cell>
          <cell r="AD182">
            <v>42850</v>
          </cell>
          <cell r="AE182">
            <v>35084</v>
          </cell>
          <cell r="AF182">
            <v>41922</v>
          </cell>
          <cell r="AG182">
            <v>37594</v>
          </cell>
          <cell r="AI182">
            <v>125684</v>
          </cell>
        </row>
        <row r="183">
          <cell r="I183">
            <v>250121</v>
          </cell>
          <cell r="J183">
            <v>219247</v>
          </cell>
          <cell r="K183">
            <v>233107</v>
          </cell>
          <cell r="L183">
            <v>241469</v>
          </cell>
          <cell r="M183">
            <v>251838</v>
          </cell>
          <cell r="N183">
            <v>286856</v>
          </cell>
          <cell r="O183">
            <v>235662</v>
          </cell>
          <cell r="P183">
            <v>201354</v>
          </cell>
          <cell r="Q183">
            <v>224794</v>
          </cell>
          <cell r="R183">
            <v>234102</v>
          </cell>
          <cell r="S183">
            <v>223826</v>
          </cell>
          <cell r="T183">
            <v>271615</v>
          </cell>
          <cell r="U183">
            <v>238713</v>
          </cell>
          <cell r="V183">
            <v>227802</v>
          </cell>
          <cell r="W183">
            <v>295451</v>
          </cell>
          <cell r="X183">
            <v>284352</v>
          </cell>
          <cell r="Y183">
            <v>328096</v>
          </cell>
          <cell r="Z183">
            <v>353719</v>
          </cell>
          <cell r="AA183">
            <v>286234</v>
          </cell>
          <cell r="AB183">
            <v>466649</v>
          </cell>
          <cell r="AC183">
            <v>239475</v>
          </cell>
          <cell r="AD183">
            <v>645310</v>
          </cell>
          <cell r="AE183">
            <v>471844</v>
          </cell>
          <cell r="AF183">
            <v>720543</v>
          </cell>
          <cell r="AG183">
            <v>377437</v>
          </cell>
          <cell r="AI183">
            <v>219247</v>
          </cell>
        </row>
        <row r="184">
          <cell r="I184">
            <v>245625</v>
          </cell>
          <cell r="J184">
            <v>249462</v>
          </cell>
          <cell r="K184">
            <v>262176</v>
          </cell>
          <cell r="L184">
            <v>408713</v>
          </cell>
          <cell r="M184">
            <v>318053</v>
          </cell>
          <cell r="N184">
            <v>417283</v>
          </cell>
          <cell r="O184">
            <v>405198</v>
          </cell>
          <cell r="P184">
            <v>313707</v>
          </cell>
          <cell r="Q184">
            <v>593455</v>
          </cell>
          <cell r="R184">
            <v>334504</v>
          </cell>
          <cell r="S184">
            <v>611781</v>
          </cell>
          <cell r="T184">
            <v>536080</v>
          </cell>
          <cell r="U184">
            <v>390125</v>
          </cell>
          <cell r="V184">
            <v>340421</v>
          </cell>
          <cell r="W184">
            <v>198934</v>
          </cell>
          <cell r="X184">
            <v>203253</v>
          </cell>
          <cell r="Y184">
            <v>259960</v>
          </cell>
          <cell r="Z184">
            <v>249843</v>
          </cell>
          <cell r="AA184">
            <v>216971</v>
          </cell>
          <cell r="AB184">
            <v>149797</v>
          </cell>
          <cell r="AC184">
            <v>195415</v>
          </cell>
          <cell r="AD184">
            <v>191580</v>
          </cell>
          <cell r="AE184">
            <v>148138</v>
          </cell>
          <cell r="AF184">
            <v>161222</v>
          </cell>
          <cell r="AG184">
            <v>188381</v>
          </cell>
          <cell r="AI184">
            <v>249462</v>
          </cell>
        </row>
        <row r="185">
          <cell r="I185">
            <v>510842</v>
          </cell>
          <cell r="J185">
            <v>463113</v>
          </cell>
          <cell r="K185">
            <v>475246</v>
          </cell>
          <cell r="L185">
            <v>493071</v>
          </cell>
          <cell r="M185">
            <v>488713</v>
          </cell>
          <cell r="N185">
            <v>571766</v>
          </cell>
          <cell r="O185">
            <v>507418</v>
          </cell>
          <cell r="P185">
            <v>429739</v>
          </cell>
          <cell r="Q185">
            <v>459733</v>
          </cell>
          <cell r="R185">
            <v>492130</v>
          </cell>
          <cell r="S185">
            <v>476720</v>
          </cell>
          <cell r="T185">
            <v>522458</v>
          </cell>
          <cell r="U185">
            <v>492040</v>
          </cell>
          <cell r="V185">
            <v>469382</v>
          </cell>
          <cell r="W185">
            <v>524536</v>
          </cell>
          <cell r="X185">
            <v>469002</v>
          </cell>
          <cell r="Y185">
            <v>544693</v>
          </cell>
          <cell r="Z185">
            <v>571540</v>
          </cell>
          <cell r="AA185">
            <v>506535</v>
          </cell>
          <cell r="AB185">
            <v>440672</v>
          </cell>
          <cell r="AC185">
            <v>457528</v>
          </cell>
          <cell r="AD185">
            <v>511130</v>
          </cell>
          <cell r="AE185">
            <v>470819</v>
          </cell>
          <cell r="AF185">
            <v>522147</v>
          </cell>
          <cell r="AG185">
            <v>474099</v>
          </cell>
          <cell r="AI185">
            <v>463113</v>
          </cell>
        </row>
        <row r="186">
          <cell r="I186">
            <v>83193</v>
          </cell>
          <cell r="J186">
            <v>53923</v>
          </cell>
          <cell r="K186">
            <v>58028</v>
          </cell>
          <cell r="L186">
            <v>53762</v>
          </cell>
          <cell r="M186">
            <v>59052</v>
          </cell>
          <cell r="N186">
            <v>69130</v>
          </cell>
          <cell r="O186">
            <v>59084</v>
          </cell>
          <cell r="P186">
            <v>39418</v>
          </cell>
          <cell r="Q186">
            <v>40873</v>
          </cell>
          <cell r="R186">
            <v>42485</v>
          </cell>
          <cell r="S186">
            <v>43643</v>
          </cell>
          <cell r="T186">
            <v>51684</v>
          </cell>
          <cell r="U186">
            <v>48365</v>
          </cell>
          <cell r="V186">
            <v>50241</v>
          </cell>
          <cell r="W186">
            <v>50731</v>
          </cell>
          <cell r="X186">
            <v>49089</v>
          </cell>
          <cell r="Y186">
            <v>59923</v>
          </cell>
          <cell r="Z186">
            <v>56902</v>
          </cell>
          <cell r="AA186">
            <v>39829</v>
          </cell>
          <cell r="AB186">
            <v>34641</v>
          </cell>
          <cell r="AC186">
            <v>33087</v>
          </cell>
          <cell r="AD186">
            <v>38242</v>
          </cell>
          <cell r="AE186">
            <v>33786</v>
          </cell>
          <cell r="AF186">
            <v>39476</v>
          </cell>
          <cell r="AG186">
            <v>36756</v>
          </cell>
          <cell r="AI186">
            <v>53923</v>
          </cell>
        </row>
        <row r="187">
          <cell r="I187">
            <v>184191</v>
          </cell>
          <cell r="J187">
            <v>154690</v>
          </cell>
          <cell r="K187">
            <v>182307</v>
          </cell>
          <cell r="L187">
            <v>179458</v>
          </cell>
          <cell r="M187">
            <v>185640</v>
          </cell>
          <cell r="N187">
            <v>217412</v>
          </cell>
          <cell r="O187">
            <v>179457</v>
          </cell>
          <cell r="P187">
            <v>151673</v>
          </cell>
          <cell r="Q187">
            <v>162784</v>
          </cell>
          <cell r="R187">
            <v>166606</v>
          </cell>
          <cell r="S187">
            <v>154883</v>
          </cell>
          <cell r="T187">
            <v>177869</v>
          </cell>
          <cell r="U187">
            <v>175613</v>
          </cell>
          <cell r="V187">
            <v>175219</v>
          </cell>
          <cell r="W187">
            <v>168517</v>
          </cell>
          <cell r="X187">
            <v>164686</v>
          </cell>
          <cell r="Y187">
            <v>180729</v>
          </cell>
          <cell r="Z187">
            <v>202367</v>
          </cell>
          <cell r="AA187">
            <v>161935</v>
          </cell>
          <cell r="AB187">
            <v>140352</v>
          </cell>
          <cell r="AC187">
            <v>136551</v>
          </cell>
          <cell r="AD187">
            <v>137768</v>
          </cell>
          <cell r="AE187">
            <v>132535</v>
          </cell>
          <cell r="AF187">
            <v>142429</v>
          </cell>
          <cell r="AG187">
            <v>157363</v>
          </cell>
          <cell r="AI187">
            <v>154690</v>
          </cell>
        </row>
        <row r="188">
          <cell r="I188">
            <v>520945</v>
          </cell>
          <cell r="J188">
            <v>521096</v>
          </cell>
          <cell r="K188">
            <v>576500</v>
          </cell>
          <cell r="L188">
            <v>573442</v>
          </cell>
          <cell r="M188">
            <v>598878</v>
          </cell>
          <cell r="N188">
            <v>644492</v>
          </cell>
          <cell r="O188">
            <v>601424</v>
          </cell>
          <cell r="P188">
            <v>488536</v>
          </cell>
          <cell r="Q188">
            <v>474982</v>
          </cell>
          <cell r="R188">
            <v>446500</v>
          </cell>
          <cell r="S188">
            <v>515879</v>
          </cell>
          <cell r="T188">
            <v>524080</v>
          </cell>
          <cell r="U188">
            <v>465865</v>
          </cell>
          <cell r="V188">
            <v>509138</v>
          </cell>
          <cell r="W188">
            <v>527623</v>
          </cell>
          <cell r="X188">
            <v>531072</v>
          </cell>
          <cell r="Y188">
            <v>535318</v>
          </cell>
          <cell r="Z188">
            <v>591952</v>
          </cell>
          <cell r="AA188">
            <v>536078</v>
          </cell>
          <cell r="AB188">
            <v>423521</v>
          </cell>
          <cell r="AC188">
            <v>422593</v>
          </cell>
          <cell r="AD188">
            <v>504064</v>
          </cell>
          <cell r="AE188">
            <v>435668</v>
          </cell>
          <cell r="AF188">
            <v>504975</v>
          </cell>
          <cell r="AG188">
            <v>448440</v>
          </cell>
          <cell r="AI188">
            <v>521096</v>
          </cell>
        </row>
        <row r="189">
          <cell r="I189">
            <v>507026</v>
          </cell>
          <cell r="J189">
            <v>572125</v>
          </cell>
          <cell r="K189">
            <v>370657</v>
          </cell>
          <cell r="L189">
            <v>158100</v>
          </cell>
          <cell r="M189">
            <v>164911</v>
          </cell>
          <cell r="N189">
            <v>239667</v>
          </cell>
          <cell r="O189">
            <v>457411</v>
          </cell>
          <cell r="P189">
            <v>601624</v>
          </cell>
          <cell r="Q189">
            <v>546264</v>
          </cell>
          <cell r="R189">
            <v>612913</v>
          </cell>
          <cell r="S189">
            <v>535315</v>
          </cell>
          <cell r="T189">
            <v>556592</v>
          </cell>
          <cell r="U189">
            <v>623346</v>
          </cell>
          <cell r="V189">
            <v>554594</v>
          </cell>
          <cell r="W189">
            <v>721666</v>
          </cell>
          <cell r="X189">
            <v>455698</v>
          </cell>
          <cell r="Y189">
            <v>245024</v>
          </cell>
          <cell r="Z189">
            <v>451199</v>
          </cell>
          <cell r="AA189">
            <v>688939</v>
          </cell>
          <cell r="AB189">
            <v>589123</v>
          </cell>
          <cell r="AC189">
            <v>604240</v>
          </cell>
          <cell r="AD189">
            <v>660295</v>
          </cell>
          <cell r="AE189">
            <v>634088</v>
          </cell>
          <cell r="AF189">
            <v>603568</v>
          </cell>
          <cell r="AG189">
            <v>706323</v>
          </cell>
          <cell r="AI189">
            <v>572125</v>
          </cell>
        </row>
        <row r="190">
          <cell r="I190">
            <v>130509</v>
          </cell>
          <cell r="J190">
            <v>116922</v>
          </cell>
          <cell r="K190">
            <v>115208</v>
          </cell>
          <cell r="L190">
            <v>117515</v>
          </cell>
          <cell r="M190">
            <v>130442</v>
          </cell>
          <cell r="N190">
            <v>149210</v>
          </cell>
          <cell r="O190">
            <v>128193</v>
          </cell>
          <cell r="P190">
            <v>55489</v>
          </cell>
          <cell r="Q190">
            <v>70466</v>
          </cell>
          <cell r="R190">
            <v>72590</v>
          </cell>
          <cell r="S190">
            <v>78481</v>
          </cell>
          <cell r="T190">
            <v>83781</v>
          </cell>
          <cell r="U190">
            <v>87251</v>
          </cell>
          <cell r="V190">
            <v>77550</v>
          </cell>
          <cell r="W190">
            <v>94913</v>
          </cell>
          <cell r="X190">
            <v>88671</v>
          </cell>
          <cell r="Y190">
            <v>102889</v>
          </cell>
          <cell r="Z190">
            <v>122153</v>
          </cell>
          <cell r="AA190">
            <v>98481</v>
          </cell>
          <cell r="AB190">
            <v>82255</v>
          </cell>
          <cell r="AC190">
            <v>82261</v>
          </cell>
          <cell r="AD190">
            <v>93751</v>
          </cell>
          <cell r="AE190">
            <v>79702</v>
          </cell>
          <cell r="AF190">
            <v>87253</v>
          </cell>
          <cell r="AG190">
            <v>80902</v>
          </cell>
          <cell r="AI190">
            <v>116922</v>
          </cell>
        </row>
        <row r="191">
          <cell r="I191">
            <v>272225</v>
          </cell>
          <cell r="J191">
            <v>215932</v>
          </cell>
          <cell r="K191">
            <v>193662</v>
          </cell>
          <cell r="L191">
            <v>207842</v>
          </cell>
          <cell r="M191">
            <v>198895</v>
          </cell>
          <cell r="N191">
            <v>213502</v>
          </cell>
          <cell r="O191">
            <v>630988</v>
          </cell>
          <cell r="P191">
            <v>539930</v>
          </cell>
          <cell r="Q191">
            <v>552697</v>
          </cell>
          <cell r="R191">
            <v>577672</v>
          </cell>
          <cell r="S191">
            <v>583998</v>
          </cell>
          <cell r="T191">
            <v>614699</v>
          </cell>
          <cell r="U191">
            <v>573108</v>
          </cell>
          <cell r="V191">
            <v>562411</v>
          </cell>
          <cell r="W191">
            <v>618164</v>
          </cell>
          <cell r="X191">
            <v>549172</v>
          </cell>
          <cell r="Y191">
            <v>577272</v>
          </cell>
          <cell r="Z191">
            <v>644863</v>
          </cell>
          <cell r="AA191">
            <v>619394</v>
          </cell>
          <cell r="AB191">
            <v>524247</v>
          </cell>
          <cell r="AC191">
            <v>618307</v>
          </cell>
          <cell r="AD191">
            <v>770329</v>
          </cell>
          <cell r="AE191">
            <v>752612</v>
          </cell>
          <cell r="AF191">
            <v>778621</v>
          </cell>
          <cell r="AG191">
            <v>763814</v>
          </cell>
          <cell r="AI191">
            <v>215932</v>
          </cell>
        </row>
        <row r="192">
          <cell r="I192">
            <v>242610</v>
          </cell>
          <cell r="J192">
            <v>219094</v>
          </cell>
          <cell r="K192">
            <v>256806</v>
          </cell>
          <cell r="L192">
            <v>252304</v>
          </cell>
          <cell r="M192">
            <v>257007</v>
          </cell>
          <cell r="N192">
            <v>328871</v>
          </cell>
          <cell r="O192">
            <v>252315</v>
          </cell>
          <cell r="P192">
            <v>241173</v>
          </cell>
          <cell r="Q192">
            <v>281054</v>
          </cell>
          <cell r="R192">
            <v>306396</v>
          </cell>
          <cell r="S192">
            <v>278977</v>
          </cell>
          <cell r="T192">
            <v>325049</v>
          </cell>
          <cell r="U192">
            <v>294149</v>
          </cell>
          <cell r="V192">
            <v>281503</v>
          </cell>
          <cell r="W192">
            <v>301870</v>
          </cell>
          <cell r="X192">
            <v>277441</v>
          </cell>
          <cell r="Y192">
            <v>302947</v>
          </cell>
          <cell r="Z192">
            <v>315102</v>
          </cell>
          <cell r="AA192">
            <v>325996</v>
          </cell>
          <cell r="AB192">
            <v>277139</v>
          </cell>
          <cell r="AC192">
            <v>268336</v>
          </cell>
          <cell r="AD192">
            <v>289569</v>
          </cell>
          <cell r="AE192">
            <v>283282</v>
          </cell>
          <cell r="AF192">
            <v>320009</v>
          </cell>
          <cell r="AG192">
            <v>291981</v>
          </cell>
          <cell r="AI192">
            <v>219094</v>
          </cell>
        </row>
        <row r="193">
          <cell r="I193">
            <v>295894</v>
          </cell>
          <cell r="J193">
            <v>263312</v>
          </cell>
          <cell r="K193">
            <v>257808</v>
          </cell>
          <cell r="L193">
            <v>378431</v>
          </cell>
          <cell r="M193">
            <v>363438</v>
          </cell>
          <cell r="N193">
            <v>366602</v>
          </cell>
          <cell r="O193">
            <v>405017</v>
          </cell>
          <cell r="P193">
            <v>297053</v>
          </cell>
          <cell r="Q193">
            <v>330776</v>
          </cell>
          <cell r="R193">
            <v>367528</v>
          </cell>
          <cell r="S193">
            <v>324654</v>
          </cell>
          <cell r="T193">
            <v>377213</v>
          </cell>
          <cell r="U193">
            <v>331138</v>
          </cell>
          <cell r="V193">
            <v>324731</v>
          </cell>
          <cell r="W193">
            <v>347078</v>
          </cell>
          <cell r="X193">
            <v>333104</v>
          </cell>
          <cell r="Y193">
            <v>345553</v>
          </cell>
          <cell r="Z193">
            <v>346948</v>
          </cell>
          <cell r="AA193">
            <v>387871</v>
          </cell>
          <cell r="AB193">
            <v>303609</v>
          </cell>
          <cell r="AC193">
            <v>346022</v>
          </cell>
          <cell r="AD193">
            <v>372134</v>
          </cell>
          <cell r="AE193">
            <v>333766</v>
          </cell>
          <cell r="AF193">
            <v>439242</v>
          </cell>
          <cell r="AG193">
            <v>482635</v>
          </cell>
          <cell r="AI193">
            <v>263312</v>
          </cell>
        </row>
        <row r="194">
          <cell r="I194">
            <v>516424</v>
          </cell>
          <cell r="J194">
            <v>425361</v>
          </cell>
          <cell r="K194">
            <v>396133</v>
          </cell>
          <cell r="L194">
            <v>420612</v>
          </cell>
          <cell r="M194">
            <v>449843</v>
          </cell>
          <cell r="N194">
            <v>407574</v>
          </cell>
          <cell r="O194">
            <v>455465</v>
          </cell>
          <cell r="P194">
            <v>396920</v>
          </cell>
          <cell r="Q194">
            <v>401822</v>
          </cell>
          <cell r="R194">
            <v>458420</v>
          </cell>
          <cell r="S194">
            <v>403507</v>
          </cell>
          <cell r="T194">
            <v>383400</v>
          </cell>
          <cell r="U194">
            <v>429009</v>
          </cell>
          <cell r="V194">
            <v>395950</v>
          </cell>
          <cell r="W194">
            <v>355540</v>
          </cell>
          <cell r="X194">
            <v>421908</v>
          </cell>
          <cell r="Y194">
            <v>299058</v>
          </cell>
          <cell r="Z194">
            <v>375002</v>
          </cell>
          <cell r="AA194">
            <v>384231</v>
          </cell>
          <cell r="AB194">
            <v>350894</v>
          </cell>
          <cell r="AC194">
            <v>334624</v>
          </cell>
          <cell r="AD194">
            <v>363317</v>
          </cell>
          <cell r="AE194">
            <v>362990</v>
          </cell>
          <cell r="AF194">
            <v>354838</v>
          </cell>
          <cell r="AG194">
            <v>340595</v>
          </cell>
          <cell r="AI194">
            <v>425361</v>
          </cell>
        </row>
        <row r="196">
          <cell r="I196">
            <v>205112124</v>
          </cell>
          <cell r="J196">
            <v>202848316</v>
          </cell>
          <cell r="K196">
            <v>203989444</v>
          </cell>
          <cell r="L196">
            <v>210664463</v>
          </cell>
          <cell r="M196">
            <v>199665415</v>
          </cell>
          <cell r="N196">
            <v>214235837</v>
          </cell>
          <cell r="O196">
            <v>208908386</v>
          </cell>
          <cell r="P196">
            <v>193836458</v>
          </cell>
          <cell r="Q196">
            <v>200375192</v>
          </cell>
          <cell r="R196">
            <v>214162547</v>
          </cell>
          <cell r="S196">
            <v>216590814</v>
          </cell>
          <cell r="T196">
            <v>202276374</v>
          </cell>
          <cell r="U196">
            <v>207503184</v>
          </cell>
          <cell r="V196">
            <v>193534288</v>
          </cell>
          <cell r="W196">
            <v>186190487</v>
          </cell>
          <cell r="X196">
            <v>193247243</v>
          </cell>
          <cell r="Y196">
            <v>189329525</v>
          </cell>
          <cell r="Z196">
            <v>200981428</v>
          </cell>
          <cell r="AA196">
            <v>188617274</v>
          </cell>
          <cell r="AB196">
            <v>166610708</v>
          </cell>
          <cell r="AC196">
            <v>184433065</v>
          </cell>
          <cell r="AD196">
            <v>197180732</v>
          </cell>
          <cell r="AE196">
            <v>183361285</v>
          </cell>
          <cell r="AF196">
            <v>178217072</v>
          </cell>
          <cell r="AG196">
            <v>181634688</v>
          </cell>
          <cell r="AI196">
            <v>202848316</v>
          </cell>
        </row>
        <row r="197">
          <cell r="I197">
            <v>39922786</v>
          </cell>
          <cell r="J197">
            <v>37788267</v>
          </cell>
          <cell r="K197">
            <v>46631052</v>
          </cell>
          <cell r="L197">
            <v>48540260</v>
          </cell>
          <cell r="M197">
            <v>51937962</v>
          </cell>
          <cell r="N197">
            <v>57987314</v>
          </cell>
          <cell r="O197">
            <v>43603433</v>
          </cell>
          <cell r="P197">
            <v>36327112</v>
          </cell>
          <cell r="Q197">
            <v>44553502</v>
          </cell>
          <cell r="R197">
            <v>46413793</v>
          </cell>
          <cell r="S197">
            <v>53392729</v>
          </cell>
          <cell r="T197">
            <v>47322427</v>
          </cell>
          <cell r="U197">
            <v>44320363</v>
          </cell>
          <cell r="V197">
            <v>40684111</v>
          </cell>
          <cell r="W197">
            <v>41634918</v>
          </cell>
          <cell r="X197">
            <v>50758776</v>
          </cell>
          <cell r="Y197">
            <v>59108465</v>
          </cell>
          <cell r="Z197">
            <v>57838323</v>
          </cell>
          <cell r="AA197">
            <v>45686647</v>
          </cell>
          <cell r="AB197">
            <v>36506842</v>
          </cell>
          <cell r="AC197">
            <v>46571568</v>
          </cell>
          <cell r="AD197">
            <v>59429825</v>
          </cell>
          <cell r="AE197">
            <v>59479548</v>
          </cell>
          <cell r="AF197">
            <v>49127529</v>
          </cell>
          <cell r="AG197">
            <v>43406192</v>
          </cell>
          <cell r="AI197">
            <v>37788267</v>
          </cell>
        </row>
        <row r="198">
          <cell r="I198">
            <v>50268179</v>
          </cell>
          <cell r="J198">
            <v>47471168</v>
          </cell>
          <cell r="K198">
            <v>58327428</v>
          </cell>
          <cell r="L198">
            <v>58761143</v>
          </cell>
          <cell r="M198">
            <v>60827888</v>
          </cell>
          <cell r="N198">
            <v>66919610</v>
          </cell>
          <cell r="O198">
            <v>52009042</v>
          </cell>
          <cell r="P198">
            <v>45519262</v>
          </cell>
          <cell r="Q198">
            <v>53634992</v>
          </cell>
          <cell r="R198">
            <v>53855375</v>
          </cell>
          <cell r="S198">
            <v>61509285</v>
          </cell>
          <cell r="T198">
            <v>57070697</v>
          </cell>
          <cell r="U198">
            <v>53361394</v>
          </cell>
          <cell r="V198">
            <v>46866142</v>
          </cell>
          <cell r="W198">
            <v>50184833</v>
          </cell>
          <cell r="X198">
            <v>55125467</v>
          </cell>
          <cell r="Y198">
            <v>64509334</v>
          </cell>
          <cell r="Z198">
            <v>63845471</v>
          </cell>
          <cell r="AA198">
            <v>51919567</v>
          </cell>
          <cell r="AB198">
            <v>42590244</v>
          </cell>
          <cell r="AC198">
            <v>41760763</v>
          </cell>
          <cell r="AD198">
            <v>55078615</v>
          </cell>
          <cell r="AE198">
            <v>53827229</v>
          </cell>
          <cell r="AF198">
            <v>49159670</v>
          </cell>
          <cell r="AG198">
            <v>39928889</v>
          </cell>
          <cell r="AI198">
            <v>47471168</v>
          </cell>
        </row>
        <row r="199">
          <cell r="I199">
            <v>67522378</v>
          </cell>
          <cell r="J199">
            <v>61401542</v>
          </cell>
          <cell r="K199">
            <v>74292996</v>
          </cell>
          <cell r="L199">
            <v>74004622</v>
          </cell>
          <cell r="M199">
            <v>74759740</v>
          </cell>
          <cell r="N199">
            <v>78030507</v>
          </cell>
          <cell r="O199">
            <v>66543710</v>
          </cell>
          <cell r="P199">
            <v>60714492</v>
          </cell>
          <cell r="Q199">
            <v>70556771</v>
          </cell>
          <cell r="R199">
            <v>70964009</v>
          </cell>
          <cell r="S199">
            <v>75778441</v>
          </cell>
          <cell r="T199">
            <v>72127589</v>
          </cell>
          <cell r="U199">
            <v>71734448</v>
          </cell>
          <cell r="V199">
            <v>62906579</v>
          </cell>
          <cell r="W199">
            <v>68989949</v>
          </cell>
          <cell r="X199">
            <v>69676163</v>
          </cell>
          <cell r="Y199">
            <v>76910552</v>
          </cell>
          <cell r="Z199">
            <v>76897198</v>
          </cell>
          <cell r="AA199">
            <v>68919327</v>
          </cell>
          <cell r="AB199">
            <v>55772651</v>
          </cell>
          <cell r="AC199">
            <v>63174285</v>
          </cell>
          <cell r="AD199">
            <v>75929795</v>
          </cell>
          <cell r="AE199">
            <v>69633838</v>
          </cell>
          <cell r="AF199">
            <v>72835412</v>
          </cell>
          <cell r="AG199">
            <v>60068071</v>
          </cell>
          <cell r="AI199">
            <v>61401542</v>
          </cell>
        </row>
        <row r="200">
          <cell r="I200">
            <v>54436746</v>
          </cell>
          <cell r="J200">
            <v>49114835</v>
          </cell>
          <cell r="K200">
            <v>57674871</v>
          </cell>
          <cell r="L200">
            <v>63251380</v>
          </cell>
          <cell r="M200">
            <v>64482105</v>
          </cell>
          <cell r="N200">
            <v>68088946</v>
          </cell>
          <cell r="O200">
            <v>57750223</v>
          </cell>
          <cell r="P200">
            <v>47298301</v>
          </cell>
          <cell r="Q200">
            <v>52051521</v>
          </cell>
          <cell r="R200">
            <v>57793408</v>
          </cell>
          <cell r="S200">
            <v>58821847</v>
          </cell>
          <cell r="T200">
            <v>57450751</v>
          </cell>
          <cell r="U200">
            <v>51642803</v>
          </cell>
          <cell r="V200">
            <v>43628817</v>
          </cell>
          <cell r="W200">
            <v>51568350</v>
          </cell>
          <cell r="X200">
            <v>54952510</v>
          </cell>
          <cell r="Y200">
            <v>64836844</v>
          </cell>
          <cell r="Z200">
            <v>65739711</v>
          </cell>
          <cell r="AA200">
            <v>52207894</v>
          </cell>
          <cell r="AB200">
            <v>41973840</v>
          </cell>
          <cell r="AC200">
            <v>45521287</v>
          </cell>
          <cell r="AD200">
            <v>60870977</v>
          </cell>
          <cell r="AE200">
            <v>56016884</v>
          </cell>
          <cell r="AF200">
            <v>56291658</v>
          </cell>
          <cell r="AG200">
            <v>44942071</v>
          </cell>
          <cell r="AI200">
            <v>49114835</v>
          </cell>
        </row>
        <row r="201">
          <cell r="I201">
            <v>64029928</v>
          </cell>
          <cell r="J201">
            <v>58435310</v>
          </cell>
          <cell r="K201">
            <v>65479479</v>
          </cell>
          <cell r="L201">
            <v>70732769</v>
          </cell>
          <cell r="M201">
            <v>73001855</v>
          </cell>
          <cell r="N201">
            <v>73918974</v>
          </cell>
          <cell r="O201">
            <v>64750133</v>
          </cell>
          <cell r="P201">
            <v>46953785</v>
          </cell>
          <cell r="Q201">
            <v>52226919</v>
          </cell>
          <cell r="R201">
            <v>57118689</v>
          </cell>
          <cell r="S201">
            <v>59853812</v>
          </cell>
          <cell r="T201">
            <v>60820774</v>
          </cell>
          <cell r="U201">
            <v>55074978</v>
          </cell>
          <cell r="V201">
            <v>48744801</v>
          </cell>
          <cell r="W201">
            <v>51806556</v>
          </cell>
          <cell r="X201">
            <v>54689388</v>
          </cell>
          <cell r="Y201">
            <v>68752527</v>
          </cell>
          <cell r="Z201">
            <v>69245557</v>
          </cell>
          <cell r="AA201">
            <v>57420951</v>
          </cell>
          <cell r="AB201">
            <v>47881384</v>
          </cell>
          <cell r="AC201">
            <v>49503009</v>
          </cell>
          <cell r="AD201">
            <v>65255627</v>
          </cell>
          <cell r="AE201">
            <v>59846576</v>
          </cell>
          <cell r="AF201">
            <v>58668927</v>
          </cell>
          <cell r="AG201">
            <v>50061515</v>
          </cell>
          <cell r="AI201">
            <v>58435310</v>
          </cell>
        </row>
        <row r="202">
          <cell r="I202">
            <v>60089205</v>
          </cell>
          <cell r="J202">
            <v>54786404</v>
          </cell>
          <cell r="K202">
            <v>61699975</v>
          </cell>
          <cell r="L202">
            <v>63937314</v>
          </cell>
          <cell r="M202">
            <v>68462985</v>
          </cell>
          <cell r="N202">
            <v>72541095</v>
          </cell>
          <cell r="O202">
            <v>58809153</v>
          </cell>
          <cell r="P202">
            <v>57393131</v>
          </cell>
          <cell r="Q202">
            <v>61823426</v>
          </cell>
          <cell r="R202">
            <v>70706841</v>
          </cell>
          <cell r="S202">
            <v>70932193</v>
          </cell>
          <cell r="T202">
            <v>76931478</v>
          </cell>
          <cell r="U202">
            <v>67999358</v>
          </cell>
          <cell r="V202">
            <v>60836567</v>
          </cell>
          <cell r="W202">
            <v>65075820</v>
          </cell>
          <cell r="X202">
            <v>66212247</v>
          </cell>
          <cell r="Y202">
            <v>77162092</v>
          </cell>
          <cell r="Z202">
            <v>79381376</v>
          </cell>
          <cell r="AA202">
            <v>68904235</v>
          </cell>
          <cell r="AB202">
            <v>55807251</v>
          </cell>
          <cell r="AC202">
            <v>58953878</v>
          </cell>
          <cell r="AD202">
            <v>74769872</v>
          </cell>
          <cell r="AE202">
            <v>73290895</v>
          </cell>
          <cell r="AF202">
            <v>71767958</v>
          </cell>
          <cell r="AG202">
            <v>59367697</v>
          </cell>
          <cell r="AI202">
            <v>54786404</v>
          </cell>
        </row>
        <row r="203">
          <cell r="I203">
            <v>55563207</v>
          </cell>
          <cell r="J203">
            <v>51218857</v>
          </cell>
          <cell r="K203">
            <v>59327665</v>
          </cell>
          <cell r="L203">
            <v>64874873</v>
          </cell>
          <cell r="M203">
            <v>68338547</v>
          </cell>
          <cell r="N203">
            <v>72810995</v>
          </cell>
          <cell r="O203">
            <v>58084727</v>
          </cell>
          <cell r="P203">
            <v>49373867</v>
          </cell>
          <cell r="Q203">
            <v>51513199</v>
          </cell>
          <cell r="R203">
            <v>60426950</v>
          </cell>
          <cell r="S203">
            <v>61509116</v>
          </cell>
          <cell r="T203">
            <v>68791272</v>
          </cell>
          <cell r="U203">
            <v>61552172</v>
          </cell>
          <cell r="V203">
            <v>52848586</v>
          </cell>
          <cell r="W203">
            <v>59517321</v>
          </cell>
          <cell r="X203">
            <v>59225739</v>
          </cell>
          <cell r="Y203">
            <v>72427808</v>
          </cell>
          <cell r="Z203">
            <v>76517577</v>
          </cell>
          <cell r="AA203">
            <v>61257589</v>
          </cell>
          <cell r="AB203">
            <v>48740844</v>
          </cell>
          <cell r="AC203">
            <v>51054222</v>
          </cell>
          <cell r="AD203">
            <v>65895619</v>
          </cell>
          <cell r="AE203">
            <v>64114537</v>
          </cell>
          <cell r="AF203">
            <v>63136154</v>
          </cell>
          <cell r="AG203">
            <v>49670102</v>
          </cell>
          <cell r="AI203">
            <v>51218857</v>
          </cell>
        </row>
        <row r="204">
          <cell r="I204">
            <v>54947005</v>
          </cell>
          <cell r="J204">
            <v>49092642</v>
          </cell>
          <cell r="K204">
            <v>54613824</v>
          </cell>
          <cell r="L204">
            <v>61126604</v>
          </cell>
          <cell r="M204">
            <v>63430781</v>
          </cell>
          <cell r="N204">
            <v>68078237</v>
          </cell>
          <cell r="O204">
            <v>55347011</v>
          </cell>
          <cell r="P204">
            <v>47088872</v>
          </cell>
          <cell r="Q204">
            <v>50810695</v>
          </cell>
          <cell r="R204">
            <v>59933656</v>
          </cell>
          <cell r="S204">
            <v>58820353</v>
          </cell>
          <cell r="T204">
            <v>66267634</v>
          </cell>
          <cell r="U204">
            <v>57185372</v>
          </cell>
          <cell r="V204">
            <v>48282078</v>
          </cell>
          <cell r="W204">
            <v>57701158</v>
          </cell>
          <cell r="X204">
            <v>55662294</v>
          </cell>
          <cell r="Y204">
            <v>67483581</v>
          </cell>
          <cell r="Z204">
            <v>71903388</v>
          </cell>
          <cell r="AA204">
            <v>57356805</v>
          </cell>
          <cell r="AB204">
            <v>48538642</v>
          </cell>
          <cell r="AC204">
            <v>50366701</v>
          </cell>
          <cell r="AD204">
            <v>63191178</v>
          </cell>
          <cell r="AE204">
            <v>59149807</v>
          </cell>
          <cell r="AF204">
            <v>61053865</v>
          </cell>
          <cell r="AG204">
            <v>48678533</v>
          </cell>
          <cell r="AI204">
            <v>49092642</v>
          </cell>
        </row>
        <row r="205">
          <cell r="I205">
            <v>53940673</v>
          </cell>
          <cell r="J205">
            <v>46783033</v>
          </cell>
          <cell r="K205">
            <v>50871628</v>
          </cell>
          <cell r="L205">
            <v>58835131</v>
          </cell>
          <cell r="M205">
            <v>63035756</v>
          </cell>
          <cell r="N205">
            <v>64325267</v>
          </cell>
          <cell r="O205">
            <v>54434403</v>
          </cell>
          <cell r="P205">
            <v>43920251</v>
          </cell>
          <cell r="Q205">
            <v>47054168</v>
          </cell>
          <cell r="R205">
            <v>56876242</v>
          </cell>
          <cell r="S205">
            <v>55747399</v>
          </cell>
          <cell r="T205">
            <v>60328544</v>
          </cell>
          <cell r="U205">
            <v>55210981</v>
          </cell>
          <cell r="V205">
            <v>46362911</v>
          </cell>
          <cell r="W205">
            <v>52932693</v>
          </cell>
          <cell r="X205">
            <v>53812412</v>
          </cell>
          <cell r="Y205">
            <v>64849448</v>
          </cell>
          <cell r="Z205">
            <v>67828114</v>
          </cell>
          <cell r="AA205">
            <v>55169026</v>
          </cell>
          <cell r="AB205">
            <v>44953497</v>
          </cell>
          <cell r="AC205">
            <v>45990712</v>
          </cell>
          <cell r="AD205">
            <v>63068817</v>
          </cell>
          <cell r="AE205">
            <v>57864370</v>
          </cell>
          <cell r="AF205">
            <v>58500083</v>
          </cell>
          <cell r="AG205">
            <v>46798174</v>
          </cell>
          <cell r="AI205">
            <v>46783033</v>
          </cell>
        </row>
        <row r="206">
          <cell r="I206">
            <v>60545445</v>
          </cell>
          <cell r="J206">
            <v>53517450</v>
          </cell>
          <cell r="K206">
            <v>55091203</v>
          </cell>
          <cell r="L206">
            <v>66010056</v>
          </cell>
          <cell r="M206">
            <v>69190352</v>
          </cell>
          <cell r="N206">
            <v>73706650</v>
          </cell>
          <cell r="O206">
            <v>61682089</v>
          </cell>
          <cell r="P206">
            <v>49332334</v>
          </cell>
          <cell r="Q206">
            <v>54445689</v>
          </cell>
          <cell r="R206">
            <v>64512521</v>
          </cell>
          <cell r="S206">
            <v>62689051</v>
          </cell>
          <cell r="T206">
            <v>70257957</v>
          </cell>
          <cell r="U206">
            <v>63851387</v>
          </cell>
          <cell r="V206">
            <v>53419150</v>
          </cell>
          <cell r="W206">
            <v>56251479</v>
          </cell>
          <cell r="X206">
            <v>58184128</v>
          </cell>
          <cell r="Y206">
            <v>70169497</v>
          </cell>
          <cell r="Z206">
            <v>73695857</v>
          </cell>
          <cell r="AA206">
            <v>61448299</v>
          </cell>
          <cell r="AB206">
            <v>48133168</v>
          </cell>
          <cell r="AC206">
            <v>49733209</v>
          </cell>
          <cell r="AD206">
            <v>67047849</v>
          </cell>
          <cell r="AE206">
            <v>60283285</v>
          </cell>
          <cell r="AF206">
            <v>66470500</v>
          </cell>
          <cell r="AG206">
            <v>53021338</v>
          </cell>
          <cell r="AI206">
            <v>53517450</v>
          </cell>
        </row>
        <row r="207">
          <cell r="I207">
            <v>76281995</v>
          </cell>
          <cell r="J207">
            <v>64546137</v>
          </cell>
          <cell r="K207">
            <v>68235691</v>
          </cell>
          <cell r="L207">
            <v>76443009</v>
          </cell>
          <cell r="M207">
            <v>80641315</v>
          </cell>
          <cell r="N207">
            <v>86807693</v>
          </cell>
          <cell r="O207">
            <v>72502284</v>
          </cell>
          <cell r="P207">
            <v>59650326</v>
          </cell>
          <cell r="Q207">
            <v>62414278</v>
          </cell>
          <cell r="R207">
            <v>73972456</v>
          </cell>
          <cell r="S207">
            <v>70976321</v>
          </cell>
          <cell r="T207">
            <v>80925731</v>
          </cell>
          <cell r="U207">
            <v>71122379</v>
          </cell>
          <cell r="V207">
            <v>62490629</v>
          </cell>
          <cell r="W207">
            <v>67553936</v>
          </cell>
          <cell r="X207">
            <v>66358023</v>
          </cell>
          <cell r="Y207">
            <v>82460397</v>
          </cell>
          <cell r="Z207">
            <v>84341435</v>
          </cell>
          <cell r="AA207">
            <v>74772235</v>
          </cell>
          <cell r="AB207">
            <v>59263361</v>
          </cell>
          <cell r="AC207">
            <v>58798182</v>
          </cell>
          <cell r="AD207">
            <v>76822836</v>
          </cell>
          <cell r="AE207">
            <v>75339200</v>
          </cell>
          <cell r="AF207">
            <v>75529228</v>
          </cell>
          <cell r="AG207">
            <v>63100202</v>
          </cell>
          <cell r="AI207">
            <v>64546137</v>
          </cell>
        </row>
        <row r="208">
          <cell r="I208">
            <v>42261775</v>
          </cell>
          <cell r="J208">
            <v>36180225</v>
          </cell>
          <cell r="K208">
            <v>39098375</v>
          </cell>
          <cell r="L208">
            <v>46749590</v>
          </cell>
          <cell r="M208">
            <v>49518207</v>
          </cell>
          <cell r="N208">
            <v>54065403</v>
          </cell>
          <cell r="O208">
            <v>45179742</v>
          </cell>
          <cell r="P208">
            <v>35980056</v>
          </cell>
          <cell r="Q208">
            <v>35481712</v>
          </cell>
          <cell r="R208">
            <v>46033566</v>
          </cell>
          <cell r="S208">
            <v>43523841</v>
          </cell>
          <cell r="T208">
            <v>50170949</v>
          </cell>
          <cell r="U208">
            <v>44010409</v>
          </cell>
          <cell r="V208">
            <v>37005610</v>
          </cell>
          <cell r="W208">
            <v>47184750</v>
          </cell>
          <cell r="X208">
            <v>45948475</v>
          </cell>
          <cell r="Y208">
            <v>57937697</v>
          </cell>
          <cell r="Z208">
            <v>61585045</v>
          </cell>
          <cell r="AA208">
            <v>52600758</v>
          </cell>
          <cell r="AB208">
            <v>40173642</v>
          </cell>
          <cell r="AC208">
            <v>39527481</v>
          </cell>
          <cell r="AD208">
            <v>51637747</v>
          </cell>
          <cell r="AE208">
            <v>52618663</v>
          </cell>
          <cell r="AF208">
            <v>54487732</v>
          </cell>
          <cell r="AG208">
            <v>41498472</v>
          </cell>
          <cell r="AI208">
            <v>36180225</v>
          </cell>
        </row>
        <row r="209">
          <cell r="I209">
            <v>68940368</v>
          </cell>
          <cell r="J209">
            <v>60189911</v>
          </cell>
          <cell r="K209">
            <v>62761702</v>
          </cell>
          <cell r="L209">
            <v>73203484</v>
          </cell>
          <cell r="M209">
            <v>74172936</v>
          </cell>
          <cell r="N209">
            <v>83119802</v>
          </cell>
          <cell r="O209">
            <v>72610884</v>
          </cell>
          <cell r="P209">
            <v>60303918</v>
          </cell>
          <cell r="Q209">
            <v>57455251</v>
          </cell>
          <cell r="R209">
            <v>72071433</v>
          </cell>
          <cell r="S209">
            <v>65867665</v>
          </cell>
          <cell r="T209">
            <v>69701666</v>
          </cell>
          <cell r="U209">
            <v>62584670</v>
          </cell>
          <cell r="V209">
            <v>56199303</v>
          </cell>
          <cell r="W209">
            <v>58530183</v>
          </cell>
          <cell r="X209">
            <v>57838405</v>
          </cell>
          <cell r="Y209">
            <v>67898684</v>
          </cell>
          <cell r="Z209">
            <v>74168121</v>
          </cell>
          <cell r="AA209">
            <v>63156861</v>
          </cell>
          <cell r="AB209">
            <v>52285141</v>
          </cell>
          <cell r="AC209">
            <v>50990051</v>
          </cell>
          <cell r="AD209">
            <v>63131608</v>
          </cell>
          <cell r="AE209">
            <v>62021837</v>
          </cell>
          <cell r="AF209">
            <v>63932576</v>
          </cell>
          <cell r="AG209">
            <v>52102522</v>
          </cell>
          <cell r="AI209">
            <v>60189911</v>
          </cell>
        </row>
        <row r="210">
          <cell r="I210">
            <v>61647334</v>
          </cell>
          <cell r="J210">
            <v>52857831</v>
          </cell>
          <cell r="K210">
            <v>53191134</v>
          </cell>
          <cell r="L210">
            <v>62028535</v>
          </cell>
          <cell r="M210">
            <v>65628717</v>
          </cell>
          <cell r="N210">
            <v>71478257</v>
          </cell>
          <cell r="O210">
            <v>61291333</v>
          </cell>
          <cell r="P210">
            <v>51331035</v>
          </cell>
          <cell r="Q210">
            <v>49990132</v>
          </cell>
          <cell r="R210">
            <v>61841804</v>
          </cell>
          <cell r="S210">
            <v>59433128</v>
          </cell>
          <cell r="T210">
            <v>71717485</v>
          </cell>
          <cell r="U210">
            <v>66003262</v>
          </cell>
          <cell r="V210">
            <v>58418882</v>
          </cell>
          <cell r="W210">
            <v>55626857</v>
          </cell>
          <cell r="X210">
            <v>54791510</v>
          </cell>
          <cell r="Y210">
            <v>66515043</v>
          </cell>
          <cell r="Z210">
            <v>71756727</v>
          </cell>
          <cell r="AA210">
            <v>63333490</v>
          </cell>
          <cell r="AB210">
            <v>50451005</v>
          </cell>
          <cell r="AC210">
            <v>50132519</v>
          </cell>
          <cell r="AD210">
            <v>64063076</v>
          </cell>
          <cell r="AE210">
            <v>60532343</v>
          </cell>
          <cell r="AF210">
            <v>64782339</v>
          </cell>
          <cell r="AG210">
            <v>51002940</v>
          </cell>
          <cell r="AI210">
            <v>52857831</v>
          </cell>
        </row>
        <row r="211">
          <cell r="I211">
            <v>62675813</v>
          </cell>
          <cell r="J211">
            <v>56692139</v>
          </cell>
          <cell r="K211">
            <v>53606801</v>
          </cell>
          <cell r="L211">
            <v>63463526</v>
          </cell>
          <cell r="M211">
            <v>67451507</v>
          </cell>
          <cell r="N211">
            <v>73196042</v>
          </cell>
          <cell r="O211">
            <v>69284325</v>
          </cell>
          <cell r="P211">
            <v>55607151</v>
          </cell>
          <cell r="Q211">
            <v>55897708</v>
          </cell>
          <cell r="R211">
            <v>69333240</v>
          </cell>
          <cell r="S211">
            <v>69551039</v>
          </cell>
          <cell r="T211">
            <v>74084770</v>
          </cell>
          <cell r="U211">
            <v>68139551</v>
          </cell>
          <cell r="V211">
            <v>62927505</v>
          </cell>
          <cell r="W211">
            <v>65956306</v>
          </cell>
          <cell r="X211">
            <v>67064680</v>
          </cell>
          <cell r="Y211">
            <v>79974599</v>
          </cell>
          <cell r="Z211">
            <v>82006907</v>
          </cell>
          <cell r="AA211">
            <v>77057847</v>
          </cell>
          <cell r="AB211">
            <v>60225422</v>
          </cell>
          <cell r="AC211">
            <v>60190184</v>
          </cell>
          <cell r="AD211">
            <v>73938979</v>
          </cell>
          <cell r="AE211">
            <v>73549941</v>
          </cell>
          <cell r="AF211">
            <v>76248504</v>
          </cell>
          <cell r="AG211">
            <v>63006278</v>
          </cell>
          <cell r="AI211">
            <v>56692139</v>
          </cell>
        </row>
        <row r="212">
          <cell r="I212">
            <v>104741027</v>
          </cell>
          <cell r="J212">
            <v>85140167</v>
          </cell>
          <cell r="K212">
            <v>90639039</v>
          </cell>
          <cell r="L212">
            <v>94051914</v>
          </cell>
          <cell r="M212">
            <v>94660386</v>
          </cell>
          <cell r="N212">
            <v>105061839</v>
          </cell>
          <cell r="O212">
            <v>101411967</v>
          </cell>
          <cell r="P212">
            <v>86225273</v>
          </cell>
          <cell r="Q212">
            <v>90137061</v>
          </cell>
          <cell r="R212">
            <v>109307984</v>
          </cell>
          <cell r="S212">
            <v>98540857</v>
          </cell>
          <cell r="T212">
            <v>110118576</v>
          </cell>
          <cell r="U212">
            <v>100896865</v>
          </cell>
          <cell r="V212">
            <v>94299085</v>
          </cell>
          <cell r="W212">
            <v>94182735</v>
          </cell>
          <cell r="X212">
            <v>87852055</v>
          </cell>
          <cell r="Y212">
            <v>102194945</v>
          </cell>
          <cell r="Z212">
            <v>103712365</v>
          </cell>
          <cell r="AA212">
            <v>102202508</v>
          </cell>
          <cell r="AB212">
            <v>86056196</v>
          </cell>
          <cell r="AC212">
            <v>82756364</v>
          </cell>
          <cell r="AD212">
            <v>105262668</v>
          </cell>
          <cell r="AE212">
            <v>109867451</v>
          </cell>
          <cell r="AF212">
            <v>107704446</v>
          </cell>
          <cell r="AG212">
            <v>87699009</v>
          </cell>
          <cell r="AI212">
            <v>85140167</v>
          </cell>
        </row>
        <row r="213">
          <cell r="I213">
            <v>60820665</v>
          </cell>
          <cell r="J213">
            <v>50009384</v>
          </cell>
          <cell r="K213">
            <v>52231056</v>
          </cell>
          <cell r="L213">
            <v>60473482</v>
          </cell>
          <cell r="M213">
            <v>61571184</v>
          </cell>
          <cell r="N213">
            <v>64662390</v>
          </cell>
          <cell r="O213">
            <v>68461812</v>
          </cell>
          <cell r="P213">
            <v>49247782</v>
          </cell>
          <cell r="Q213">
            <v>52846119</v>
          </cell>
          <cell r="R213">
            <v>59039951</v>
          </cell>
          <cell r="S213">
            <v>58727006</v>
          </cell>
          <cell r="T213">
            <v>64915094</v>
          </cell>
          <cell r="U213">
            <v>58538576</v>
          </cell>
          <cell r="V213">
            <v>53442647</v>
          </cell>
          <cell r="W213">
            <v>54967800</v>
          </cell>
          <cell r="X213">
            <v>54627534</v>
          </cell>
          <cell r="Y213">
            <v>67309523</v>
          </cell>
          <cell r="Z213">
            <v>65698659</v>
          </cell>
          <cell r="AA213">
            <v>70370265</v>
          </cell>
          <cell r="AB213">
            <v>47460104</v>
          </cell>
          <cell r="AC213">
            <v>47384550</v>
          </cell>
          <cell r="AD213">
            <v>59378415</v>
          </cell>
          <cell r="AE213">
            <v>63811106</v>
          </cell>
          <cell r="AF213">
            <v>64659036</v>
          </cell>
          <cell r="AG213">
            <v>49664224</v>
          </cell>
          <cell r="AI213">
            <v>50009384</v>
          </cell>
        </row>
        <row r="214">
          <cell r="I214">
            <v>63297050</v>
          </cell>
          <cell r="J214">
            <v>54772569</v>
          </cell>
          <cell r="K214">
            <v>52350527</v>
          </cell>
          <cell r="L214">
            <v>70260236</v>
          </cell>
          <cell r="M214">
            <v>64892765</v>
          </cell>
          <cell r="N214">
            <v>65220767</v>
          </cell>
          <cell r="O214">
            <v>74312881</v>
          </cell>
          <cell r="P214">
            <v>54611698</v>
          </cell>
          <cell r="Q214">
            <v>52279253</v>
          </cell>
          <cell r="R214">
            <v>62809825</v>
          </cell>
          <cell r="S214">
            <v>60677629</v>
          </cell>
          <cell r="T214">
            <v>65816366</v>
          </cell>
          <cell r="U214">
            <v>63044397</v>
          </cell>
          <cell r="V214">
            <v>56668456</v>
          </cell>
          <cell r="W214">
            <v>56747818</v>
          </cell>
          <cell r="X214">
            <v>60551639</v>
          </cell>
          <cell r="Y214">
            <v>69732779</v>
          </cell>
          <cell r="Z214">
            <v>69381526</v>
          </cell>
          <cell r="AA214">
            <v>71336410</v>
          </cell>
          <cell r="AB214">
            <v>54495541</v>
          </cell>
          <cell r="AC214">
            <v>52654596</v>
          </cell>
          <cell r="AD214">
            <v>57921825</v>
          </cell>
          <cell r="AE214">
            <v>59779001</v>
          </cell>
          <cell r="AF214">
            <v>61416732</v>
          </cell>
          <cell r="AG214">
            <v>51108828</v>
          </cell>
          <cell r="AI214">
            <v>54772569</v>
          </cell>
        </row>
        <row r="215">
          <cell r="I215">
            <v>150553026</v>
          </cell>
          <cell r="J215">
            <v>71858126</v>
          </cell>
          <cell r="K215">
            <v>103518888</v>
          </cell>
          <cell r="L215">
            <v>134562713</v>
          </cell>
          <cell r="M215">
            <v>107007775</v>
          </cell>
          <cell r="N215">
            <v>119713352</v>
          </cell>
          <cell r="O215">
            <v>132009728</v>
          </cell>
          <cell r="P215">
            <v>97895758</v>
          </cell>
          <cell r="Q215">
            <v>104476407</v>
          </cell>
          <cell r="R215">
            <v>111328431</v>
          </cell>
          <cell r="S215">
            <v>112015920</v>
          </cell>
          <cell r="T215">
            <v>120414097</v>
          </cell>
          <cell r="U215">
            <v>115312844</v>
          </cell>
          <cell r="V215">
            <v>106672945</v>
          </cell>
          <cell r="W215">
            <v>106754501</v>
          </cell>
          <cell r="X215">
            <v>113663372</v>
          </cell>
          <cell r="Y215">
            <v>112893412</v>
          </cell>
          <cell r="Z215">
            <v>130165678</v>
          </cell>
          <cell r="AA215">
            <v>125663344</v>
          </cell>
          <cell r="AB215">
            <v>104995620</v>
          </cell>
          <cell r="AC215">
            <v>108795962</v>
          </cell>
          <cell r="AD215">
            <v>101272906</v>
          </cell>
          <cell r="AE215">
            <v>114013360</v>
          </cell>
          <cell r="AF215">
            <v>128772711</v>
          </cell>
          <cell r="AG215">
            <v>96838891</v>
          </cell>
          <cell r="AI215">
            <v>71858126</v>
          </cell>
        </row>
        <row r="217">
          <cell r="I217">
            <v>785442</v>
          </cell>
          <cell r="J217">
            <v>1072325</v>
          </cell>
          <cell r="K217">
            <v>1627854</v>
          </cell>
          <cell r="L217">
            <v>1737004</v>
          </cell>
          <cell r="M217">
            <v>1926605</v>
          </cell>
          <cell r="N217">
            <v>2192924</v>
          </cell>
          <cell r="O217">
            <v>1149141</v>
          </cell>
          <cell r="P217">
            <v>707537</v>
          </cell>
          <cell r="Q217">
            <v>667603</v>
          </cell>
          <cell r="R217">
            <v>717285</v>
          </cell>
          <cell r="S217">
            <v>860877</v>
          </cell>
          <cell r="T217">
            <v>706425</v>
          </cell>
          <cell r="U217">
            <v>698515</v>
          </cell>
          <cell r="V217">
            <v>916904</v>
          </cell>
          <cell r="W217">
            <v>1115875</v>
          </cell>
          <cell r="X217">
            <v>1506023</v>
          </cell>
          <cell r="Y217">
            <v>1904968</v>
          </cell>
          <cell r="Z217">
            <v>1815087</v>
          </cell>
          <cell r="AA217">
            <v>1204159</v>
          </cell>
          <cell r="AB217">
            <v>801691</v>
          </cell>
          <cell r="AC217">
            <v>666826</v>
          </cell>
          <cell r="AD217">
            <v>844330</v>
          </cell>
          <cell r="AE217">
            <v>771380</v>
          </cell>
          <cell r="AF217">
            <v>656764</v>
          </cell>
          <cell r="AG217">
            <v>662484</v>
          </cell>
          <cell r="AI217">
            <v>1072325</v>
          </cell>
        </row>
        <row r="218">
          <cell r="I218">
            <v>1134702</v>
          </cell>
          <cell r="J218">
            <v>1447186</v>
          </cell>
          <cell r="K218">
            <v>2197994</v>
          </cell>
          <cell r="L218">
            <v>2504847</v>
          </cell>
          <cell r="M218">
            <v>2721542</v>
          </cell>
          <cell r="N218">
            <v>3091731</v>
          </cell>
          <cell r="O218">
            <v>1040473</v>
          </cell>
          <cell r="P218">
            <v>641737</v>
          </cell>
          <cell r="Q218">
            <v>632153</v>
          </cell>
          <cell r="R218">
            <v>658864</v>
          </cell>
          <cell r="S218">
            <v>777850</v>
          </cell>
          <cell r="T218">
            <v>686088</v>
          </cell>
          <cell r="U218">
            <v>617205</v>
          </cell>
          <cell r="V218">
            <v>758446</v>
          </cell>
          <cell r="W218">
            <v>1088753</v>
          </cell>
          <cell r="X218">
            <v>1321231</v>
          </cell>
          <cell r="Y218">
            <v>1858273</v>
          </cell>
          <cell r="Z218">
            <v>1707321</v>
          </cell>
          <cell r="AA218">
            <v>1108627</v>
          </cell>
          <cell r="AB218">
            <v>753706</v>
          </cell>
          <cell r="AC218">
            <v>624482</v>
          </cell>
          <cell r="AD218">
            <v>787028</v>
          </cell>
          <cell r="AE218">
            <v>733955</v>
          </cell>
          <cell r="AF218">
            <v>661851</v>
          </cell>
          <cell r="AG218">
            <v>566306</v>
          </cell>
          <cell r="AI218">
            <v>1447186</v>
          </cell>
        </row>
        <row r="219">
          <cell r="I219">
            <v>1016314</v>
          </cell>
          <cell r="J219">
            <v>1261852</v>
          </cell>
          <cell r="K219">
            <v>1755208</v>
          </cell>
          <cell r="L219">
            <v>2128296</v>
          </cell>
          <cell r="M219">
            <v>2307742</v>
          </cell>
          <cell r="N219">
            <v>2535678</v>
          </cell>
          <cell r="O219">
            <v>658591</v>
          </cell>
          <cell r="P219">
            <v>418442</v>
          </cell>
          <cell r="Q219">
            <v>418134</v>
          </cell>
          <cell r="R219">
            <v>482739</v>
          </cell>
          <cell r="S219">
            <v>519825</v>
          </cell>
          <cell r="T219">
            <v>503762</v>
          </cell>
          <cell r="U219">
            <v>444993</v>
          </cell>
          <cell r="V219">
            <v>494510</v>
          </cell>
          <cell r="W219">
            <v>688639</v>
          </cell>
          <cell r="X219">
            <v>803537</v>
          </cell>
          <cell r="Y219">
            <v>1080727</v>
          </cell>
          <cell r="Z219">
            <v>1081781</v>
          </cell>
          <cell r="AA219">
            <v>673166</v>
          </cell>
          <cell r="AB219">
            <v>456784</v>
          </cell>
          <cell r="AC219">
            <v>424225</v>
          </cell>
          <cell r="AD219">
            <v>524843</v>
          </cell>
          <cell r="AE219">
            <v>471860</v>
          </cell>
          <cell r="AF219">
            <v>476047</v>
          </cell>
          <cell r="AG219">
            <v>377845</v>
          </cell>
          <cell r="AI219">
            <v>1261852</v>
          </cell>
        </row>
        <row r="220">
          <cell r="I220">
            <v>1255407</v>
          </cell>
          <cell r="J220">
            <v>1562240</v>
          </cell>
          <cell r="K220">
            <v>2258658</v>
          </cell>
          <cell r="L220">
            <v>2679702</v>
          </cell>
          <cell r="M220">
            <v>2966487</v>
          </cell>
          <cell r="N220">
            <v>3120554</v>
          </cell>
          <cell r="O220">
            <v>929299</v>
          </cell>
          <cell r="P220">
            <v>518911</v>
          </cell>
          <cell r="Q220">
            <v>532735</v>
          </cell>
          <cell r="R220">
            <v>579422</v>
          </cell>
          <cell r="S220">
            <v>629158</v>
          </cell>
          <cell r="T220">
            <v>630720</v>
          </cell>
          <cell r="U220">
            <v>533568</v>
          </cell>
          <cell r="V220">
            <v>639795</v>
          </cell>
          <cell r="W220">
            <v>893959</v>
          </cell>
          <cell r="X220">
            <v>1043181</v>
          </cell>
          <cell r="Y220">
            <v>1452050</v>
          </cell>
          <cell r="Z220">
            <v>1357494</v>
          </cell>
          <cell r="AA220">
            <v>944988</v>
          </cell>
          <cell r="AB220">
            <v>590824</v>
          </cell>
          <cell r="AC220">
            <v>521785</v>
          </cell>
          <cell r="AD220">
            <v>648247</v>
          </cell>
          <cell r="AE220">
            <v>575555</v>
          </cell>
          <cell r="AF220">
            <v>569772</v>
          </cell>
          <cell r="AG220">
            <v>505700</v>
          </cell>
          <cell r="AI220">
            <v>1562240</v>
          </cell>
        </row>
        <row r="221">
          <cell r="I221">
            <v>1096231</v>
          </cell>
          <cell r="J221">
            <v>1482495</v>
          </cell>
          <cell r="K221">
            <v>2017679</v>
          </cell>
          <cell r="L221">
            <v>2451893</v>
          </cell>
          <cell r="M221">
            <v>2900341</v>
          </cell>
          <cell r="N221">
            <v>2822550</v>
          </cell>
          <cell r="O221">
            <v>1561896</v>
          </cell>
          <cell r="P221">
            <v>832105</v>
          </cell>
          <cell r="Q221">
            <v>806803</v>
          </cell>
          <cell r="R221">
            <v>972186</v>
          </cell>
          <cell r="S221">
            <v>990700</v>
          </cell>
          <cell r="T221">
            <v>948420</v>
          </cell>
          <cell r="U221">
            <v>852655</v>
          </cell>
          <cell r="V221">
            <v>961763</v>
          </cell>
          <cell r="W221">
            <v>1482875</v>
          </cell>
          <cell r="X221">
            <v>1717162</v>
          </cell>
          <cell r="Y221">
            <v>2450051</v>
          </cell>
          <cell r="Z221">
            <v>2289746</v>
          </cell>
          <cell r="AA221">
            <v>1643049</v>
          </cell>
          <cell r="AB221">
            <v>946026</v>
          </cell>
          <cell r="AC221">
            <v>859330</v>
          </cell>
          <cell r="AD221">
            <v>1090945</v>
          </cell>
          <cell r="AE221">
            <v>927389</v>
          </cell>
          <cell r="AF221">
            <v>934883</v>
          </cell>
          <cell r="AG221">
            <v>817751</v>
          </cell>
          <cell r="AI221">
            <v>1482495</v>
          </cell>
        </row>
        <row r="222">
          <cell r="I222">
            <v>1214484</v>
          </cell>
          <cell r="J222">
            <v>1582138</v>
          </cell>
          <cell r="K222">
            <v>2075767</v>
          </cell>
          <cell r="L222">
            <v>2671224</v>
          </cell>
          <cell r="M222">
            <v>3003057</v>
          </cell>
          <cell r="N222">
            <v>3118814</v>
          </cell>
          <cell r="O222">
            <v>1044194</v>
          </cell>
          <cell r="P222">
            <v>612130</v>
          </cell>
          <cell r="Q222">
            <v>548034</v>
          </cell>
          <cell r="R222">
            <v>603658</v>
          </cell>
          <cell r="S222">
            <v>652455</v>
          </cell>
          <cell r="T222">
            <v>657878</v>
          </cell>
          <cell r="U222">
            <v>572266</v>
          </cell>
          <cell r="V222">
            <v>674144</v>
          </cell>
          <cell r="W222">
            <v>953955</v>
          </cell>
          <cell r="X222">
            <v>1113409</v>
          </cell>
          <cell r="Y222">
            <v>1579366</v>
          </cell>
          <cell r="Z222">
            <v>1573170</v>
          </cell>
          <cell r="AA222">
            <v>1104593</v>
          </cell>
          <cell r="AB222">
            <v>638029</v>
          </cell>
          <cell r="AC222">
            <v>564971</v>
          </cell>
          <cell r="AD222">
            <v>683679</v>
          </cell>
          <cell r="AE222">
            <v>612579</v>
          </cell>
          <cell r="AF222">
            <v>582948</v>
          </cell>
          <cell r="AG222">
            <v>542544</v>
          </cell>
          <cell r="AI222">
            <v>1582138</v>
          </cell>
        </row>
        <row r="223">
          <cell r="I223">
            <v>1177510</v>
          </cell>
          <cell r="J223">
            <v>1546394</v>
          </cell>
          <cell r="K223">
            <v>1991725</v>
          </cell>
          <cell r="L223">
            <v>2633944</v>
          </cell>
          <cell r="M223">
            <v>2915612</v>
          </cell>
          <cell r="N223">
            <v>3082510</v>
          </cell>
          <cell r="O223">
            <v>434911</v>
          </cell>
          <cell r="P223">
            <v>279748</v>
          </cell>
          <cell r="Q223">
            <v>244491</v>
          </cell>
          <cell r="R223">
            <v>270978</v>
          </cell>
          <cell r="S223">
            <v>283287</v>
          </cell>
          <cell r="T223">
            <v>308099</v>
          </cell>
          <cell r="U223">
            <v>241622</v>
          </cell>
          <cell r="V223">
            <v>238401</v>
          </cell>
          <cell r="W223">
            <v>388825</v>
          </cell>
          <cell r="X223">
            <v>425076</v>
          </cell>
          <cell r="Y223">
            <v>564987</v>
          </cell>
          <cell r="Z223">
            <v>644901</v>
          </cell>
          <cell r="AA223">
            <v>442055</v>
          </cell>
          <cell r="AB223">
            <v>264979</v>
          </cell>
          <cell r="AC223">
            <v>240039</v>
          </cell>
          <cell r="AD223">
            <v>299506</v>
          </cell>
          <cell r="AE223">
            <v>289194</v>
          </cell>
          <cell r="AF223">
            <v>262927</v>
          </cell>
          <cell r="AG223">
            <v>211179</v>
          </cell>
          <cell r="AI223">
            <v>1546394</v>
          </cell>
        </row>
        <row r="224">
          <cell r="I224">
            <v>1215686</v>
          </cell>
          <cell r="J224">
            <v>1599956</v>
          </cell>
          <cell r="K224">
            <v>2025905</v>
          </cell>
          <cell r="L224">
            <v>2670293</v>
          </cell>
          <cell r="M224">
            <v>3010562</v>
          </cell>
          <cell r="N224">
            <v>3033370</v>
          </cell>
          <cell r="O224">
            <v>1600470</v>
          </cell>
          <cell r="P224">
            <v>787294</v>
          </cell>
          <cell r="Q224">
            <v>695703</v>
          </cell>
          <cell r="R224">
            <v>796703</v>
          </cell>
          <cell r="S224">
            <v>807873</v>
          </cell>
          <cell r="T224">
            <v>863398</v>
          </cell>
          <cell r="U224">
            <v>718310</v>
          </cell>
          <cell r="V224">
            <v>738278</v>
          </cell>
          <cell r="W224">
            <v>1281957</v>
          </cell>
          <cell r="X224">
            <v>1484284</v>
          </cell>
          <cell r="Y224">
            <v>1939504</v>
          </cell>
          <cell r="Z224">
            <v>2083479</v>
          </cell>
          <cell r="AA224">
            <v>1410770</v>
          </cell>
          <cell r="AB224">
            <v>898012</v>
          </cell>
          <cell r="AC224">
            <v>741566</v>
          </cell>
          <cell r="AD224">
            <v>815416</v>
          </cell>
          <cell r="AE224">
            <v>788423</v>
          </cell>
          <cell r="AF224">
            <v>813727</v>
          </cell>
          <cell r="AG224">
            <v>652629</v>
          </cell>
          <cell r="AI224">
            <v>1599956</v>
          </cell>
        </row>
        <row r="225">
          <cell r="I225">
            <v>917532</v>
          </cell>
          <cell r="J225">
            <v>1134063</v>
          </cell>
          <cell r="K225">
            <v>1440489</v>
          </cell>
          <cell r="L225">
            <v>2112918</v>
          </cell>
          <cell r="M225">
            <v>2423809</v>
          </cell>
          <cell r="N225">
            <v>2337108</v>
          </cell>
          <cell r="O225">
            <v>1564506</v>
          </cell>
          <cell r="P225">
            <v>847831</v>
          </cell>
          <cell r="Q225">
            <v>703840</v>
          </cell>
          <cell r="R225">
            <v>817397</v>
          </cell>
          <cell r="S225">
            <v>855821</v>
          </cell>
          <cell r="T225">
            <v>876503</v>
          </cell>
          <cell r="U225">
            <v>830132</v>
          </cell>
          <cell r="V225">
            <v>727078</v>
          </cell>
          <cell r="W225">
            <v>1330764</v>
          </cell>
          <cell r="X225">
            <v>1511404</v>
          </cell>
          <cell r="Y225">
            <v>2199896</v>
          </cell>
          <cell r="Z225">
            <v>2250558</v>
          </cell>
          <cell r="AA225">
            <v>1660657</v>
          </cell>
          <cell r="AB225">
            <v>936586</v>
          </cell>
          <cell r="AC225">
            <v>842230</v>
          </cell>
          <cell r="AD225">
            <v>870602</v>
          </cell>
          <cell r="AE225">
            <v>851795</v>
          </cell>
          <cell r="AF225">
            <v>859545</v>
          </cell>
          <cell r="AG225">
            <v>721908</v>
          </cell>
          <cell r="AI225">
            <v>1134063</v>
          </cell>
        </row>
        <row r="226">
          <cell r="I226">
            <v>1129459</v>
          </cell>
          <cell r="J226">
            <v>1420544</v>
          </cell>
          <cell r="K226">
            <v>1664067</v>
          </cell>
          <cell r="L226">
            <v>2531271</v>
          </cell>
          <cell r="M226">
            <v>2905922</v>
          </cell>
          <cell r="N226">
            <v>2792320</v>
          </cell>
          <cell r="O226">
            <v>2101762</v>
          </cell>
          <cell r="P226">
            <v>449746</v>
          </cell>
          <cell r="Q226">
            <v>333209</v>
          </cell>
          <cell r="R226">
            <v>408396</v>
          </cell>
          <cell r="S226">
            <v>408044</v>
          </cell>
          <cell r="T226">
            <v>431904</v>
          </cell>
          <cell r="U226">
            <v>400826</v>
          </cell>
          <cell r="V226">
            <v>353927</v>
          </cell>
          <cell r="W226">
            <v>627325</v>
          </cell>
          <cell r="X226">
            <v>709144</v>
          </cell>
          <cell r="Y226">
            <v>980563</v>
          </cell>
          <cell r="Z226">
            <v>1079138</v>
          </cell>
          <cell r="AA226">
            <v>760575</v>
          </cell>
          <cell r="AB226">
            <v>456369</v>
          </cell>
          <cell r="AC226">
            <v>368909</v>
          </cell>
          <cell r="AD226">
            <v>445532</v>
          </cell>
          <cell r="AE226">
            <v>417258</v>
          </cell>
          <cell r="AF226">
            <v>422373</v>
          </cell>
          <cell r="AG226">
            <v>362686</v>
          </cell>
          <cell r="AI226">
            <v>1420544</v>
          </cell>
        </row>
        <row r="227">
          <cell r="I227">
            <v>1353309</v>
          </cell>
          <cell r="J227">
            <v>1762012</v>
          </cell>
          <cell r="K227">
            <v>1933390</v>
          </cell>
          <cell r="L227">
            <v>2994693</v>
          </cell>
          <cell r="M227">
            <v>3340017</v>
          </cell>
          <cell r="N227">
            <v>3565208</v>
          </cell>
          <cell r="O227">
            <v>2471921</v>
          </cell>
          <cell r="P227">
            <v>588844</v>
          </cell>
          <cell r="Q227">
            <v>431811</v>
          </cell>
          <cell r="R227">
            <v>494273</v>
          </cell>
          <cell r="S227">
            <v>489587</v>
          </cell>
          <cell r="T227">
            <v>580941</v>
          </cell>
          <cell r="U227">
            <v>457508</v>
          </cell>
          <cell r="V227">
            <v>462729</v>
          </cell>
          <cell r="W227">
            <v>747598</v>
          </cell>
          <cell r="X227">
            <v>780570</v>
          </cell>
          <cell r="Y227">
            <v>1284451</v>
          </cell>
          <cell r="Z227">
            <v>1369581</v>
          </cell>
          <cell r="AA227">
            <v>1019452</v>
          </cell>
          <cell r="AB227">
            <v>581650</v>
          </cell>
          <cell r="AC227">
            <v>490745</v>
          </cell>
          <cell r="AD227">
            <v>509029</v>
          </cell>
          <cell r="AE227">
            <v>553196</v>
          </cell>
          <cell r="AF227">
            <v>472762</v>
          </cell>
          <cell r="AG227">
            <v>434666</v>
          </cell>
          <cell r="AI227">
            <v>1762012</v>
          </cell>
        </row>
        <row r="228">
          <cell r="I228">
            <v>1051017</v>
          </cell>
          <cell r="J228">
            <v>1211374</v>
          </cell>
          <cell r="K228">
            <v>1463967</v>
          </cell>
          <cell r="L228">
            <v>2179755</v>
          </cell>
          <cell r="M228">
            <v>2435614</v>
          </cell>
          <cell r="N228">
            <v>2650724</v>
          </cell>
          <cell r="O228">
            <v>1876973</v>
          </cell>
          <cell r="P228">
            <v>753819</v>
          </cell>
          <cell r="Q228">
            <v>622159</v>
          </cell>
          <cell r="R228">
            <v>673106</v>
          </cell>
          <cell r="S228">
            <v>649636</v>
          </cell>
          <cell r="T228">
            <v>734639</v>
          </cell>
          <cell r="U228">
            <v>622146</v>
          </cell>
          <cell r="V228">
            <v>602207</v>
          </cell>
          <cell r="W228">
            <v>1010587</v>
          </cell>
          <cell r="X228">
            <v>1200584</v>
          </cell>
          <cell r="Y228">
            <v>1614441</v>
          </cell>
          <cell r="Z228">
            <v>1800550</v>
          </cell>
          <cell r="AA228">
            <v>1352358</v>
          </cell>
          <cell r="AB228">
            <v>805785</v>
          </cell>
          <cell r="AC228">
            <v>664245</v>
          </cell>
          <cell r="AD228">
            <v>665449</v>
          </cell>
          <cell r="AE228">
            <v>694108</v>
          </cell>
          <cell r="AF228">
            <v>679687</v>
          </cell>
          <cell r="AG228">
            <v>564742</v>
          </cell>
          <cell r="AI228">
            <v>1211374</v>
          </cell>
        </row>
        <row r="229">
          <cell r="I229">
            <v>1024510</v>
          </cell>
          <cell r="J229">
            <v>1164323</v>
          </cell>
          <cell r="K229">
            <v>1437830</v>
          </cell>
          <cell r="L229">
            <v>2099092</v>
          </cell>
          <cell r="M229">
            <v>2323549</v>
          </cell>
          <cell r="N229">
            <v>2561661</v>
          </cell>
          <cell r="O229">
            <v>1819559</v>
          </cell>
          <cell r="P229">
            <v>751829</v>
          </cell>
          <cell r="Q229">
            <v>623930</v>
          </cell>
          <cell r="R229">
            <v>657095</v>
          </cell>
          <cell r="S229">
            <v>621867</v>
          </cell>
          <cell r="T229">
            <v>731964</v>
          </cell>
          <cell r="U229">
            <v>644001</v>
          </cell>
          <cell r="V229">
            <v>591551</v>
          </cell>
          <cell r="W229">
            <v>968565</v>
          </cell>
          <cell r="X229">
            <v>1139437</v>
          </cell>
          <cell r="Y229">
            <v>1503652</v>
          </cell>
          <cell r="Z229">
            <v>1793839</v>
          </cell>
          <cell r="AA229">
            <v>1307191</v>
          </cell>
          <cell r="AB229">
            <v>834335</v>
          </cell>
          <cell r="AC229">
            <v>665644</v>
          </cell>
          <cell r="AD229">
            <v>694455</v>
          </cell>
          <cell r="AE229">
            <v>672435</v>
          </cell>
          <cell r="AF229">
            <v>714057</v>
          </cell>
          <cell r="AG229">
            <v>606062</v>
          </cell>
          <cell r="AI229">
            <v>1164323</v>
          </cell>
        </row>
        <row r="230">
          <cell r="I230">
            <v>1285590</v>
          </cell>
          <cell r="J230">
            <v>1509095</v>
          </cell>
          <cell r="K230">
            <v>1662064</v>
          </cell>
          <cell r="L230">
            <v>2748352</v>
          </cell>
          <cell r="M230">
            <v>3006597</v>
          </cell>
          <cell r="N230">
            <v>3151260</v>
          </cell>
          <cell r="O230">
            <v>2631157</v>
          </cell>
          <cell r="P230">
            <v>637329</v>
          </cell>
          <cell r="Q230">
            <v>521449</v>
          </cell>
          <cell r="R230">
            <v>581662</v>
          </cell>
          <cell r="S230">
            <v>540497</v>
          </cell>
          <cell r="T230">
            <v>594071</v>
          </cell>
          <cell r="U230">
            <v>544785</v>
          </cell>
          <cell r="V230">
            <v>512354</v>
          </cell>
          <cell r="W230">
            <v>807083</v>
          </cell>
          <cell r="X230">
            <v>925761</v>
          </cell>
          <cell r="Y230">
            <v>1247022</v>
          </cell>
          <cell r="Z230">
            <v>1500182</v>
          </cell>
          <cell r="AA230">
            <v>1133187</v>
          </cell>
          <cell r="AB230">
            <v>656989</v>
          </cell>
          <cell r="AC230">
            <v>587404</v>
          </cell>
          <cell r="AD230">
            <v>541820</v>
          </cell>
          <cell r="AE230">
            <v>571638</v>
          </cell>
          <cell r="AF230">
            <v>628164</v>
          </cell>
          <cell r="AG230">
            <v>509984</v>
          </cell>
          <cell r="AI230">
            <v>1509095</v>
          </cell>
        </row>
        <row r="231">
          <cell r="I231">
            <v>671335</v>
          </cell>
          <cell r="J231">
            <v>742844</v>
          </cell>
          <cell r="K231">
            <v>771650</v>
          </cell>
          <cell r="L231">
            <v>1277239</v>
          </cell>
          <cell r="M231">
            <v>1373258</v>
          </cell>
          <cell r="N231">
            <v>1489155</v>
          </cell>
          <cell r="O231">
            <v>1300261</v>
          </cell>
          <cell r="P231">
            <v>200924</v>
          </cell>
          <cell r="Q231">
            <v>166528</v>
          </cell>
          <cell r="R231">
            <v>172765</v>
          </cell>
          <cell r="S231">
            <v>179410</v>
          </cell>
          <cell r="T231">
            <v>188900</v>
          </cell>
          <cell r="U231">
            <v>179477</v>
          </cell>
          <cell r="V231">
            <v>152314</v>
          </cell>
          <cell r="W231">
            <v>226058</v>
          </cell>
          <cell r="X231">
            <v>285472</v>
          </cell>
          <cell r="Y231">
            <v>389854</v>
          </cell>
          <cell r="Z231">
            <v>466580</v>
          </cell>
          <cell r="AA231">
            <v>345506</v>
          </cell>
          <cell r="AB231">
            <v>203759</v>
          </cell>
          <cell r="AC231">
            <v>169061</v>
          </cell>
          <cell r="AD231">
            <v>167643</v>
          </cell>
          <cell r="AE231">
            <v>179602</v>
          </cell>
          <cell r="AF231">
            <v>176876</v>
          </cell>
          <cell r="AG231">
            <v>156816</v>
          </cell>
          <cell r="AI231">
            <v>742844</v>
          </cell>
        </row>
        <row r="232">
          <cell r="I232">
            <v>1118497</v>
          </cell>
          <cell r="J232">
            <v>1242176</v>
          </cell>
          <cell r="K232">
            <v>1370721</v>
          </cell>
          <cell r="L232">
            <v>2188704</v>
          </cell>
          <cell r="M232">
            <v>2308396</v>
          </cell>
          <cell r="N232">
            <v>2628603</v>
          </cell>
          <cell r="O232">
            <v>2449012</v>
          </cell>
          <cell r="P232">
            <v>675849</v>
          </cell>
          <cell r="Q232">
            <v>549785</v>
          </cell>
          <cell r="R232">
            <v>589738</v>
          </cell>
          <cell r="S232">
            <v>585808</v>
          </cell>
          <cell r="T232">
            <v>672941</v>
          </cell>
          <cell r="U232">
            <v>581082</v>
          </cell>
          <cell r="V232">
            <v>565069</v>
          </cell>
          <cell r="W232">
            <v>759698</v>
          </cell>
          <cell r="X232">
            <v>968152</v>
          </cell>
          <cell r="Y232">
            <v>1336555</v>
          </cell>
          <cell r="Z232">
            <v>1407589</v>
          </cell>
          <cell r="AA232">
            <v>1360526</v>
          </cell>
          <cell r="AB232">
            <v>681351</v>
          </cell>
          <cell r="AC232">
            <v>583768</v>
          </cell>
          <cell r="AD232">
            <v>603785</v>
          </cell>
          <cell r="AE232">
            <v>639317</v>
          </cell>
          <cell r="AF232">
            <v>606688</v>
          </cell>
          <cell r="AG232">
            <v>551232</v>
          </cell>
          <cell r="AI232">
            <v>1242176</v>
          </cell>
        </row>
        <row r="233">
          <cell r="I233">
            <v>734353</v>
          </cell>
          <cell r="J233">
            <v>742864</v>
          </cell>
          <cell r="K233">
            <v>855099</v>
          </cell>
          <cell r="L233">
            <v>1331453</v>
          </cell>
          <cell r="M233">
            <v>1378643</v>
          </cell>
          <cell r="N233">
            <v>1575753</v>
          </cell>
          <cell r="O233">
            <v>1532758</v>
          </cell>
          <cell r="P233">
            <v>181597</v>
          </cell>
          <cell r="Q233">
            <v>164116</v>
          </cell>
          <cell r="R233">
            <v>167202</v>
          </cell>
          <cell r="S233">
            <v>174744</v>
          </cell>
          <cell r="T233">
            <v>193949</v>
          </cell>
          <cell r="U233">
            <v>179719</v>
          </cell>
          <cell r="V233">
            <v>167516</v>
          </cell>
          <cell r="W233">
            <v>188646</v>
          </cell>
          <cell r="X233">
            <v>245575</v>
          </cell>
          <cell r="Y233">
            <v>355109</v>
          </cell>
          <cell r="Z233">
            <v>400596</v>
          </cell>
          <cell r="AA233">
            <v>371582</v>
          </cell>
          <cell r="AB233">
            <v>189734</v>
          </cell>
          <cell r="AC233">
            <v>159303</v>
          </cell>
          <cell r="AD233">
            <v>165456</v>
          </cell>
          <cell r="AE233">
            <v>192755</v>
          </cell>
          <cell r="AF233">
            <v>182600</v>
          </cell>
          <cell r="AG233">
            <v>147652</v>
          </cell>
          <cell r="AI233">
            <v>742864</v>
          </cell>
        </row>
        <row r="234">
          <cell r="I234">
            <v>1257339</v>
          </cell>
          <cell r="J234">
            <v>1201636</v>
          </cell>
          <cell r="K234">
            <v>1277132</v>
          </cell>
          <cell r="L234">
            <v>2345632</v>
          </cell>
          <cell r="M234">
            <v>2372373</v>
          </cell>
          <cell r="N234">
            <v>2342256</v>
          </cell>
          <cell r="O234">
            <v>2808763</v>
          </cell>
          <cell r="P234">
            <v>701980</v>
          </cell>
          <cell r="Q234">
            <v>501000</v>
          </cell>
          <cell r="R234">
            <v>571577</v>
          </cell>
          <cell r="S234">
            <v>540695</v>
          </cell>
          <cell r="T234">
            <v>617581</v>
          </cell>
          <cell r="U234">
            <v>556959</v>
          </cell>
          <cell r="V234">
            <v>499376</v>
          </cell>
          <cell r="W234">
            <v>673708</v>
          </cell>
          <cell r="X234">
            <v>855361</v>
          </cell>
          <cell r="Y234">
            <v>1169676</v>
          </cell>
          <cell r="Z234">
            <v>1359452</v>
          </cell>
          <cell r="AA234">
            <v>1312393</v>
          </cell>
          <cell r="AB234">
            <v>684160</v>
          </cell>
          <cell r="AC234">
            <v>547174</v>
          </cell>
          <cell r="AD234">
            <v>500896</v>
          </cell>
          <cell r="AE234">
            <v>587167</v>
          </cell>
          <cell r="AF234">
            <v>607097</v>
          </cell>
          <cell r="AG234">
            <v>478882</v>
          </cell>
          <cell r="AI234">
            <v>1201636</v>
          </cell>
        </row>
        <row r="235">
          <cell r="I235">
            <v>1147159</v>
          </cell>
          <cell r="J235">
            <v>1085667</v>
          </cell>
          <cell r="K235">
            <v>1320958</v>
          </cell>
          <cell r="L235">
            <v>2452605</v>
          </cell>
          <cell r="M235">
            <v>2449001</v>
          </cell>
          <cell r="N235">
            <v>2648465</v>
          </cell>
          <cell r="O235">
            <v>2938104</v>
          </cell>
          <cell r="P235">
            <v>1127369</v>
          </cell>
          <cell r="Q235">
            <v>720929</v>
          </cell>
          <cell r="R235">
            <v>732905</v>
          </cell>
          <cell r="S235">
            <v>839916</v>
          </cell>
          <cell r="T235">
            <v>830711</v>
          </cell>
          <cell r="U235">
            <v>799463</v>
          </cell>
          <cell r="V235">
            <v>731235</v>
          </cell>
          <cell r="W235">
            <v>998633</v>
          </cell>
          <cell r="X235">
            <v>1255376</v>
          </cell>
          <cell r="Y235">
            <v>1887384</v>
          </cell>
          <cell r="Z235">
            <v>2123348</v>
          </cell>
          <cell r="AA235">
            <v>2177206</v>
          </cell>
          <cell r="AB235">
            <v>1076392</v>
          </cell>
          <cell r="AC235">
            <v>843553</v>
          </cell>
          <cell r="AD235">
            <v>764991</v>
          </cell>
          <cell r="AE235">
            <v>858862</v>
          </cell>
          <cell r="AF235">
            <v>854777</v>
          </cell>
          <cell r="AG235">
            <v>716992</v>
          </cell>
          <cell r="AI235">
            <v>1085667</v>
          </cell>
        </row>
        <row r="236">
          <cell r="I236">
            <v>1958575</v>
          </cell>
          <cell r="J236">
            <v>2045367</v>
          </cell>
          <cell r="K236">
            <v>2323682</v>
          </cell>
          <cell r="L236">
            <v>3879658</v>
          </cell>
          <cell r="M236">
            <v>4016068</v>
          </cell>
          <cell r="N236">
            <v>4158498</v>
          </cell>
          <cell r="O236">
            <v>4857819</v>
          </cell>
          <cell r="P236">
            <v>1986398</v>
          </cell>
          <cell r="Q236">
            <v>1310480</v>
          </cell>
          <cell r="R236">
            <v>1207248</v>
          </cell>
          <cell r="S236">
            <v>1450625</v>
          </cell>
          <cell r="T236">
            <v>1524384</v>
          </cell>
          <cell r="U236">
            <v>1357298</v>
          </cell>
          <cell r="V236">
            <v>1358761</v>
          </cell>
          <cell r="W236">
            <v>1666474</v>
          </cell>
          <cell r="X236">
            <v>2134563</v>
          </cell>
          <cell r="Y236">
            <v>2960603</v>
          </cell>
          <cell r="Z236">
            <v>3310612</v>
          </cell>
          <cell r="AA236">
            <v>3500156</v>
          </cell>
          <cell r="AB236">
            <v>1873009</v>
          </cell>
          <cell r="AC236">
            <v>1469007</v>
          </cell>
          <cell r="AD236">
            <v>1323049</v>
          </cell>
          <cell r="AE236">
            <v>1498896</v>
          </cell>
          <cell r="AF236">
            <v>1475919</v>
          </cell>
          <cell r="AG236">
            <v>1243016</v>
          </cell>
          <cell r="AI236">
            <v>2045367</v>
          </cell>
        </row>
        <row r="238">
          <cell r="I238">
            <v>0</v>
          </cell>
          <cell r="J238">
            <v>0</v>
          </cell>
          <cell r="K238">
            <v>0</v>
          </cell>
          <cell r="L238">
            <v>0</v>
          </cell>
          <cell r="M238">
            <v>-404</v>
          </cell>
          <cell r="N238">
            <v>0</v>
          </cell>
          <cell r="O238">
            <v>209633</v>
          </cell>
          <cell r="P238">
            <v>132279</v>
          </cell>
          <cell r="Q238">
            <v>131303</v>
          </cell>
          <cell r="R238">
            <v>134353</v>
          </cell>
          <cell r="S238">
            <v>167023</v>
          </cell>
          <cell r="T238">
            <v>137090</v>
          </cell>
          <cell r="U238">
            <v>130842</v>
          </cell>
          <cell r="V238">
            <v>171307</v>
          </cell>
          <cell r="W238">
            <v>186642</v>
          </cell>
          <cell r="X238">
            <v>257743</v>
          </cell>
          <cell r="Y238">
            <v>338154</v>
          </cell>
          <cell r="Z238">
            <v>328819</v>
          </cell>
          <cell r="AA238">
            <v>204325</v>
          </cell>
          <cell r="AB238">
            <v>144218</v>
          </cell>
          <cell r="AC238">
            <v>122328</v>
          </cell>
          <cell r="AD238">
            <v>161918</v>
          </cell>
          <cell r="AE238">
            <v>142569</v>
          </cell>
          <cell r="AF238">
            <v>128133</v>
          </cell>
          <cell r="AG238">
            <v>118228</v>
          </cell>
          <cell r="AI238">
            <v>0</v>
          </cell>
        </row>
        <row r="239">
          <cell r="I239">
            <v>0</v>
          </cell>
          <cell r="J239">
            <v>0</v>
          </cell>
          <cell r="K239">
            <v>0</v>
          </cell>
          <cell r="L239">
            <v>0</v>
          </cell>
          <cell r="M239">
            <v>0</v>
          </cell>
          <cell r="N239">
            <v>-1353</v>
          </cell>
          <cell r="O239">
            <v>803778</v>
          </cell>
          <cell r="P239">
            <v>503303</v>
          </cell>
          <cell r="Q239">
            <v>481911</v>
          </cell>
          <cell r="R239">
            <v>509198</v>
          </cell>
          <cell r="S239">
            <v>594678</v>
          </cell>
          <cell r="T239">
            <v>547319</v>
          </cell>
          <cell r="U239">
            <v>520278</v>
          </cell>
          <cell r="V239">
            <v>656027</v>
          </cell>
          <cell r="W239">
            <v>827583</v>
          </cell>
          <cell r="X239">
            <v>1071913</v>
          </cell>
          <cell r="Y239">
            <v>1313740</v>
          </cell>
          <cell r="Z239">
            <v>1333192</v>
          </cell>
          <cell r="AA239">
            <v>881053</v>
          </cell>
          <cell r="AB239">
            <v>593396</v>
          </cell>
          <cell r="AC239">
            <v>471072</v>
          </cell>
          <cell r="AD239">
            <v>615079</v>
          </cell>
          <cell r="AE239">
            <v>605100</v>
          </cell>
          <cell r="AF239">
            <v>468751</v>
          </cell>
          <cell r="AG239">
            <v>485552</v>
          </cell>
          <cell r="AI239">
            <v>0</v>
          </cell>
        </row>
        <row r="240">
          <cell r="I240">
            <v>0</v>
          </cell>
          <cell r="J240">
            <v>0</v>
          </cell>
          <cell r="K240">
            <v>0</v>
          </cell>
          <cell r="L240">
            <v>0</v>
          </cell>
          <cell r="M240">
            <v>-195</v>
          </cell>
          <cell r="N240">
            <v>-1373</v>
          </cell>
          <cell r="O240">
            <v>998674</v>
          </cell>
          <cell r="P240">
            <v>592397</v>
          </cell>
          <cell r="Q240">
            <v>588859</v>
          </cell>
          <cell r="R240">
            <v>659974</v>
          </cell>
          <cell r="S240">
            <v>697979</v>
          </cell>
          <cell r="T240">
            <v>657345</v>
          </cell>
          <cell r="U240">
            <v>605196</v>
          </cell>
          <cell r="V240">
            <v>727039</v>
          </cell>
          <cell r="W240">
            <v>991778</v>
          </cell>
          <cell r="X240">
            <v>1188482</v>
          </cell>
          <cell r="Y240">
            <v>1508441</v>
          </cell>
          <cell r="Z240">
            <v>1494803</v>
          </cell>
          <cell r="AA240">
            <v>1004000</v>
          </cell>
          <cell r="AB240">
            <v>684521</v>
          </cell>
          <cell r="AC240">
            <v>591344</v>
          </cell>
          <cell r="AD240">
            <v>716122</v>
          </cell>
          <cell r="AE240">
            <v>667548</v>
          </cell>
          <cell r="AF240">
            <v>620985</v>
          </cell>
          <cell r="AG240">
            <v>569637</v>
          </cell>
          <cell r="AI240">
            <v>0</v>
          </cell>
        </row>
        <row r="241">
          <cell r="I241">
            <v>0</v>
          </cell>
          <cell r="J241">
            <v>-1979</v>
          </cell>
          <cell r="K241">
            <v>0</v>
          </cell>
          <cell r="L241">
            <v>0</v>
          </cell>
          <cell r="M241">
            <v>0</v>
          </cell>
          <cell r="N241">
            <v>-1492</v>
          </cell>
          <cell r="O241">
            <v>1244336</v>
          </cell>
          <cell r="P241">
            <v>705916</v>
          </cell>
          <cell r="Q241">
            <v>707193</v>
          </cell>
          <cell r="R241">
            <v>776802</v>
          </cell>
          <cell r="S241">
            <v>834366</v>
          </cell>
          <cell r="T241">
            <v>854572</v>
          </cell>
          <cell r="U241">
            <v>748003</v>
          </cell>
          <cell r="V241">
            <v>835937</v>
          </cell>
          <cell r="W241">
            <v>1248060</v>
          </cell>
          <cell r="X241">
            <v>1476275</v>
          </cell>
          <cell r="Y241">
            <v>1970133</v>
          </cell>
          <cell r="Z241">
            <v>1851370</v>
          </cell>
          <cell r="AA241">
            <v>1248265</v>
          </cell>
          <cell r="AB241">
            <v>835100</v>
          </cell>
          <cell r="AC241">
            <v>743577</v>
          </cell>
          <cell r="AD241">
            <v>863903</v>
          </cell>
          <cell r="AE241">
            <v>791955</v>
          </cell>
          <cell r="AF241">
            <v>747098</v>
          </cell>
          <cell r="AG241">
            <v>712571</v>
          </cell>
          <cell r="AI241">
            <v>-1979</v>
          </cell>
        </row>
        <row r="242">
          <cell r="I242">
            <v>0</v>
          </cell>
          <cell r="J242">
            <v>0</v>
          </cell>
          <cell r="K242">
            <v>0</v>
          </cell>
          <cell r="L242">
            <v>0</v>
          </cell>
          <cell r="M242">
            <v>0</v>
          </cell>
          <cell r="N242">
            <v>0</v>
          </cell>
          <cell r="O242">
            <v>483629</v>
          </cell>
          <cell r="P242">
            <v>286728</v>
          </cell>
          <cell r="Q242">
            <v>289906</v>
          </cell>
          <cell r="R242">
            <v>326341</v>
          </cell>
          <cell r="S242">
            <v>344701</v>
          </cell>
          <cell r="T242">
            <v>327827</v>
          </cell>
          <cell r="U242">
            <v>307067</v>
          </cell>
          <cell r="V242">
            <v>342634</v>
          </cell>
          <cell r="W242">
            <v>495271</v>
          </cell>
          <cell r="X242">
            <v>554729</v>
          </cell>
          <cell r="Y242">
            <v>692389</v>
          </cell>
          <cell r="Z242">
            <v>778146</v>
          </cell>
          <cell r="AA242">
            <v>513869</v>
          </cell>
          <cell r="AB242">
            <v>312656</v>
          </cell>
          <cell r="AC242">
            <v>311013</v>
          </cell>
          <cell r="AD242">
            <v>372463</v>
          </cell>
          <cell r="AE242">
            <v>336494</v>
          </cell>
          <cell r="AF242">
            <v>318771</v>
          </cell>
          <cell r="AG242">
            <v>277631</v>
          </cell>
          <cell r="AI242">
            <v>0</v>
          </cell>
        </row>
        <row r="243">
          <cell r="I243">
            <v>0</v>
          </cell>
          <cell r="J243">
            <v>0</v>
          </cell>
          <cell r="K243">
            <v>0</v>
          </cell>
          <cell r="L243">
            <v>0</v>
          </cell>
          <cell r="M243">
            <v>0</v>
          </cell>
          <cell r="N243">
            <v>-14</v>
          </cell>
          <cell r="O243">
            <v>1124880</v>
          </cell>
          <cell r="P243">
            <v>683277</v>
          </cell>
          <cell r="Q243">
            <v>661011</v>
          </cell>
          <cell r="R243">
            <v>735148</v>
          </cell>
          <cell r="S243">
            <v>800367</v>
          </cell>
          <cell r="T243">
            <v>810577</v>
          </cell>
          <cell r="U243">
            <v>695938</v>
          </cell>
          <cell r="V243">
            <v>740657</v>
          </cell>
          <cell r="W243">
            <v>1100162</v>
          </cell>
          <cell r="X243">
            <v>1291649</v>
          </cell>
          <cell r="Y243">
            <v>1668965</v>
          </cell>
          <cell r="Z243">
            <v>1748177</v>
          </cell>
          <cell r="AA243">
            <v>1224185</v>
          </cell>
          <cell r="AB243">
            <v>743224</v>
          </cell>
          <cell r="AC243">
            <v>657769</v>
          </cell>
          <cell r="AD243">
            <v>848856</v>
          </cell>
          <cell r="AE243">
            <v>775547</v>
          </cell>
          <cell r="AF243">
            <v>727551</v>
          </cell>
          <cell r="AG243">
            <v>637911</v>
          </cell>
          <cell r="AI243">
            <v>0</v>
          </cell>
        </row>
        <row r="244">
          <cell r="I244">
            <v>0</v>
          </cell>
          <cell r="J244">
            <v>0</v>
          </cell>
          <cell r="K244">
            <v>0</v>
          </cell>
          <cell r="L244">
            <v>0</v>
          </cell>
          <cell r="M244">
            <v>-2830</v>
          </cell>
          <cell r="N244">
            <v>0</v>
          </cell>
          <cell r="O244">
            <v>1665636</v>
          </cell>
          <cell r="P244">
            <v>1018243</v>
          </cell>
          <cell r="Q244">
            <v>909469</v>
          </cell>
          <cell r="R244">
            <v>1028572</v>
          </cell>
          <cell r="S244">
            <v>1049545</v>
          </cell>
          <cell r="T244">
            <v>1147036</v>
          </cell>
          <cell r="U244">
            <v>925282</v>
          </cell>
          <cell r="V244">
            <v>1008736</v>
          </cell>
          <cell r="W244">
            <v>1723836</v>
          </cell>
          <cell r="X244">
            <v>1874176</v>
          </cell>
          <cell r="Y244">
            <v>2467096</v>
          </cell>
          <cell r="Z244">
            <v>2654869</v>
          </cell>
          <cell r="AA244">
            <v>1909572</v>
          </cell>
          <cell r="AB244">
            <v>1102564</v>
          </cell>
          <cell r="AC244">
            <v>964900</v>
          </cell>
          <cell r="AD244">
            <v>1086431</v>
          </cell>
          <cell r="AE244">
            <v>1052381</v>
          </cell>
          <cell r="AF244">
            <v>1003492</v>
          </cell>
          <cell r="AG244">
            <v>915420</v>
          </cell>
          <cell r="AI244">
            <v>0</v>
          </cell>
        </row>
        <row r="245">
          <cell r="I245">
            <v>0</v>
          </cell>
          <cell r="J245">
            <v>0</v>
          </cell>
          <cell r="K245">
            <v>0</v>
          </cell>
          <cell r="L245">
            <v>0</v>
          </cell>
          <cell r="M245">
            <v>0</v>
          </cell>
          <cell r="N245">
            <v>-3402</v>
          </cell>
          <cell r="O245">
            <v>581796</v>
          </cell>
          <cell r="P245">
            <v>513974</v>
          </cell>
          <cell r="Q245">
            <v>502267</v>
          </cell>
          <cell r="R245">
            <v>539853</v>
          </cell>
          <cell r="S245">
            <v>561560</v>
          </cell>
          <cell r="T245">
            <v>608768</v>
          </cell>
          <cell r="U245">
            <v>509735</v>
          </cell>
          <cell r="V245">
            <v>545485</v>
          </cell>
          <cell r="W245">
            <v>830535</v>
          </cell>
          <cell r="X245">
            <v>931934</v>
          </cell>
          <cell r="Y245">
            <v>1215789</v>
          </cell>
          <cell r="Z245">
            <v>1408111</v>
          </cell>
          <cell r="AA245">
            <v>945975</v>
          </cell>
          <cell r="AB245">
            <v>607068</v>
          </cell>
          <cell r="AC245">
            <v>530191</v>
          </cell>
          <cell r="AD245">
            <v>577271</v>
          </cell>
          <cell r="AE245">
            <v>562609</v>
          </cell>
          <cell r="AF245">
            <v>573381</v>
          </cell>
          <cell r="AG245">
            <v>474704</v>
          </cell>
          <cell r="AI245">
            <v>0</v>
          </cell>
        </row>
        <row r="246">
          <cell r="I246">
            <v>0</v>
          </cell>
          <cell r="J246">
            <v>0</v>
          </cell>
          <cell r="K246">
            <v>0</v>
          </cell>
          <cell r="L246">
            <v>0</v>
          </cell>
          <cell r="M246">
            <v>0</v>
          </cell>
          <cell r="N246">
            <v>0</v>
          </cell>
          <cell r="O246">
            <v>154734</v>
          </cell>
          <cell r="P246">
            <v>159447</v>
          </cell>
          <cell r="Q246">
            <v>138055</v>
          </cell>
          <cell r="R246">
            <v>139775</v>
          </cell>
          <cell r="S246">
            <v>147450</v>
          </cell>
          <cell r="T246">
            <v>161349</v>
          </cell>
          <cell r="U246">
            <v>142278</v>
          </cell>
          <cell r="V246">
            <v>143256</v>
          </cell>
          <cell r="W246">
            <v>241660</v>
          </cell>
          <cell r="X246">
            <v>287703</v>
          </cell>
          <cell r="Y246">
            <v>373956</v>
          </cell>
          <cell r="Z246">
            <v>441581</v>
          </cell>
          <cell r="AA246">
            <v>298179</v>
          </cell>
          <cell r="AB246">
            <v>178625</v>
          </cell>
          <cell r="AC246">
            <v>141587</v>
          </cell>
          <cell r="AD246">
            <v>152533</v>
          </cell>
          <cell r="AE246">
            <v>152153</v>
          </cell>
          <cell r="AF246">
            <v>157532</v>
          </cell>
          <cell r="AG246">
            <v>128205</v>
          </cell>
          <cell r="AI246">
            <v>0</v>
          </cell>
        </row>
        <row r="247">
          <cell r="I247">
            <v>0</v>
          </cell>
          <cell r="J247">
            <v>0</v>
          </cell>
          <cell r="K247">
            <v>0</v>
          </cell>
          <cell r="L247">
            <v>-1163</v>
          </cell>
          <cell r="M247">
            <v>0</v>
          </cell>
          <cell r="N247">
            <v>8</v>
          </cell>
          <cell r="O247">
            <v>186</v>
          </cell>
          <cell r="P247">
            <v>900948</v>
          </cell>
          <cell r="Q247">
            <v>690718</v>
          </cell>
          <cell r="R247">
            <v>779693</v>
          </cell>
          <cell r="S247">
            <v>795600</v>
          </cell>
          <cell r="T247">
            <v>822699</v>
          </cell>
          <cell r="U247">
            <v>771305</v>
          </cell>
          <cell r="V247">
            <v>724234</v>
          </cell>
          <cell r="W247">
            <v>1271090</v>
          </cell>
          <cell r="X247">
            <v>1523616</v>
          </cell>
          <cell r="Y247">
            <v>2024316</v>
          </cell>
          <cell r="Z247">
            <v>2127418</v>
          </cell>
          <cell r="AA247">
            <v>1620248</v>
          </cell>
          <cell r="AB247">
            <v>927628</v>
          </cell>
          <cell r="AC247">
            <v>760970</v>
          </cell>
          <cell r="AD247">
            <v>835909</v>
          </cell>
          <cell r="AE247">
            <v>778756</v>
          </cell>
          <cell r="AF247">
            <v>790631</v>
          </cell>
          <cell r="AG247">
            <v>682962</v>
          </cell>
          <cell r="AI247">
            <v>0</v>
          </cell>
        </row>
        <row r="248">
          <cell r="I248">
            <v>0</v>
          </cell>
          <cell r="J248">
            <v>0</v>
          </cell>
          <cell r="K248">
            <v>0</v>
          </cell>
          <cell r="L248">
            <v>0</v>
          </cell>
          <cell r="M248">
            <v>0</v>
          </cell>
          <cell r="N248">
            <v>-942</v>
          </cell>
          <cell r="O248">
            <v>2402</v>
          </cell>
          <cell r="P248">
            <v>1072278</v>
          </cell>
          <cell r="Q248">
            <v>874411</v>
          </cell>
          <cell r="R248">
            <v>906646</v>
          </cell>
          <cell r="S248">
            <v>845397</v>
          </cell>
          <cell r="T248">
            <v>1050930</v>
          </cell>
          <cell r="U248">
            <v>886520</v>
          </cell>
          <cell r="V248">
            <v>866384</v>
          </cell>
          <cell r="W248">
            <v>1446697</v>
          </cell>
          <cell r="X248">
            <v>1691371</v>
          </cell>
          <cell r="Y248">
            <v>2337802</v>
          </cell>
          <cell r="Z248">
            <v>2523007</v>
          </cell>
          <cell r="AA248">
            <v>1890485</v>
          </cell>
          <cell r="AB248">
            <v>1112368</v>
          </cell>
          <cell r="AC248">
            <v>886223</v>
          </cell>
          <cell r="AD248">
            <v>957786</v>
          </cell>
          <cell r="AE248">
            <v>986788</v>
          </cell>
          <cell r="AF248">
            <v>916866</v>
          </cell>
          <cell r="AG248">
            <v>852011</v>
          </cell>
          <cell r="AI248">
            <v>0</v>
          </cell>
        </row>
        <row r="249">
          <cell r="I249">
            <v>0</v>
          </cell>
          <cell r="J249">
            <v>0</v>
          </cell>
          <cell r="K249">
            <v>0</v>
          </cell>
          <cell r="L249">
            <v>-11</v>
          </cell>
          <cell r="M249">
            <v>22</v>
          </cell>
          <cell r="N249">
            <v>0</v>
          </cell>
          <cell r="O249">
            <v>531</v>
          </cell>
          <cell r="P249">
            <v>483025</v>
          </cell>
          <cell r="Q249">
            <v>378885</v>
          </cell>
          <cell r="R249">
            <v>403581</v>
          </cell>
          <cell r="S249">
            <v>416523</v>
          </cell>
          <cell r="T249">
            <v>431265</v>
          </cell>
          <cell r="U249">
            <v>392214</v>
          </cell>
          <cell r="V249">
            <v>396809</v>
          </cell>
          <cell r="W249">
            <v>600579</v>
          </cell>
          <cell r="X249">
            <v>710612</v>
          </cell>
          <cell r="Y249">
            <v>983503</v>
          </cell>
          <cell r="Z249">
            <v>1169821</v>
          </cell>
          <cell r="AA249">
            <v>778324</v>
          </cell>
          <cell r="AB249">
            <v>493481</v>
          </cell>
          <cell r="AC249">
            <v>405142</v>
          </cell>
          <cell r="AD249">
            <v>419560</v>
          </cell>
          <cell r="AE249">
            <v>424662</v>
          </cell>
          <cell r="AF249">
            <v>404581</v>
          </cell>
          <cell r="AG249">
            <v>358744</v>
          </cell>
          <cell r="AI249">
            <v>0</v>
          </cell>
        </row>
        <row r="250">
          <cell r="I250">
            <v>0</v>
          </cell>
          <cell r="J250">
            <v>0</v>
          </cell>
          <cell r="K250">
            <v>0</v>
          </cell>
          <cell r="L250">
            <v>0</v>
          </cell>
          <cell r="M250">
            <v>0</v>
          </cell>
          <cell r="N250">
            <v>-823</v>
          </cell>
          <cell r="O250">
            <v>1132</v>
          </cell>
          <cell r="P250">
            <v>455976</v>
          </cell>
          <cell r="Q250">
            <v>422243</v>
          </cell>
          <cell r="R250">
            <v>401800</v>
          </cell>
          <cell r="S250">
            <v>396140</v>
          </cell>
          <cell r="T250">
            <v>447110</v>
          </cell>
          <cell r="U250">
            <v>391814</v>
          </cell>
          <cell r="V250">
            <v>394980</v>
          </cell>
          <cell r="W250">
            <v>588653</v>
          </cell>
          <cell r="X250">
            <v>697330</v>
          </cell>
          <cell r="Y250">
            <v>919330</v>
          </cell>
          <cell r="Z250">
            <v>1088506</v>
          </cell>
          <cell r="AA250">
            <v>730587</v>
          </cell>
          <cell r="AB250">
            <v>493012</v>
          </cell>
          <cell r="AC250">
            <v>383769</v>
          </cell>
          <cell r="AD250">
            <v>400794</v>
          </cell>
          <cell r="AE250">
            <v>409650</v>
          </cell>
          <cell r="AF250">
            <v>393088</v>
          </cell>
          <cell r="AG250">
            <v>355904</v>
          </cell>
          <cell r="AI250">
            <v>0</v>
          </cell>
        </row>
        <row r="251">
          <cell r="I251">
            <v>0</v>
          </cell>
          <cell r="J251">
            <v>0</v>
          </cell>
          <cell r="K251">
            <v>0</v>
          </cell>
          <cell r="L251">
            <v>0</v>
          </cell>
          <cell r="M251">
            <v>0</v>
          </cell>
          <cell r="N251">
            <v>38</v>
          </cell>
          <cell r="O251">
            <v>0</v>
          </cell>
          <cell r="P251">
            <v>865781</v>
          </cell>
          <cell r="Q251">
            <v>720267</v>
          </cell>
          <cell r="R251">
            <v>776581</v>
          </cell>
          <cell r="S251">
            <v>722006</v>
          </cell>
          <cell r="T251">
            <v>787999</v>
          </cell>
          <cell r="U251">
            <v>738616</v>
          </cell>
          <cell r="V251">
            <v>668770</v>
          </cell>
          <cell r="W251">
            <v>1137339</v>
          </cell>
          <cell r="X251">
            <v>1379993</v>
          </cell>
          <cell r="Y251">
            <v>1886364</v>
          </cell>
          <cell r="Z251">
            <v>2170827</v>
          </cell>
          <cell r="AA251">
            <v>1688725</v>
          </cell>
          <cell r="AB251">
            <v>938500</v>
          </cell>
          <cell r="AC251">
            <v>818107</v>
          </cell>
          <cell r="AD251">
            <v>748951</v>
          </cell>
          <cell r="AE251">
            <v>773452</v>
          </cell>
          <cell r="AF251">
            <v>789824</v>
          </cell>
          <cell r="AG251">
            <v>684132</v>
          </cell>
          <cell r="AI251">
            <v>0</v>
          </cell>
        </row>
        <row r="252">
          <cell r="I252">
            <v>0</v>
          </cell>
          <cell r="J252">
            <v>0</v>
          </cell>
          <cell r="K252">
            <v>0</v>
          </cell>
          <cell r="L252">
            <v>0</v>
          </cell>
          <cell r="M252">
            <v>-1</v>
          </cell>
          <cell r="N252">
            <v>-890</v>
          </cell>
          <cell r="O252">
            <v>561</v>
          </cell>
          <cell r="P252">
            <v>550470</v>
          </cell>
          <cell r="Q252">
            <v>460406</v>
          </cell>
          <cell r="R252">
            <v>496786</v>
          </cell>
          <cell r="S252">
            <v>505756</v>
          </cell>
          <cell r="T252">
            <v>514854</v>
          </cell>
          <cell r="U252">
            <v>517004</v>
          </cell>
          <cell r="V252">
            <v>435360</v>
          </cell>
          <cell r="W252">
            <v>634854</v>
          </cell>
          <cell r="X252">
            <v>810370</v>
          </cell>
          <cell r="Y252">
            <v>1063144</v>
          </cell>
          <cell r="Z252">
            <v>1271552</v>
          </cell>
          <cell r="AA252">
            <v>943795</v>
          </cell>
          <cell r="AB252">
            <v>588207</v>
          </cell>
          <cell r="AC252">
            <v>493896</v>
          </cell>
          <cell r="AD252">
            <v>501953</v>
          </cell>
          <cell r="AE252">
            <v>532526</v>
          </cell>
          <cell r="AF252">
            <v>527901</v>
          </cell>
          <cell r="AG252">
            <v>455624</v>
          </cell>
          <cell r="AI252">
            <v>0</v>
          </cell>
        </row>
        <row r="253">
          <cell r="I253">
            <v>0</v>
          </cell>
          <cell r="J253">
            <v>0</v>
          </cell>
          <cell r="K253">
            <v>0</v>
          </cell>
          <cell r="L253">
            <v>0</v>
          </cell>
          <cell r="M253">
            <v>-799</v>
          </cell>
          <cell r="N253">
            <v>0</v>
          </cell>
          <cell r="O253">
            <v>2472</v>
          </cell>
          <cell r="P253">
            <v>649995</v>
          </cell>
          <cell r="Q253">
            <v>523254</v>
          </cell>
          <cell r="R253">
            <v>560249</v>
          </cell>
          <cell r="S253">
            <v>566867</v>
          </cell>
          <cell r="T253">
            <v>605919</v>
          </cell>
          <cell r="U253">
            <v>564094</v>
          </cell>
          <cell r="V253">
            <v>538194</v>
          </cell>
          <cell r="W253">
            <v>729078</v>
          </cell>
          <cell r="X253">
            <v>949347</v>
          </cell>
          <cell r="Y253">
            <v>1278292</v>
          </cell>
          <cell r="Z253">
            <v>1435009</v>
          </cell>
          <cell r="AA253">
            <v>1254071</v>
          </cell>
          <cell r="AB253">
            <v>710157</v>
          </cell>
          <cell r="AC253">
            <v>586552</v>
          </cell>
          <cell r="AD253">
            <v>580217</v>
          </cell>
          <cell r="AE253">
            <v>625860</v>
          </cell>
          <cell r="AF253">
            <v>611319</v>
          </cell>
          <cell r="AG253">
            <v>513989</v>
          </cell>
          <cell r="AI253">
            <v>0</v>
          </cell>
        </row>
        <row r="254">
          <cell r="I254">
            <v>0</v>
          </cell>
          <cell r="J254">
            <v>0</v>
          </cell>
          <cell r="K254">
            <v>0</v>
          </cell>
          <cell r="L254">
            <v>0</v>
          </cell>
          <cell r="M254">
            <v>-5897</v>
          </cell>
          <cell r="N254">
            <v>-3375</v>
          </cell>
          <cell r="O254">
            <v>-1229</v>
          </cell>
          <cell r="P254">
            <v>624745</v>
          </cell>
          <cell r="Q254">
            <v>517452</v>
          </cell>
          <cell r="R254">
            <v>524695</v>
          </cell>
          <cell r="S254">
            <v>534446</v>
          </cell>
          <cell r="T254">
            <v>617033</v>
          </cell>
          <cell r="U254">
            <v>494797</v>
          </cell>
          <cell r="V254">
            <v>526894</v>
          </cell>
          <cell r="W254">
            <v>685500</v>
          </cell>
          <cell r="X254">
            <v>872529</v>
          </cell>
          <cell r="Y254">
            <v>1191667</v>
          </cell>
          <cell r="Z254">
            <v>1336228</v>
          </cell>
          <cell r="AA254">
            <v>1264505</v>
          </cell>
          <cell r="AB254">
            <v>667833</v>
          </cell>
          <cell r="AC254">
            <v>584662</v>
          </cell>
          <cell r="AD254">
            <v>509606</v>
          </cell>
          <cell r="AE254">
            <v>601733</v>
          </cell>
          <cell r="AF254">
            <v>589553</v>
          </cell>
          <cell r="AG254">
            <v>490864</v>
          </cell>
          <cell r="AI254">
            <v>0</v>
          </cell>
        </row>
        <row r="255">
          <cell r="I255">
            <v>0</v>
          </cell>
          <cell r="J255">
            <v>58</v>
          </cell>
          <cell r="K255">
            <v>62</v>
          </cell>
          <cell r="L255">
            <v>72</v>
          </cell>
          <cell r="M255">
            <v>0</v>
          </cell>
          <cell r="N255">
            <v>0</v>
          </cell>
          <cell r="O255">
            <v>-3061</v>
          </cell>
          <cell r="P255">
            <v>819928</v>
          </cell>
          <cell r="Q255">
            <v>610156</v>
          </cell>
          <cell r="R255">
            <v>667943</v>
          </cell>
          <cell r="S255">
            <v>662160</v>
          </cell>
          <cell r="T255">
            <v>720061</v>
          </cell>
          <cell r="U255">
            <v>704140</v>
          </cell>
          <cell r="V255">
            <v>633068</v>
          </cell>
          <cell r="W255">
            <v>812041</v>
          </cell>
          <cell r="X255">
            <v>1022334</v>
          </cell>
          <cell r="Y255">
            <v>1367148</v>
          </cell>
          <cell r="Z255">
            <v>1527867</v>
          </cell>
          <cell r="AA255">
            <v>1538871</v>
          </cell>
          <cell r="AB255">
            <v>859542</v>
          </cell>
          <cell r="AC255">
            <v>704517</v>
          </cell>
          <cell r="AD255">
            <v>640672</v>
          </cell>
          <cell r="AE255">
            <v>715600</v>
          </cell>
          <cell r="AF255">
            <v>711172</v>
          </cell>
          <cell r="AG255">
            <v>599263</v>
          </cell>
          <cell r="AI255">
            <v>58</v>
          </cell>
        </row>
        <row r="256">
          <cell r="I256">
            <v>0</v>
          </cell>
          <cell r="J256">
            <v>0</v>
          </cell>
          <cell r="K256">
            <v>0</v>
          </cell>
          <cell r="L256">
            <v>-735</v>
          </cell>
          <cell r="M256">
            <v>0</v>
          </cell>
          <cell r="N256">
            <v>-2965</v>
          </cell>
          <cell r="O256">
            <v>1053</v>
          </cell>
          <cell r="P256">
            <v>474252</v>
          </cell>
          <cell r="Q256">
            <v>355399</v>
          </cell>
          <cell r="R256">
            <v>328402</v>
          </cell>
          <cell r="S256">
            <v>392072</v>
          </cell>
          <cell r="T256">
            <v>361954</v>
          </cell>
          <cell r="U256">
            <v>351859</v>
          </cell>
          <cell r="V256">
            <v>380927</v>
          </cell>
          <cell r="W256">
            <v>466181</v>
          </cell>
          <cell r="X256">
            <v>602766</v>
          </cell>
          <cell r="Y256">
            <v>858539</v>
          </cell>
          <cell r="Z256">
            <v>940509</v>
          </cell>
          <cell r="AA256">
            <v>957121</v>
          </cell>
          <cell r="AB256">
            <v>502410</v>
          </cell>
          <cell r="AC256">
            <v>407644</v>
          </cell>
          <cell r="AD256">
            <v>319207</v>
          </cell>
          <cell r="AE256">
            <v>401607</v>
          </cell>
          <cell r="AF256">
            <v>364442</v>
          </cell>
          <cell r="AG256">
            <v>330811</v>
          </cell>
          <cell r="AI256">
            <v>0</v>
          </cell>
        </row>
        <row r="257">
          <cell r="I257">
            <v>0</v>
          </cell>
          <cell r="J257">
            <v>0</v>
          </cell>
          <cell r="K257">
            <v>0</v>
          </cell>
          <cell r="L257">
            <v>0</v>
          </cell>
          <cell r="M257">
            <v>0</v>
          </cell>
          <cell r="N257">
            <v>-1001</v>
          </cell>
          <cell r="O257">
            <v>-3621</v>
          </cell>
          <cell r="P257">
            <v>862146</v>
          </cell>
          <cell r="Q257">
            <v>600578</v>
          </cell>
          <cell r="R257">
            <v>593373</v>
          </cell>
          <cell r="S257">
            <v>640785</v>
          </cell>
          <cell r="T257">
            <v>692655</v>
          </cell>
          <cell r="U257">
            <v>604392</v>
          </cell>
          <cell r="V257">
            <v>629634</v>
          </cell>
          <cell r="W257">
            <v>766187</v>
          </cell>
          <cell r="X257">
            <v>946872</v>
          </cell>
          <cell r="Y257">
            <v>1286453</v>
          </cell>
          <cell r="Z257">
            <v>1570847</v>
          </cell>
          <cell r="AA257">
            <v>1626408</v>
          </cell>
          <cell r="AB257">
            <v>868804</v>
          </cell>
          <cell r="AC257">
            <v>662860</v>
          </cell>
          <cell r="AD257">
            <v>655734</v>
          </cell>
          <cell r="AE257">
            <v>689509</v>
          </cell>
          <cell r="AF257">
            <v>684737</v>
          </cell>
          <cell r="AG257">
            <v>601315</v>
          </cell>
          <cell r="AI257">
            <v>0</v>
          </cell>
        </row>
        <row r="259">
          <cell r="I259">
            <v>0</v>
          </cell>
          <cell r="J259">
            <v>194</v>
          </cell>
          <cell r="K259">
            <v>119</v>
          </cell>
          <cell r="L259">
            <v>0</v>
          </cell>
          <cell r="M259">
            <v>0</v>
          </cell>
          <cell r="N259">
            <v>0</v>
          </cell>
          <cell r="O259">
            <v>77714</v>
          </cell>
          <cell r="P259">
            <v>69711</v>
          </cell>
          <cell r="Q259">
            <v>66493</v>
          </cell>
          <cell r="R259">
            <v>76524</v>
          </cell>
          <cell r="S259">
            <v>80197</v>
          </cell>
          <cell r="T259">
            <v>68129</v>
          </cell>
          <cell r="U259">
            <v>76488</v>
          </cell>
          <cell r="V259">
            <v>78491</v>
          </cell>
          <cell r="W259">
            <v>75517</v>
          </cell>
          <cell r="X259">
            <v>91182</v>
          </cell>
          <cell r="Y259">
            <v>105116</v>
          </cell>
          <cell r="Z259">
            <v>106091</v>
          </cell>
          <cell r="AA259">
            <v>86879</v>
          </cell>
          <cell r="AB259">
            <v>70136</v>
          </cell>
          <cell r="AC259">
            <v>76377</v>
          </cell>
          <cell r="AD259">
            <v>88400</v>
          </cell>
          <cell r="AE259">
            <v>82810</v>
          </cell>
          <cell r="AF259">
            <v>71952</v>
          </cell>
          <cell r="AG259">
            <v>76009</v>
          </cell>
          <cell r="AI259">
            <v>194</v>
          </cell>
        </row>
        <row r="260">
          <cell r="I260">
            <v>0</v>
          </cell>
          <cell r="J260">
            <v>0</v>
          </cell>
          <cell r="K260">
            <v>0</v>
          </cell>
          <cell r="L260">
            <v>0</v>
          </cell>
          <cell r="M260">
            <v>0</v>
          </cell>
          <cell r="N260">
            <v>-60</v>
          </cell>
          <cell r="O260">
            <v>39660</v>
          </cell>
          <cell r="P260">
            <v>42301</v>
          </cell>
          <cell r="Q260">
            <v>43489</v>
          </cell>
          <cell r="R260">
            <v>45711</v>
          </cell>
          <cell r="S260">
            <v>52705</v>
          </cell>
          <cell r="T260">
            <v>47301</v>
          </cell>
          <cell r="U260">
            <v>45069</v>
          </cell>
          <cell r="V260">
            <v>42541</v>
          </cell>
          <cell r="W260">
            <v>46258</v>
          </cell>
          <cell r="X260">
            <v>48500</v>
          </cell>
          <cell r="Y260">
            <v>62192</v>
          </cell>
          <cell r="Z260">
            <v>65566</v>
          </cell>
          <cell r="AA260">
            <v>48905</v>
          </cell>
          <cell r="AB260">
            <v>42449</v>
          </cell>
          <cell r="AC260">
            <v>44985</v>
          </cell>
          <cell r="AD260">
            <v>53117</v>
          </cell>
          <cell r="AE260">
            <v>45908</v>
          </cell>
          <cell r="AF260">
            <v>52256</v>
          </cell>
          <cell r="AG260">
            <v>42221</v>
          </cell>
          <cell r="AI260">
            <v>0</v>
          </cell>
        </row>
        <row r="261">
          <cell r="I261">
            <v>0</v>
          </cell>
          <cell r="J261">
            <v>0</v>
          </cell>
          <cell r="K261">
            <v>0</v>
          </cell>
          <cell r="L261">
            <v>0</v>
          </cell>
          <cell r="M261">
            <v>0</v>
          </cell>
          <cell r="N261">
            <v>-51</v>
          </cell>
          <cell r="O261">
            <v>293396</v>
          </cell>
          <cell r="P261">
            <v>258024</v>
          </cell>
          <cell r="Q261">
            <v>295214</v>
          </cell>
          <cell r="R261">
            <v>282790</v>
          </cell>
          <cell r="S261">
            <v>264545</v>
          </cell>
          <cell r="T261">
            <v>275765</v>
          </cell>
          <cell r="U261">
            <v>247762</v>
          </cell>
          <cell r="V261">
            <v>281274</v>
          </cell>
          <cell r="W261">
            <v>273435</v>
          </cell>
          <cell r="X261">
            <v>280373</v>
          </cell>
          <cell r="Y261">
            <v>319308</v>
          </cell>
          <cell r="Z261">
            <v>299466</v>
          </cell>
          <cell r="AA261">
            <v>273387</v>
          </cell>
          <cell r="AB261">
            <v>249883</v>
          </cell>
          <cell r="AC261">
            <v>243573</v>
          </cell>
          <cell r="AD261">
            <v>268024</v>
          </cell>
          <cell r="AE261">
            <v>258762</v>
          </cell>
          <cell r="AF261">
            <v>261501</v>
          </cell>
          <cell r="AG261">
            <v>220337</v>
          </cell>
          <cell r="AI261">
            <v>0</v>
          </cell>
        </row>
        <row r="262">
          <cell r="I262">
            <v>0</v>
          </cell>
          <cell r="J262">
            <v>0</v>
          </cell>
          <cell r="K262">
            <v>0</v>
          </cell>
          <cell r="L262">
            <v>0</v>
          </cell>
          <cell r="M262">
            <v>-36</v>
          </cell>
          <cell r="N262">
            <v>0</v>
          </cell>
          <cell r="O262">
            <v>84277</v>
          </cell>
          <cell r="P262">
            <v>64302</v>
          </cell>
          <cell r="Q262">
            <v>71610</v>
          </cell>
          <cell r="R262">
            <v>89484</v>
          </cell>
          <cell r="S262">
            <v>89314</v>
          </cell>
          <cell r="T262">
            <v>89918</v>
          </cell>
          <cell r="U262">
            <v>69367</v>
          </cell>
          <cell r="V262">
            <v>78335</v>
          </cell>
          <cell r="W262">
            <v>86227</v>
          </cell>
          <cell r="X262">
            <v>91630</v>
          </cell>
          <cell r="Y262">
            <v>124079</v>
          </cell>
          <cell r="Z262">
            <v>112158</v>
          </cell>
          <cell r="AA262">
            <v>85570</v>
          </cell>
          <cell r="AB262">
            <v>77984</v>
          </cell>
          <cell r="AC262">
            <v>67166</v>
          </cell>
          <cell r="AD262">
            <v>78231</v>
          </cell>
          <cell r="AE262">
            <v>70001</v>
          </cell>
          <cell r="AF262">
            <v>77463</v>
          </cell>
          <cell r="AG262">
            <v>72847</v>
          </cell>
          <cell r="AI262">
            <v>0</v>
          </cell>
        </row>
        <row r="263">
          <cell r="I263">
            <v>0</v>
          </cell>
          <cell r="J263">
            <v>0</v>
          </cell>
          <cell r="K263">
            <v>0</v>
          </cell>
          <cell r="L263">
            <v>0</v>
          </cell>
          <cell r="M263">
            <v>0</v>
          </cell>
          <cell r="N263">
            <v>-556</v>
          </cell>
          <cell r="O263">
            <v>129774</v>
          </cell>
          <cell r="P263">
            <v>92861</v>
          </cell>
          <cell r="Q263">
            <v>98770</v>
          </cell>
          <cell r="R263">
            <v>120489</v>
          </cell>
          <cell r="S263">
            <v>99311</v>
          </cell>
          <cell r="T263">
            <v>102477</v>
          </cell>
          <cell r="U263">
            <v>108316</v>
          </cell>
          <cell r="V263">
            <v>98166</v>
          </cell>
          <cell r="W263">
            <v>110807</v>
          </cell>
          <cell r="X263">
            <v>130929</v>
          </cell>
          <cell r="Y263">
            <v>159672</v>
          </cell>
          <cell r="Z263">
            <v>167660</v>
          </cell>
          <cell r="AA263">
            <v>116181</v>
          </cell>
          <cell r="AB263">
            <v>87650</v>
          </cell>
          <cell r="AC263">
            <v>101576</v>
          </cell>
          <cell r="AD263">
            <v>106197</v>
          </cell>
          <cell r="AE263">
            <v>99519</v>
          </cell>
          <cell r="AF263">
            <v>101522</v>
          </cell>
          <cell r="AG263">
            <v>101747</v>
          </cell>
          <cell r="AI263">
            <v>0</v>
          </cell>
        </row>
        <row r="264">
          <cell r="I264">
            <v>0</v>
          </cell>
          <cell r="J264">
            <v>0</v>
          </cell>
          <cell r="K264">
            <v>0</v>
          </cell>
          <cell r="L264">
            <v>0</v>
          </cell>
          <cell r="M264">
            <v>0</v>
          </cell>
          <cell r="N264">
            <v>0</v>
          </cell>
          <cell r="O264">
            <v>255691</v>
          </cell>
          <cell r="P264">
            <v>190037</v>
          </cell>
          <cell r="Q264">
            <v>225200</v>
          </cell>
          <cell r="R264">
            <v>225200</v>
          </cell>
          <cell r="S264">
            <v>238967</v>
          </cell>
          <cell r="T264">
            <v>235696</v>
          </cell>
          <cell r="U264">
            <v>255104</v>
          </cell>
          <cell r="V264">
            <v>207773</v>
          </cell>
          <cell r="W264">
            <v>271330</v>
          </cell>
          <cell r="X264">
            <v>311315</v>
          </cell>
          <cell r="Y264">
            <v>362489</v>
          </cell>
          <cell r="Z264">
            <v>382346</v>
          </cell>
          <cell r="AA264">
            <v>269504</v>
          </cell>
          <cell r="AB264">
            <v>221884</v>
          </cell>
          <cell r="AC264">
            <v>227903</v>
          </cell>
          <cell r="AD264">
            <v>274642</v>
          </cell>
          <cell r="AE264">
            <v>254349</v>
          </cell>
          <cell r="AF264">
            <v>249004</v>
          </cell>
          <cell r="AG264">
            <v>226178</v>
          </cell>
          <cell r="AI264">
            <v>0</v>
          </cell>
        </row>
        <row r="265">
          <cell r="I265">
            <v>0</v>
          </cell>
          <cell r="J265">
            <v>0</v>
          </cell>
          <cell r="K265">
            <v>0</v>
          </cell>
          <cell r="L265">
            <v>-170</v>
          </cell>
          <cell r="M265">
            <v>-41</v>
          </cell>
          <cell r="N265">
            <v>-324</v>
          </cell>
          <cell r="O265">
            <v>812385</v>
          </cell>
          <cell r="P265">
            <v>769558</v>
          </cell>
          <cell r="Q265">
            <v>714911</v>
          </cell>
          <cell r="R265">
            <v>838713</v>
          </cell>
          <cell r="S265">
            <v>772316</v>
          </cell>
          <cell r="T265">
            <v>794812</v>
          </cell>
          <cell r="U265">
            <v>773263</v>
          </cell>
          <cell r="V265">
            <v>746984</v>
          </cell>
          <cell r="W265">
            <v>853317</v>
          </cell>
          <cell r="X265">
            <v>596009</v>
          </cell>
          <cell r="Y265">
            <v>191567</v>
          </cell>
          <cell r="Z265">
            <v>490510</v>
          </cell>
          <cell r="AA265">
            <v>420541</v>
          </cell>
          <cell r="AB265">
            <v>507553</v>
          </cell>
          <cell r="AC265">
            <v>854520</v>
          </cell>
          <cell r="AD265">
            <v>823364</v>
          </cell>
          <cell r="AE265">
            <v>235261</v>
          </cell>
          <cell r="AF265">
            <v>474310</v>
          </cell>
          <cell r="AG265">
            <v>272717</v>
          </cell>
          <cell r="AI265">
            <v>0</v>
          </cell>
        </row>
        <row r="266">
          <cell r="I266">
            <v>0</v>
          </cell>
          <cell r="J266">
            <v>33</v>
          </cell>
          <cell r="K266">
            <v>14</v>
          </cell>
          <cell r="L266">
            <v>0</v>
          </cell>
          <cell r="M266">
            <v>0</v>
          </cell>
          <cell r="N266">
            <v>-1015</v>
          </cell>
          <cell r="O266">
            <v>74635</v>
          </cell>
          <cell r="P266">
            <v>68984</v>
          </cell>
          <cell r="Q266">
            <v>64925</v>
          </cell>
          <cell r="R266">
            <v>76765</v>
          </cell>
          <cell r="S266">
            <v>77050</v>
          </cell>
          <cell r="T266">
            <v>86048</v>
          </cell>
          <cell r="U266">
            <v>71576</v>
          </cell>
          <cell r="V266">
            <v>69088</v>
          </cell>
          <cell r="W266">
            <v>101448</v>
          </cell>
          <cell r="X266">
            <v>101942</v>
          </cell>
          <cell r="Y266">
            <v>156232</v>
          </cell>
          <cell r="Z266">
            <v>131159</v>
          </cell>
          <cell r="AA266">
            <v>117436</v>
          </cell>
          <cell r="AB266">
            <v>132600</v>
          </cell>
          <cell r="AC266">
            <v>100995</v>
          </cell>
          <cell r="AD266">
            <v>84470</v>
          </cell>
          <cell r="AE266">
            <v>83385</v>
          </cell>
          <cell r="AF266">
            <v>75282</v>
          </cell>
          <cell r="AG266">
            <v>72505</v>
          </cell>
          <cell r="AI266">
            <v>33</v>
          </cell>
        </row>
        <row r="267">
          <cell r="I267">
            <v>0</v>
          </cell>
          <cell r="J267">
            <v>0</v>
          </cell>
          <cell r="K267">
            <v>0</v>
          </cell>
          <cell r="L267">
            <v>0</v>
          </cell>
          <cell r="M267">
            <v>0</v>
          </cell>
          <cell r="N267">
            <v>0</v>
          </cell>
          <cell r="O267">
            <v>84036</v>
          </cell>
          <cell r="P267">
            <v>89814</v>
          </cell>
          <cell r="Q267">
            <v>90312</v>
          </cell>
          <cell r="R267">
            <v>88874</v>
          </cell>
          <cell r="S267">
            <v>91979</v>
          </cell>
          <cell r="T267">
            <v>92059</v>
          </cell>
          <cell r="U267">
            <v>90940</v>
          </cell>
          <cell r="V267">
            <v>84373</v>
          </cell>
          <cell r="W267">
            <v>97157</v>
          </cell>
          <cell r="X267">
            <v>124763</v>
          </cell>
          <cell r="Y267">
            <v>159865</v>
          </cell>
          <cell r="Z267">
            <v>187173</v>
          </cell>
          <cell r="AA267">
            <v>115688</v>
          </cell>
          <cell r="AB267">
            <v>82003</v>
          </cell>
          <cell r="AC267">
            <v>88374</v>
          </cell>
          <cell r="AD267">
            <v>93701</v>
          </cell>
          <cell r="AE267">
            <v>87354</v>
          </cell>
          <cell r="AF267">
            <v>99944</v>
          </cell>
          <cell r="AG267">
            <v>84872</v>
          </cell>
          <cell r="AI267">
            <v>0</v>
          </cell>
        </row>
        <row r="268">
          <cell r="I268">
            <v>0</v>
          </cell>
          <cell r="J268">
            <v>0</v>
          </cell>
          <cell r="K268">
            <v>0</v>
          </cell>
          <cell r="L268">
            <v>0</v>
          </cell>
          <cell r="M268">
            <v>0</v>
          </cell>
          <cell r="N268">
            <v>0</v>
          </cell>
          <cell r="O268">
            <v>-110</v>
          </cell>
          <cell r="P268">
            <v>60874</v>
          </cell>
          <cell r="Q268">
            <v>60672</v>
          </cell>
          <cell r="R268">
            <v>101095</v>
          </cell>
          <cell r="S268">
            <v>106338</v>
          </cell>
          <cell r="T268">
            <v>77284</v>
          </cell>
          <cell r="U268">
            <v>78712</v>
          </cell>
          <cell r="V268">
            <v>65422</v>
          </cell>
          <cell r="W268">
            <v>81763</v>
          </cell>
          <cell r="X268">
            <v>90753</v>
          </cell>
          <cell r="Y268">
            <v>109240</v>
          </cell>
          <cell r="Z268">
            <v>111987</v>
          </cell>
          <cell r="AA268">
            <v>85844</v>
          </cell>
          <cell r="AB268">
            <v>71082</v>
          </cell>
          <cell r="AC268">
            <v>66046</v>
          </cell>
          <cell r="AD268">
            <v>75187</v>
          </cell>
          <cell r="AE268">
            <v>71620</v>
          </cell>
          <cell r="AF268">
            <v>74505</v>
          </cell>
          <cell r="AG268">
            <v>64832</v>
          </cell>
          <cell r="AI268">
            <v>0</v>
          </cell>
        </row>
        <row r="269">
          <cell r="I269">
            <v>0</v>
          </cell>
          <cell r="J269">
            <v>0</v>
          </cell>
          <cell r="K269">
            <v>0</v>
          </cell>
          <cell r="L269">
            <v>0</v>
          </cell>
          <cell r="M269">
            <v>0</v>
          </cell>
          <cell r="N269">
            <v>0</v>
          </cell>
          <cell r="O269">
            <v>0</v>
          </cell>
          <cell r="P269">
            <v>163219</v>
          </cell>
          <cell r="Q269">
            <v>157623</v>
          </cell>
          <cell r="R269">
            <v>171844</v>
          </cell>
          <cell r="S269">
            <v>171000</v>
          </cell>
          <cell r="T269">
            <v>171055</v>
          </cell>
          <cell r="U269">
            <v>166006</v>
          </cell>
          <cell r="V269">
            <v>154018</v>
          </cell>
          <cell r="W269">
            <v>189295</v>
          </cell>
          <cell r="X269">
            <v>232400</v>
          </cell>
          <cell r="Y269">
            <v>260270</v>
          </cell>
          <cell r="Z269">
            <v>268468</v>
          </cell>
          <cell r="AA269">
            <v>204246</v>
          </cell>
          <cell r="AB269">
            <v>158078</v>
          </cell>
          <cell r="AC269">
            <v>143616</v>
          </cell>
          <cell r="AD269">
            <v>164518</v>
          </cell>
          <cell r="AE269">
            <v>161818</v>
          </cell>
          <cell r="AF269">
            <v>143609</v>
          </cell>
          <cell r="AG269">
            <v>139369</v>
          </cell>
          <cell r="AI269">
            <v>0</v>
          </cell>
        </row>
        <row r="270">
          <cell r="I270">
            <v>0</v>
          </cell>
          <cell r="J270">
            <v>0</v>
          </cell>
          <cell r="K270">
            <v>0</v>
          </cell>
          <cell r="L270">
            <v>0</v>
          </cell>
          <cell r="M270">
            <v>0</v>
          </cell>
          <cell r="N270">
            <v>0</v>
          </cell>
          <cell r="O270">
            <v>0</v>
          </cell>
          <cell r="P270">
            <v>126363</v>
          </cell>
          <cell r="Q270">
            <v>119487</v>
          </cell>
          <cell r="R270">
            <v>131451</v>
          </cell>
          <cell r="S270">
            <v>131084</v>
          </cell>
          <cell r="T270">
            <v>163876</v>
          </cell>
          <cell r="U270">
            <v>149983</v>
          </cell>
          <cell r="V270">
            <v>145423</v>
          </cell>
          <cell r="W270">
            <v>167598</v>
          </cell>
          <cell r="X270">
            <v>155499</v>
          </cell>
          <cell r="Y270">
            <v>165210</v>
          </cell>
          <cell r="Z270">
            <v>183848</v>
          </cell>
          <cell r="AA270">
            <v>153512</v>
          </cell>
          <cell r="AB270">
            <v>144234</v>
          </cell>
          <cell r="AC270">
            <v>147378</v>
          </cell>
          <cell r="AD270">
            <v>140568</v>
          </cell>
          <cell r="AE270">
            <v>144539</v>
          </cell>
          <cell r="AF270">
            <v>151792</v>
          </cell>
          <cell r="AG270">
            <v>128900</v>
          </cell>
          <cell r="AI270">
            <v>0</v>
          </cell>
        </row>
        <row r="271">
          <cell r="I271">
            <v>0</v>
          </cell>
          <cell r="J271">
            <v>13</v>
          </cell>
          <cell r="K271">
            <v>0</v>
          </cell>
          <cell r="L271">
            <v>0</v>
          </cell>
          <cell r="M271">
            <v>0</v>
          </cell>
          <cell r="N271">
            <v>0</v>
          </cell>
          <cell r="O271">
            <v>-101</v>
          </cell>
          <cell r="P271">
            <v>155374</v>
          </cell>
          <cell r="Q271">
            <v>151226</v>
          </cell>
          <cell r="R271">
            <v>156095</v>
          </cell>
          <cell r="S271">
            <v>154645</v>
          </cell>
          <cell r="T271">
            <v>164632</v>
          </cell>
          <cell r="U271">
            <v>148209</v>
          </cell>
          <cell r="V271">
            <v>153537</v>
          </cell>
          <cell r="W271">
            <v>168423</v>
          </cell>
          <cell r="X271">
            <v>165886</v>
          </cell>
          <cell r="Y271">
            <v>124459</v>
          </cell>
          <cell r="Z271">
            <v>283807</v>
          </cell>
          <cell r="AA271">
            <v>173928</v>
          </cell>
          <cell r="AB271">
            <v>144888</v>
          </cell>
          <cell r="AC271">
            <v>126463</v>
          </cell>
          <cell r="AD271">
            <v>142164</v>
          </cell>
          <cell r="AE271">
            <v>137050</v>
          </cell>
          <cell r="AF271">
            <v>134849</v>
          </cell>
          <cell r="AG271">
            <v>132599</v>
          </cell>
          <cell r="AI271">
            <v>13</v>
          </cell>
        </row>
        <row r="272">
          <cell r="I272">
            <v>-126</v>
          </cell>
          <cell r="J272">
            <v>0</v>
          </cell>
          <cell r="K272">
            <v>0</v>
          </cell>
          <cell r="L272">
            <v>0</v>
          </cell>
          <cell r="M272">
            <v>-10</v>
          </cell>
          <cell r="N272">
            <v>0</v>
          </cell>
          <cell r="O272">
            <v>0</v>
          </cell>
          <cell r="P272">
            <v>130910</v>
          </cell>
          <cell r="Q272">
            <v>121821</v>
          </cell>
          <cell r="R272">
            <v>148266</v>
          </cell>
          <cell r="S272">
            <v>147098</v>
          </cell>
          <cell r="T272">
            <v>158004</v>
          </cell>
          <cell r="U272">
            <v>150038</v>
          </cell>
          <cell r="V272">
            <v>133288</v>
          </cell>
          <cell r="W272">
            <v>175280</v>
          </cell>
          <cell r="X272">
            <v>185141</v>
          </cell>
          <cell r="Y272">
            <v>228708</v>
          </cell>
          <cell r="Z272">
            <v>260221</v>
          </cell>
          <cell r="AA272">
            <v>213056</v>
          </cell>
          <cell r="AB272">
            <v>144696</v>
          </cell>
          <cell r="AC272">
            <v>133696</v>
          </cell>
          <cell r="AD272">
            <v>155638</v>
          </cell>
          <cell r="AE272">
            <v>151158</v>
          </cell>
          <cell r="AF272">
            <v>152751</v>
          </cell>
          <cell r="AG272">
            <v>145705</v>
          </cell>
          <cell r="AI272">
            <v>0</v>
          </cell>
        </row>
        <row r="273">
          <cell r="I273">
            <v>0</v>
          </cell>
          <cell r="J273">
            <v>0</v>
          </cell>
          <cell r="K273">
            <v>0</v>
          </cell>
          <cell r="L273">
            <v>0</v>
          </cell>
          <cell r="M273">
            <v>-110</v>
          </cell>
          <cell r="N273">
            <v>-2</v>
          </cell>
          <cell r="O273">
            <v>-231</v>
          </cell>
          <cell r="P273">
            <v>46739</v>
          </cell>
          <cell r="Q273">
            <v>43268</v>
          </cell>
          <cell r="R273">
            <v>41932</v>
          </cell>
          <cell r="S273">
            <v>38389</v>
          </cell>
          <cell r="T273">
            <v>35350</v>
          </cell>
          <cell r="U273">
            <v>47045</v>
          </cell>
          <cell r="V273">
            <v>37072</v>
          </cell>
          <cell r="W273">
            <v>46257</v>
          </cell>
          <cell r="X273">
            <v>50941</v>
          </cell>
          <cell r="Y273">
            <v>54364</v>
          </cell>
          <cell r="Z273">
            <v>68519</v>
          </cell>
          <cell r="AA273">
            <v>50135</v>
          </cell>
          <cell r="AB273">
            <v>42358</v>
          </cell>
          <cell r="AC273">
            <v>40676</v>
          </cell>
          <cell r="AD273">
            <v>42060</v>
          </cell>
          <cell r="AE273">
            <v>44957</v>
          </cell>
          <cell r="AF273">
            <v>46202</v>
          </cell>
          <cell r="AG273">
            <v>45305</v>
          </cell>
          <cell r="AI273">
            <v>0</v>
          </cell>
        </row>
        <row r="274">
          <cell r="I274">
            <v>0</v>
          </cell>
          <cell r="J274">
            <v>0</v>
          </cell>
          <cell r="K274">
            <v>0</v>
          </cell>
          <cell r="L274">
            <v>0</v>
          </cell>
          <cell r="M274">
            <v>0</v>
          </cell>
          <cell r="N274">
            <v>0</v>
          </cell>
          <cell r="O274">
            <v>0</v>
          </cell>
          <cell r="P274">
            <v>108849</v>
          </cell>
          <cell r="Q274">
            <v>101675</v>
          </cell>
          <cell r="R274">
            <v>120790</v>
          </cell>
          <cell r="S274">
            <v>113583</v>
          </cell>
          <cell r="T274">
            <v>114750</v>
          </cell>
          <cell r="U274">
            <v>41671</v>
          </cell>
          <cell r="V274">
            <v>164886</v>
          </cell>
          <cell r="W274">
            <v>94148</v>
          </cell>
          <cell r="X274">
            <v>106334</v>
          </cell>
          <cell r="Y274">
            <v>121368</v>
          </cell>
          <cell r="Z274">
            <v>141938</v>
          </cell>
          <cell r="AA274">
            <v>114057</v>
          </cell>
          <cell r="AB274">
            <v>88901</v>
          </cell>
          <cell r="AC274">
            <v>84055</v>
          </cell>
          <cell r="AD274">
            <v>100602</v>
          </cell>
          <cell r="AE274">
            <v>102822</v>
          </cell>
          <cell r="AF274">
            <v>104663</v>
          </cell>
          <cell r="AG274">
            <v>91493</v>
          </cell>
          <cell r="AI274">
            <v>0</v>
          </cell>
        </row>
        <row r="275">
          <cell r="I275">
            <v>0</v>
          </cell>
          <cell r="J275">
            <v>0</v>
          </cell>
          <cell r="K275">
            <v>0</v>
          </cell>
          <cell r="L275">
            <v>0</v>
          </cell>
          <cell r="M275">
            <v>-321</v>
          </cell>
          <cell r="N275">
            <v>-228</v>
          </cell>
          <cell r="O275">
            <v>0</v>
          </cell>
          <cell r="P275">
            <v>1288344</v>
          </cell>
          <cell r="Q275">
            <v>1210445</v>
          </cell>
          <cell r="R275">
            <v>1422671</v>
          </cell>
          <cell r="S275">
            <v>1319488</v>
          </cell>
          <cell r="T275">
            <v>1637476</v>
          </cell>
          <cell r="U275">
            <v>1288524</v>
          </cell>
          <cell r="V275">
            <v>1238155</v>
          </cell>
          <cell r="W275">
            <v>1424391</v>
          </cell>
          <cell r="X275">
            <v>1343365</v>
          </cell>
          <cell r="Y275">
            <v>1470969</v>
          </cell>
          <cell r="Z275">
            <v>1591531</v>
          </cell>
          <cell r="AA275">
            <v>1936571</v>
          </cell>
          <cell r="AB275">
            <v>967049</v>
          </cell>
          <cell r="AC275">
            <v>1290340</v>
          </cell>
          <cell r="AD275">
            <v>1329360</v>
          </cell>
          <cell r="AE275">
            <v>1295054</v>
          </cell>
          <cell r="AF275">
            <v>1414364</v>
          </cell>
          <cell r="AG275">
            <v>1189035</v>
          </cell>
          <cell r="AI275">
            <v>0</v>
          </cell>
        </row>
        <row r="276">
          <cell r="I276">
            <v>0</v>
          </cell>
          <cell r="J276">
            <v>0</v>
          </cell>
          <cell r="K276">
            <v>0</v>
          </cell>
          <cell r="L276">
            <v>0</v>
          </cell>
          <cell r="M276">
            <v>0</v>
          </cell>
          <cell r="N276">
            <v>0</v>
          </cell>
          <cell r="O276">
            <v>-1462</v>
          </cell>
          <cell r="P276">
            <v>114896</v>
          </cell>
          <cell r="Q276">
            <v>101929</v>
          </cell>
          <cell r="R276">
            <v>100877</v>
          </cell>
          <cell r="S276">
            <v>85103</v>
          </cell>
          <cell r="T276">
            <v>83204</v>
          </cell>
          <cell r="U276">
            <v>86927</v>
          </cell>
          <cell r="V276">
            <v>73016</v>
          </cell>
          <cell r="W276">
            <v>91227</v>
          </cell>
          <cell r="X276">
            <v>110802</v>
          </cell>
          <cell r="Y276">
            <v>128633</v>
          </cell>
          <cell r="Z276">
            <v>133751</v>
          </cell>
          <cell r="AA276">
            <v>130178</v>
          </cell>
          <cell r="AB276">
            <v>84825</v>
          </cell>
          <cell r="AC276">
            <v>68090</v>
          </cell>
          <cell r="AD276">
            <v>68049</v>
          </cell>
          <cell r="AE276">
            <v>69201</v>
          </cell>
          <cell r="AF276">
            <v>80037</v>
          </cell>
          <cell r="AG276">
            <v>69153</v>
          </cell>
          <cell r="AI276">
            <v>0</v>
          </cell>
        </row>
        <row r="277">
          <cell r="I277">
            <v>0</v>
          </cell>
          <cell r="J277">
            <v>0</v>
          </cell>
          <cell r="K277">
            <v>0</v>
          </cell>
          <cell r="L277">
            <v>0</v>
          </cell>
          <cell r="M277">
            <v>0</v>
          </cell>
          <cell r="N277">
            <v>0</v>
          </cell>
          <cell r="O277">
            <v>0</v>
          </cell>
          <cell r="P277">
            <v>55904</v>
          </cell>
          <cell r="Q277">
            <v>49836</v>
          </cell>
          <cell r="R277">
            <v>57114</v>
          </cell>
          <cell r="S277">
            <v>60673</v>
          </cell>
          <cell r="T277">
            <v>56406</v>
          </cell>
          <cell r="U277">
            <v>59737</v>
          </cell>
          <cell r="V277">
            <v>56115</v>
          </cell>
          <cell r="W277">
            <v>53165</v>
          </cell>
          <cell r="X277">
            <v>62411</v>
          </cell>
          <cell r="Y277">
            <v>73224</v>
          </cell>
          <cell r="Z277">
            <v>77593</v>
          </cell>
          <cell r="AA277">
            <v>67553</v>
          </cell>
          <cell r="AB277">
            <v>57940</v>
          </cell>
          <cell r="AC277">
            <v>50297</v>
          </cell>
          <cell r="AD277">
            <v>52498</v>
          </cell>
          <cell r="AE277">
            <v>52367</v>
          </cell>
          <cell r="AF277">
            <v>50700</v>
          </cell>
          <cell r="AG277">
            <v>48485</v>
          </cell>
          <cell r="AI277">
            <v>0</v>
          </cell>
        </row>
        <row r="278">
          <cell r="I278">
            <v>0</v>
          </cell>
          <cell r="J278">
            <v>0</v>
          </cell>
          <cell r="K278">
            <v>0</v>
          </cell>
          <cell r="L278">
            <v>0</v>
          </cell>
          <cell r="M278">
            <v>0</v>
          </cell>
          <cell r="N278">
            <v>0</v>
          </cell>
          <cell r="O278">
            <v>-22191</v>
          </cell>
          <cell r="P278">
            <v>400509</v>
          </cell>
          <cell r="Q278">
            <v>286583</v>
          </cell>
          <cell r="R278">
            <v>308964</v>
          </cell>
          <cell r="S278">
            <v>317266</v>
          </cell>
          <cell r="T278">
            <v>361326</v>
          </cell>
          <cell r="U278">
            <v>296825</v>
          </cell>
          <cell r="V278">
            <v>371191</v>
          </cell>
          <cell r="W278">
            <v>259188</v>
          </cell>
          <cell r="X278">
            <v>351506</v>
          </cell>
          <cell r="Y278">
            <v>447750</v>
          </cell>
          <cell r="Z278">
            <v>358486</v>
          </cell>
          <cell r="AA278">
            <v>396971</v>
          </cell>
          <cell r="AB278">
            <v>336057</v>
          </cell>
          <cell r="AC278">
            <v>297334</v>
          </cell>
          <cell r="AD278">
            <v>203490</v>
          </cell>
          <cell r="AE278">
            <v>1252661</v>
          </cell>
          <cell r="AF278">
            <v>1508322</v>
          </cell>
          <cell r="AG278">
            <v>267823</v>
          </cell>
          <cell r="AI278">
            <v>0</v>
          </cell>
        </row>
        <row r="280">
          <cell r="I280">
            <v>703896</v>
          </cell>
          <cell r="J280">
            <v>773075</v>
          </cell>
          <cell r="K280">
            <v>980770</v>
          </cell>
          <cell r="L280">
            <v>979062</v>
          </cell>
          <cell r="M280">
            <v>995688</v>
          </cell>
          <cell r="N280">
            <v>1106439</v>
          </cell>
          <cell r="O280">
            <v>740105</v>
          </cell>
          <cell r="P280">
            <v>689445</v>
          </cell>
          <cell r="Q280">
            <v>644483</v>
          </cell>
          <cell r="R280">
            <v>659976</v>
          </cell>
          <cell r="S280">
            <v>744065</v>
          </cell>
          <cell r="T280">
            <v>639046</v>
          </cell>
          <cell r="U280">
            <v>683357</v>
          </cell>
          <cell r="V280">
            <v>714620</v>
          </cell>
          <cell r="W280">
            <v>758324</v>
          </cell>
          <cell r="X280">
            <v>897702</v>
          </cell>
          <cell r="Y280">
            <v>1027356</v>
          </cell>
          <cell r="Z280">
            <v>987146</v>
          </cell>
          <cell r="AA280">
            <v>770049</v>
          </cell>
          <cell r="AB280">
            <v>613558</v>
          </cell>
          <cell r="AC280">
            <v>631254</v>
          </cell>
          <cell r="AD280">
            <v>725210</v>
          </cell>
          <cell r="AE280">
            <v>695101</v>
          </cell>
          <cell r="AF280">
            <v>630947</v>
          </cell>
          <cell r="AG280">
            <v>635588</v>
          </cell>
          <cell r="AI280">
            <v>773075</v>
          </cell>
        </row>
        <row r="281">
          <cell r="I281">
            <v>150626</v>
          </cell>
          <cell r="J281">
            <v>155578</v>
          </cell>
          <cell r="K281">
            <v>205907</v>
          </cell>
          <cell r="L281">
            <v>210391</v>
          </cell>
          <cell r="M281">
            <v>228281</v>
          </cell>
          <cell r="N281">
            <v>248992</v>
          </cell>
          <cell r="O281">
            <v>130328</v>
          </cell>
          <cell r="P281">
            <v>102343</v>
          </cell>
          <cell r="Q281">
            <v>116739</v>
          </cell>
          <cell r="R281">
            <v>113410</v>
          </cell>
          <cell r="S281">
            <v>128263</v>
          </cell>
          <cell r="T281">
            <v>121571</v>
          </cell>
          <cell r="U281">
            <v>112095</v>
          </cell>
          <cell r="V281">
            <v>113496</v>
          </cell>
          <cell r="W281">
            <v>143197</v>
          </cell>
          <cell r="X281">
            <v>173261</v>
          </cell>
          <cell r="Y281">
            <v>229850</v>
          </cell>
          <cell r="Z281">
            <v>202941</v>
          </cell>
          <cell r="AA281">
            <v>139705</v>
          </cell>
          <cell r="AB281">
            <v>105699</v>
          </cell>
          <cell r="AC281">
            <v>107241</v>
          </cell>
          <cell r="AD281">
            <v>133811</v>
          </cell>
          <cell r="AE281">
            <v>127884</v>
          </cell>
          <cell r="AF281">
            <v>109649</v>
          </cell>
          <cell r="AG281">
            <v>102150</v>
          </cell>
          <cell r="AI281">
            <v>155578</v>
          </cell>
        </row>
        <row r="282">
          <cell r="I282">
            <v>235862</v>
          </cell>
          <cell r="J282">
            <v>235147</v>
          </cell>
          <cell r="K282">
            <v>261636</v>
          </cell>
          <cell r="L282">
            <v>310576</v>
          </cell>
          <cell r="M282">
            <v>318934</v>
          </cell>
          <cell r="N282">
            <v>346628</v>
          </cell>
          <cell r="O282">
            <v>186174</v>
          </cell>
          <cell r="P282">
            <v>177912</v>
          </cell>
          <cell r="Q282">
            <v>183117</v>
          </cell>
          <cell r="R282">
            <v>210144</v>
          </cell>
          <cell r="S282">
            <v>216753</v>
          </cell>
          <cell r="T282">
            <v>205909</v>
          </cell>
          <cell r="U282">
            <v>207373</v>
          </cell>
          <cell r="V282">
            <v>191523</v>
          </cell>
          <cell r="W282">
            <v>216435</v>
          </cell>
          <cell r="X282">
            <v>219497</v>
          </cell>
          <cell r="Y282">
            <v>272391</v>
          </cell>
          <cell r="Z282">
            <v>276701</v>
          </cell>
          <cell r="AA282">
            <v>200199</v>
          </cell>
          <cell r="AB282">
            <v>168866</v>
          </cell>
          <cell r="AC282">
            <v>191733</v>
          </cell>
          <cell r="AD282">
            <v>227173</v>
          </cell>
          <cell r="AE282">
            <v>205176</v>
          </cell>
          <cell r="AF282">
            <v>218029</v>
          </cell>
          <cell r="AG282">
            <v>180851</v>
          </cell>
          <cell r="AI282">
            <v>235147</v>
          </cell>
        </row>
        <row r="283">
          <cell r="I283">
            <v>360264</v>
          </cell>
          <cell r="J283">
            <v>304532</v>
          </cell>
          <cell r="K283">
            <v>408280</v>
          </cell>
          <cell r="L283">
            <v>394683</v>
          </cell>
          <cell r="M283">
            <v>423726</v>
          </cell>
          <cell r="N283">
            <v>440910</v>
          </cell>
          <cell r="O283">
            <v>284234</v>
          </cell>
          <cell r="P283">
            <v>258613</v>
          </cell>
          <cell r="Q283">
            <v>253008</v>
          </cell>
          <cell r="R283">
            <v>298866</v>
          </cell>
          <cell r="S283">
            <v>309458</v>
          </cell>
          <cell r="T283">
            <v>315437</v>
          </cell>
          <cell r="U283">
            <v>255204</v>
          </cell>
          <cell r="V283">
            <v>285494</v>
          </cell>
          <cell r="W283">
            <v>282654</v>
          </cell>
          <cell r="X283">
            <v>302450</v>
          </cell>
          <cell r="Y283">
            <v>402803</v>
          </cell>
          <cell r="Z283">
            <v>335867</v>
          </cell>
          <cell r="AA283">
            <v>285074</v>
          </cell>
          <cell r="AB283">
            <v>233344</v>
          </cell>
          <cell r="AC283">
            <v>245225</v>
          </cell>
          <cell r="AD283">
            <v>324804</v>
          </cell>
          <cell r="AE283">
            <v>285868</v>
          </cell>
          <cell r="AF283">
            <v>286211</v>
          </cell>
          <cell r="AG283">
            <v>271357</v>
          </cell>
          <cell r="AI283">
            <v>304532</v>
          </cell>
        </row>
        <row r="284">
          <cell r="I284">
            <v>562554</v>
          </cell>
          <cell r="J284">
            <v>536237</v>
          </cell>
          <cell r="K284">
            <v>627231</v>
          </cell>
          <cell r="L284">
            <v>710972</v>
          </cell>
          <cell r="M284">
            <v>761447</v>
          </cell>
          <cell r="N284">
            <v>756673</v>
          </cell>
          <cell r="O284">
            <v>489041</v>
          </cell>
          <cell r="P284">
            <v>399488</v>
          </cell>
          <cell r="Q284">
            <v>414477</v>
          </cell>
          <cell r="R284">
            <v>492363</v>
          </cell>
          <cell r="S284">
            <v>477927</v>
          </cell>
          <cell r="T284">
            <v>472834</v>
          </cell>
          <cell r="U284">
            <v>452450</v>
          </cell>
          <cell r="V284">
            <v>628460</v>
          </cell>
          <cell r="W284">
            <v>690576</v>
          </cell>
          <cell r="X284">
            <v>679567</v>
          </cell>
          <cell r="Y284">
            <v>825881</v>
          </cell>
          <cell r="Z284">
            <v>816530</v>
          </cell>
          <cell r="AA284">
            <v>680757</v>
          </cell>
          <cell r="AB284">
            <v>565904</v>
          </cell>
          <cell r="AC284">
            <v>618825</v>
          </cell>
          <cell r="AD284">
            <v>705639</v>
          </cell>
          <cell r="AE284">
            <v>653412</v>
          </cell>
          <cell r="AF284">
            <v>666872</v>
          </cell>
          <cell r="AG284">
            <v>629122</v>
          </cell>
          <cell r="AI284">
            <v>536237</v>
          </cell>
        </row>
        <row r="285">
          <cell r="I285">
            <v>1362737</v>
          </cell>
          <cell r="J285">
            <v>1330162</v>
          </cell>
          <cell r="K285">
            <v>1445941</v>
          </cell>
          <cell r="L285">
            <v>1568949</v>
          </cell>
          <cell r="M285">
            <v>1559587</v>
          </cell>
          <cell r="N285">
            <v>1857319</v>
          </cell>
          <cell r="O285">
            <v>1265542</v>
          </cell>
          <cell r="P285">
            <v>1111631</v>
          </cell>
          <cell r="Q285">
            <v>1133055</v>
          </cell>
          <cell r="R285">
            <v>1270589</v>
          </cell>
          <cell r="S285">
            <v>1247369</v>
          </cell>
          <cell r="T285">
            <v>1259439</v>
          </cell>
          <cell r="U285">
            <v>1249736</v>
          </cell>
          <cell r="V285">
            <v>1140394</v>
          </cell>
          <cell r="W285">
            <v>1232577</v>
          </cell>
          <cell r="X285">
            <v>1324597</v>
          </cell>
          <cell r="Y285">
            <v>1389548</v>
          </cell>
          <cell r="Z285">
            <v>1473813</v>
          </cell>
          <cell r="AA285">
            <v>1272870</v>
          </cell>
          <cell r="AB285">
            <v>1078473</v>
          </cell>
          <cell r="AC285">
            <v>1170109</v>
          </cell>
          <cell r="AD285">
            <v>1304495</v>
          </cell>
          <cell r="AE285">
            <v>1275164</v>
          </cell>
          <cell r="AF285">
            <v>1245049</v>
          </cell>
          <cell r="AG285">
            <v>1151356</v>
          </cell>
          <cell r="AI285">
            <v>1330162</v>
          </cell>
        </row>
        <row r="286">
          <cell r="I286">
            <v>902571</v>
          </cell>
          <cell r="J286">
            <v>770186</v>
          </cell>
          <cell r="K286">
            <v>770586</v>
          </cell>
          <cell r="L286">
            <v>866428</v>
          </cell>
          <cell r="M286">
            <v>817155</v>
          </cell>
          <cell r="N286">
            <v>953876</v>
          </cell>
          <cell r="O286">
            <v>44987</v>
          </cell>
          <cell r="P286">
            <v>35389</v>
          </cell>
          <cell r="Q286">
            <v>37321</v>
          </cell>
          <cell r="R286">
            <v>38127</v>
          </cell>
          <cell r="S286">
            <v>39457</v>
          </cell>
          <cell r="T286">
            <v>41519</v>
          </cell>
          <cell r="U286">
            <v>36466</v>
          </cell>
          <cell r="V286">
            <v>35253</v>
          </cell>
          <cell r="W286">
            <v>53233</v>
          </cell>
          <cell r="X286">
            <v>54669</v>
          </cell>
          <cell r="Y286">
            <v>68547</v>
          </cell>
          <cell r="Z286">
            <v>73272</v>
          </cell>
          <cell r="AA286">
            <v>55031</v>
          </cell>
          <cell r="AB286">
            <v>35413</v>
          </cell>
          <cell r="AC286">
            <v>33677</v>
          </cell>
          <cell r="AD286">
            <v>38744</v>
          </cell>
          <cell r="AE286">
            <v>39111</v>
          </cell>
          <cell r="AF286">
            <v>34351</v>
          </cell>
          <cell r="AG286">
            <v>31949</v>
          </cell>
          <cell r="AI286">
            <v>770186</v>
          </cell>
        </row>
        <row r="287">
          <cell r="I287">
            <v>671512</v>
          </cell>
          <cell r="J287">
            <v>615086</v>
          </cell>
          <cell r="K287">
            <v>758442</v>
          </cell>
          <cell r="L287">
            <v>893207</v>
          </cell>
          <cell r="M287">
            <v>940405</v>
          </cell>
          <cell r="N287">
            <v>954186</v>
          </cell>
          <cell r="O287">
            <v>622183</v>
          </cell>
          <cell r="P287">
            <v>519451</v>
          </cell>
          <cell r="Q287">
            <v>551190</v>
          </cell>
          <cell r="R287">
            <v>672870</v>
          </cell>
          <cell r="S287">
            <v>658292</v>
          </cell>
          <cell r="T287">
            <v>679565</v>
          </cell>
          <cell r="U287">
            <v>590996</v>
          </cell>
          <cell r="V287">
            <v>522534</v>
          </cell>
          <cell r="W287">
            <v>701396</v>
          </cell>
          <cell r="X287">
            <v>670055</v>
          </cell>
          <cell r="Y287">
            <v>1032942</v>
          </cell>
          <cell r="Z287">
            <v>842028</v>
          </cell>
          <cell r="AA287">
            <v>745021</v>
          </cell>
          <cell r="AB287">
            <v>540665</v>
          </cell>
          <cell r="AC287">
            <v>560049</v>
          </cell>
          <cell r="AD287">
            <v>774507</v>
          </cell>
          <cell r="AE287">
            <v>662086</v>
          </cell>
          <cell r="AF287">
            <v>648932</v>
          </cell>
          <cell r="AG287">
            <v>616503</v>
          </cell>
          <cell r="AI287">
            <v>615086</v>
          </cell>
        </row>
        <row r="288">
          <cell r="I288">
            <v>687602</v>
          </cell>
          <cell r="J288">
            <v>688747</v>
          </cell>
          <cell r="K288">
            <v>818495</v>
          </cell>
          <cell r="L288">
            <v>857218</v>
          </cell>
          <cell r="M288">
            <v>933792</v>
          </cell>
          <cell r="N288">
            <v>1054708</v>
          </cell>
          <cell r="O288">
            <v>718795</v>
          </cell>
          <cell r="P288">
            <v>612683</v>
          </cell>
          <cell r="Q288">
            <v>641603</v>
          </cell>
          <cell r="R288">
            <v>661530</v>
          </cell>
          <cell r="S288">
            <v>687674</v>
          </cell>
          <cell r="T288">
            <v>721089</v>
          </cell>
          <cell r="U288">
            <v>669520</v>
          </cell>
          <cell r="V288">
            <v>631039</v>
          </cell>
          <cell r="W288">
            <v>723649</v>
          </cell>
          <cell r="X288">
            <v>750865</v>
          </cell>
          <cell r="Y288">
            <v>840884</v>
          </cell>
          <cell r="Z288">
            <v>968731</v>
          </cell>
          <cell r="AA288">
            <v>720892</v>
          </cell>
          <cell r="AB288">
            <v>595178</v>
          </cell>
          <cell r="AC288">
            <v>647798</v>
          </cell>
          <cell r="AD288">
            <v>711145</v>
          </cell>
          <cell r="AE288">
            <v>683063</v>
          </cell>
          <cell r="AF288">
            <v>740784</v>
          </cell>
          <cell r="AG288">
            <v>628973</v>
          </cell>
          <cell r="AI288">
            <v>688747</v>
          </cell>
        </row>
        <row r="289">
          <cell r="I289">
            <v>719578</v>
          </cell>
          <cell r="J289">
            <v>613193</v>
          </cell>
          <cell r="K289">
            <v>659583</v>
          </cell>
          <cell r="L289">
            <v>745545</v>
          </cell>
          <cell r="M289">
            <v>734961</v>
          </cell>
          <cell r="N289">
            <v>779397</v>
          </cell>
          <cell r="O289">
            <v>662115</v>
          </cell>
          <cell r="P289">
            <v>598232</v>
          </cell>
          <cell r="Q289">
            <v>566450</v>
          </cell>
          <cell r="R289">
            <v>597950</v>
          </cell>
          <cell r="S289">
            <v>642519</v>
          </cell>
          <cell r="T289">
            <v>611938</v>
          </cell>
          <cell r="U289">
            <v>616845</v>
          </cell>
          <cell r="V289">
            <v>519174</v>
          </cell>
          <cell r="W289">
            <v>590190</v>
          </cell>
          <cell r="X289">
            <v>531854</v>
          </cell>
          <cell r="Y289">
            <v>610641</v>
          </cell>
          <cell r="Z289">
            <v>715514</v>
          </cell>
          <cell r="AA289">
            <v>586277</v>
          </cell>
          <cell r="AB289">
            <v>497972</v>
          </cell>
          <cell r="AC289">
            <v>518024</v>
          </cell>
          <cell r="AD289">
            <v>645504</v>
          </cell>
          <cell r="AE289">
            <v>591225</v>
          </cell>
          <cell r="AF289">
            <v>607025</v>
          </cell>
          <cell r="AG289">
            <v>569325</v>
          </cell>
          <cell r="AI289">
            <v>613193</v>
          </cell>
        </row>
        <row r="290">
          <cell r="I290">
            <v>208280</v>
          </cell>
          <cell r="J290">
            <v>215637</v>
          </cell>
          <cell r="K290">
            <v>243277</v>
          </cell>
          <cell r="L290">
            <v>320183</v>
          </cell>
          <cell r="M290">
            <v>329141</v>
          </cell>
          <cell r="N290">
            <v>373370</v>
          </cell>
          <cell r="O290">
            <v>279378</v>
          </cell>
          <cell r="P290">
            <v>50950</v>
          </cell>
          <cell r="Q290">
            <v>42746</v>
          </cell>
          <cell r="R290">
            <v>50115</v>
          </cell>
          <cell r="S290">
            <v>51361</v>
          </cell>
          <cell r="T290">
            <v>50750</v>
          </cell>
          <cell r="U290">
            <v>48848</v>
          </cell>
          <cell r="V290">
            <v>45976</v>
          </cell>
          <cell r="W290">
            <v>58351</v>
          </cell>
          <cell r="X290">
            <v>62898</v>
          </cell>
          <cell r="Y290">
            <v>78424</v>
          </cell>
          <cell r="Z290">
            <v>82246</v>
          </cell>
          <cell r="AA290">
            <v>72514</v>
          </cell>
          <cell r="AB290">
            <v>53065</v>
          </cell>
          <cell r="AC290">
            <v>46729</v>
          </cell>
          <cell r="AD290">
            <v>55082</v>
          </cell>
          <cell r="AE290">
            <v>54588</v>
          </cell>
          <cell r="AF290">
            <v>48310</v>
          </cell>
          <cell r="AG290">
            <v>46601</v>
          </cell>
          <cell r="AI290">
            <v>215637</v>
          </cell>
        </row>
        <row r="291">
          <cell r="I291">
            <v>355985</v>
          </cell>
          <cell r="J291">
            <v>340467</v>
          </cell>
          <cell r="K291">
            <v>411443</v>
          </cell>
          <cell r="L291">
            <v>509976</v>
          </cell>
          <cell r="M291">
            <v>511113</v>
          </cell>
          <cell r="N291">
            <v>557325</v>
          </cell>
          <cell r="O291">
            <v>425207</v>
          </cell>
          <cell r="P291">
            <v>233233</v>
          </cell>
          <cell r="Q291">
            <v>210659</v>
          </cell>
          <cell r="R291">
            <v>216865</v>
          </cell>
          <cell r="S291">
            <v>230683</v>
          </cell>
          <cell r="T291">
            <v>248131</v>
          </cell>
          <cell r="U291">
            <v>219402</v>
          </cell>
          <cell r="V291">
            <v>209961</v>
          </cell>
          <cell r="W291">
            <v>300267</v>
          </cell>
          <cell r="X291">
            <v>285618</v>
          </cell>
          <cell r="Y291">
            <v>394821</v>
          </cell>
          <cell r="Z291">
            <v>396701</v>
          </cell>
          <cell r="AA291">
            <v>320526</v>
          </cell>
          <cell r="AB291">
            <v>229783</v>
          </cell>
          <cell r="AC291">
            <v>221497</v>
          </cell>
          <cell r="AD291">
            <v>245956</v>
          </cell>
          <cell r="AE291">
            <v>261011</v>
          </cell>
          <cell r="AF291">
            <v>261769</v>
          </cell>
          <cell r="AG291">
            <v>222105</v>
          </cell>
          <cell r="AI291">
            <v>340467</v>
          </cell>
        </row>
        <row r="292">
          <cell r="I292">
            <v>1369615</v>
          </cell>
          <cell r="J292">
            <v>1205308</v>
          </cell>
          <cell r="K292">
            <v>1268473</v>
          </cell>
          <cell r="L292">
            <v>1536471</v>
          </cell>
          <cell r="M292">
            <v>1404495</v>
          </cell>
          <cell r="N292">
            <v>1675146</v>
          </cell>
          <cell r="O292">
            <v>1275034</v>
          </cell>
          <cell r="P292">
            <v>1334160</v>
          </cell>
          <cell r="Q292">
            <v>1287155</v>
          </cell>
          <cell r="R292">
            <v>1624921</v>
          </cell>
          <cell r="S292">
            <v>1408111</v>
          </cell>
          <cell r="T292">
            <v>1628441</v>
          </cell>
          <cell r="U292">
            <v>1447533</v>
          </cell>
          <cell r="V292">
            <v>1255663</v>
          </cell>
          <cell r="W292">
            <v>1471499</v>
          </cell>
          <cell r="X292">
            <v>1342407</v>
          </cell>
          <cell r="Y292">
            <v>1480661</v>
          </cell>
          <cell r="Z292">
            <v>1645141</v>
          </cell>
          <cell r="AA292">
            <v>1416369</v>
          </cell>
          <cell r="AB292">
            <v>1324641</v>
          </cell>
          <cell r="AC292">
            <v>1109098</v>
          </cell>
          <cell r="AD292">
            <v>1575610</v>
          </cell>
          <cell r="AE292">
            <v>1442815</v>
          </cell>
          <cell r="AF292">
            <v>1584738</v>
          </cell>
          <cell r="AG292">
            <v>1313874</v>
          </cell>
          <cell r="AI292">
            <v>1205308</v>
          </cell>
        </row>
        <row r="293">
          <cell r="I293">
            <v>795625</v>
          </cell>
          <cell r="J293">
            <v>673549</v>
          </cell>
          <cell r="K293">
            <v>741206</v>
          </cell>
          <cell r="L293">
            <v>810943</v>
          </cell>
          <cell r="M293">
            <v>880474</v>
          </cell>
          <cell r="N293">
            <v>930742</v>
          </cell>
          <cell r="O293">
            <v>772612</v>
          </cell>
          <cell r="P293">
            <v>545427</v>
          </cell>
          <cell r="Q293">
            <v>544544</v>
          </cell>
          <cell r="R293">
            <v>679119</v>
          </cell>
          <cell r="S293">
            <v>626933</v>
          </cell>
          <cell r="T293">
            <v>726466</v>
          </cell>
          <cell r="U293">
            <v>615358</v>
          </cell>
          <cell r="V293">
            <v>573097</v>
          </cell>
          <cell r="W293">
            <v>628353</v>
          </cell>
          <cell r="X293">
            <v>591865</v>
          </cell>
          <cell r="Y293">
            <v>735032</v>
          </cell>
          <cell r="Z293">
            <v>790628</v>
          </cell>
          <cell r="AA293">
            <v>718055</v>
          </cell>
          <cell r="AB293">
            <v>577455</v>
          </cell>
          <cell r="AC293">
            <v>568183</v>
          </cell>
          <cell r="AD293">
            <v>694287</v>
          </cell>
          <cell r="AE293">
            <v>682385</v>
          </cell>
          <cell r="AF293">
            <v>698448</v>
          </cell>
          <cell r="AG293">
            <v>648607</v>
          </cell>
          <cell r="AI293">
            <v>673549</v>
          </cell>
        </row>
        <row r="294">
          <cell r="I294">
            <v>371453</v>
          </cell>
          <cell r="J294">
            <v>1006450</v>
          </cell>
          <cell r="K294">
            <v>1068268</v>
          </cell>
          <cell r="L294">
            <v>1251486</v>
          </cell>
          <cell r="M294">
            <v>1198601</v>
          </cell>
          <cell r="N294">
            <v>1405380</v>
          </cell>
          <cell r="O294">
            <v>1353596</v>
          </cell>
          <cell r="P294">
            <v>943671</v>
          </cell>
          <cell r="Q294">
            <v>959184</v>
          </cell>
          <cell r="R294">
            <v>1062388</v>
          </cell>
          <cell r="S294">
            <v>1141363</v>
          </cell>
          <cell r="T294">
            <v>1105201</v>
          </cell>
          <cell r="U294">
            <v>1168109</v>
          </cell>
          <cell r="V294">
            <v>918664</v>
          </cell>
          <cell r="W294">
            <v>1176508</v>
          </cell>
          <cell r="X294">
            <v>1160206</v>
          </cell>
          <cell r="Y294">
            <v>1214120</v>
          </cell>
          <cell r="Z294">
            <v>1658800</v>
          </cell>
          <cell r="AA294">
            <v>1087141</v>
          </cell>
          <cell r="AB294">
            <v>1057884</v>
          </cell>
          <cell r="AC294">
            <v>1034007</v>
          </cell>
          <cell r="AD294">
            <v>1108666</v>
          </cell>
          <cell r="AE294">
            <v>1229430</v>
          </cell>
          <cell r="AF294">
            <v>1108545</v>
          </cell>
          <cell r="AG294">
            <v>1024785</v>
          </cell>
          <cell r="AI294">
            <v>1006450</v>
          </cell>
        </row>
        <row r="295">
          <cell r="I295">
            <v>649107</v>
          </cell>
          <cell r="J295">
            <v>599385</v>
          </cell>
          <cell r="K295">
            <v>626397</v>
          </cell>
          <cell r="L295">
            <v>666274</v>
          </cell>
          <cell r="M295">
            <v>719027</v>
          </cell>
          <cell r="N295">
            <v>811844</v>
          </cell>
          <cell r="O295">
            <v>746508</v>
          </cell>
          <cell r="P295">
            <v>489757</v>
          </cell>
          <cell r="Q295">
            <v>495718</v>
          </cell>
          <cell r="R295">
            <v>567937</v>
          </cell>
          <cell r="S295">
            <v>542115</v>
          </cell>
          <cell r="T295">
            <v>651672</v>
          </cell>
          <cell r="U295">
            <v>549168</v>
          </cell>
          <cell r="V295">
            <v>513657</v>
          </cell>
          <cell r="W295">
            <v>550515</v>
          </cell>
          <cell r="X295">
            <v>522006</v>
          </cell>
          <cell r="Y295">
            <v>582864</v>
          </cell>
          <cell r="Z295">
            <v>656935</v>
          </cell>
          <cell r="AA295">
            <v>641833</v>
          </cell>
          <cell r="AB295">
            <v>474147</v>
          </cell>
          <cell r="AC295">
            <v>478701</v>
          </cell>
          <cell r="AD295">
            <v>594280</v>
          </cell>
          <cell r="AE295">
            <v>625788</v>
          </cell>
          <cell r="AF295">
            <v>578599</v>
          </cell>
          <cell r="AG295">
            <v>539505</v>
          </cell>
          <cell r="AI295">
            <v>599385</v>
          </cell>
        </row>
        <row r="296">
          <cell r="I296">
            <v>2139021</v>
          </cell>
          <cell r="J296">
            <v>1907276</v>
          </cell>
          <cell r="K296">
            <v>1866749</v>
          </cell>
          <cell r="L296">
            <v>2377231</v>
          </cell>
          <cell r="M296">
            <v>2244551</v>
          </cell>
          <cell r="N296">
            <v>2337945</v>
          </cell>
          <cell r="O296">
            <v>2605191</v>
          </cell>
          <cell r="P296">
            <v>539658</v>
          </cell>
          <cell r="Q296">
            <v>540228</v>
          </cell>
          <cell r="R296">
            <v>563431</v>
          </cell>
          <cell r="S296">
            <v>570445</v>
          </cell>
          <cell r="T296">
            <v>643036</v>
          </cell>
          <cell r="U296">
            <v>540176</v>
          </cell>
          <cell r="V296">
            <v>518800</v>
          </cell>
          <cell r="W296">
            <v>616297</v>
          </cell>
          <cell r="X296">
            <v>698553</v>
          </cell>
          <cell r="Y296">
            <v>831289</v>
          </cell>
          <cell r="Z296">
            <v>925270</v>
          </cell>
          <cell r="AA296">
            <v>928178</v>
          </cell>
          <cell r="AB296">
            <v>534823</v>
          </cell>
          <cell r="AC296">
            <v>539513</v>
          </cell>
          <cell r="AD296">
            <v>583159</v>
          </cell>
          <cell r="AE296">
            <v>614434</v>
          </cell>
          <cell r="AF296">
            <v>621486</v>
          </cell>
          <cell r="AG296">
            <v>543664</v>
          </cell>
          <cell r="AI296">
            <v>1907276</v>
          </cell>
        </row>
        <row r="297">
          <cell r="I297">
            <v>275832</v>
          </cell>
          <cell r="J297">
            <v>266792</v>
          </cell>
          <cell r="K297">
            <v>269982</v>
          </cell>
          <cell r="L297">
            <v>469382</v>
          </cell>
          <cell r="M297">
            <v>454409</v>
          </cell>
          <cell r="N297">
            <v>433910</v>
          </cell>
          <cell r="O297">
            <v>482056</v>
          </cell>
          <cell r="P297">
            <v>185324</v>
          </cell>
          <cell r="Q297">
            <v>147930</v>
          </cell>
          <cell r="R297">
            <v>167551</v>
          </cell>
          <cell r="S297">
            <v>158192</v>
          </cell>
          <cell r="T297">
            <v>180450</v>
          </cell>
          <cell r="U297">
            <v>137958</v>
          </cell>
          <cell r="V297">
            <v>139193</v>
          </cell>
          <cell r="W297">
            <v>182632</v>
          </cell>
          <cell r="X297">
            <v>193117</v>
          </cell>
          <cell r="Y297">
            <v>270952</v>
          </cell>
          <cell r="Z297">
            <v>283297</v>
          </cell>
          <cell r="AA297">
            <v>256766</v>
          </cell>
          <cell r="AB297">
            <v>166718</v>
          </cell>
          <cell r="AC297">
            <v>140752</v>
          </cell>
          <cell r="AD297">
            <v>135387</v>
          </cell>
          <cell r="AE297">
            <v>146097</v>
          </cell>
          <cell r="AF297">
            <v>154903</v>
          </cell>
          <cell r="AG297">
            <v>128943</v>
          </cell>
          <cell r="AI297">
            <v>266792</v>
          </cell>
        </row>
        <row r="298">
          <cell r="I298">
            <v>453203</v>
          </cell>
          <cell r="J298">
            <v>558954</v>
          </cell>
          <cell r="K298">
            <v>444244</v>
          </cell>
          <cell r="L298">
            <v>642621</v>
          </cell>
          <cell r="M298">
            <v>654040</v>
          </cell>
          <cell r="N298">
            <v>841357</v>
          </cell>
          <cell r="O298">
            <v>521283</v>
          </cell>
          <cell r="P298">
            <v>471536</v>
          </cell>
          <cell r="Q298">
            <v>410411</v>
          </cell>
          <cell r="R298">
            <v>462529</v>
          </cell>
          <cell r="S298">
            <v>488681</v>
          </cell>
          <cell r="T298">
            <v>484256</v>
          </cell>
          <cell r="U298">
            <v>470156</v>
          </cell>
          <cell r="V298">
            <v>454583</v>
          </cell>
          <cell r="W298">
            <v>493270</v>
          </cell>
          <cell r="X298">
            <v>510226</v>
          </cell>
          <cell r="Y298">
            <v>651841</v>
          </cell>
          <cell r="Z298">
            <v>889756</v>
          </cell>
          <cell r="AA298">
            <v>524925</v>
          </cell>
          <cell r="AB298">
            <v>492555</v>
          </cell>
          <cell r="AC298">
            <v>418347</v>
          </cell>
          <cell r="AD298">
            <v>429775</v>
          </cell>
          <cell r="AE298">
            <v>479685</v>
          </cell>
          <cell r="AF298">
            <v>459192</v>
          </cell>
          <cell r="AG298">
            <v>447147</v>
          </cell>
          <cell r="AI298">
            <v>558954</v>
          </cell>
        </row>
        <row r="299">
          <cell r="I299">
            <v>1016639</v>
          </cell>
          <cell r="J299">
            <v>1191647</v>
          </cell>
          <cell r="K299">
            <v>876124</v>
          </cell>
          <cell r="L299">
            <v>1308353</v>
          </cell>
          <cell r="M299">
            <v>1224014</v>
          </cell>
          <cell r="N299">
            <v>1205098</v>
          </cell>
          <cell r="O299">
            <v>1327025</v>
          </cell>
          <cell r="P299">
            <v>689226</v>
          </cell>
          <cell r="Q299">
            <v>659549</v>
          </cell>
          <cell r="R299">
            <v>709121</v>
          </cell>
          <cell r="S299">
            <v>714802</v>
          </cell>
          <cell r="T299">
            <v>658158</v>
          </cell>
          <cell r="U299">
            <v>602316</v>
          </cell>
          <cell r="V299">
            <v>525416</v>
          </cell>
          <cell r="W299">
            <v>589665</v>
          </cell>
          <cell r="X299">
            <v>626681</v>
          </cell>
          <cell r="Y299">
            <v>750778</v>
          </cell>
          <cell r="Z299">
            <v>756563</v>
          </cell>
          <cell r="AA299">
            <v>798198</v>
          </cell>
          <cell r="AB299">
            <v>631030</v>
          </cell>
          <cell r="AC299">
            <v>536873</v>
          </cell>
          <cell r="AD299">
            <v>628636</v>
          </cell>
          <cell r="AE299">
            <v>658301</v>
          </cell>
          <cell r="AF299">
            <v>654950</v>
          </cell>
          <cell r="AG299">
            <v>565459</v>
          </cell>
          <cell r="AI299">
            <v>1191647</v>
          </cell>
        </row>
        <row r="301">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71</v>
          </cell>
          <cell r="AI301">
            <v>0</v>
          </cell>
        </row>
        <row r="302">
          <cell r="I302">
            <v>2386</v>
          </cell>
          <cell r="J302">
            <v>3436</v>
          </cell>
          <cell r="K302">
            <v>6165</v>
          </cell>
          <cell r="L302">
            <v>7744</v>
          </cell>
          <cell r="M302">
            <v>7982</v>
          </cell>
          <cell r="N302">
            <v>8968</v>
          </cell>
          <cell r="O302">
            <v>5332</v>
          </cell>
          <cell r="P302">
            <v>2520</v>
          </cell>
          <cell r="Q302">
            <v>2632</v>
          </cell>
          <cell r="R302">
            <v>2613</v>
          </cell>
          <cell r="S302">
            <v>2804</v>
          </cell>
          <cell r="T302">
            <v>2633</v>
          </cell>
          <cell r="U302">
            <v>2506</v>
          </cell>
          <cell r="V302">
            <v>4116</v>
          </cell>
          <cell r="W302">
            <v>5245</v>
          </cell>
          <cell r="X302">
            <v>7504</v>
          </cell>
          <cell r="Y302">
            <v>8822</v>
          </cell>
          <cell r="Z302">
            <v>9288</v>
          </cell>
          <cell r="AA302">
            <v>5412</v>
          </cell>
          <cell r="AB302">
            <v>3280</v>
          </cell>
          <cell r="AC302">
            <v>2832</v>
          </cell>
          <cell r="AD302">
            <v>2813</v>
          </cell>
          <cell r="AE302">
            <v>3444</v>
          </cell>
          <cell r="AF302">
            <v>993</v>
          </cell>
          <cell r="AG302">
            <v>2506</v>
          </cell>
          <cell r="AI302">
            <v>3436</v>
          </cell>
        </row>
        <row r="303">
          <cell r="I303">
            <v>20520</v>
          </cell>
          <cell r="J303">
            <v>23580</v>
          </cell>
          <cell r="K303">
            <v>25920</v>
          </cell>
          <cell r="L303">
            <v>28500</v>
          </cell>
          <cell r="M303">
            <v>31920</v>
          </cell>
          <cell r="N303">
            <v>23400</v>
          </cell>
          <cell r="O303">
            <v>19380</v>
          </cell>
          <cell r="P303">
            <v>14340</v>
          </cell>
          <cell r="Q303">
            <v>17220</v>
          </cell>
          <cell r="R303">
            <v>25380</v>
          </cell>
          <cell r="S303">
            <v>21180</v>
          </cell>
          <cell r="T303">
            <v>20520</v>
          </cell>
          <cell r="U303">
            <v>25920</v>
          </cell>
          <cell r="V303">
            <v>30000</v>
          </cell>
          <cell r="W303">
            <v>31980</v>
          </cell>
          <cell r="X303">
            <v>31440</v>
          </cell>
          <cell r="Y303">
            <v>30540</v>
          </cell>
          <cell r="Z303">
            <v>27900</v>
          </cell>
          <cell r="AA303">
            <v>29760</v>
          </cell>
          <cell r="AB303">
            <v>22980</v>
          </cell>
          <cell r="AC303">
            <v>20160</v>
          </cell>
          <cell r="AD303">
            <v>26820</v>
          </cell>
          <cell r="AE303">
            <v>29520</v>
          </cell>
          <cell r="AF303">
            <v>27000</v>
          </cell>
          <cell r="AG303">
            <v>27900</v>
          </cell>
          <cell r="AI303">
            <v>23580</v>
          </cell>
        </row>
        <row r="304">
          <cell r="I304">
            <v>566</v>
          </cell>
          <cell r="J304">
            <v>2529</v>
          </cell>
          <cell r="K304">
            <v>4013</v>
          </cell>
          <cell r="L304">
            <v>3910</v>
          </cell>
          <cell r="M304">
            <v>3892</v>
          </cell>
          <cell r="N304">
            <v>4523</v>
          </cell>
          <cell r="O304">
            <v>1435</v>
          </cell>
          <cell r="P304">
            <v>1769</v>
          </cell>
          <cell r="Q304">
            <v>605</v>
          </cell>
          <cell r="R304">
            <v>717</v>
          </cell>
          <cell r="S304">
            <v>569</v>
          </cell>
          <cell r="T304">
            <v>529</v>
          </cell>
          <cell r="U304">
            <v>631</v>
          </cell>
          <cell r="V304">
            <v>2330</v>
          </cell>
          <cell r="W304">
            <v>3203</v>
          </cell>
          <cell r="X304">
            <v>3437</v>
          </cell>
          <cell r="Y304">
            <v>4143</v>
          </cell>
          <cell r="Z304">
            <v>5570</v>
          </cell>
          <cell r="AA304">
            <v>3023</v>
          </cell>
          <cell r="AB304">
            <v>1650</v>
          </cell>
          <cell r="AC304">
            <v>918</v>
          </cell>
          <cell r="AD304">
            <v>950</v>
          </cell>
          <cell r="AE304">
            <v>979</v>
          </cell>
          <cell r="AF304">
            <v>852</v>
          </cell>
          <cell r="AG304">
            <v>841</v>
          </cell>
          <cell r="AI304">
            <v>2529</v>
          </cell>
        </row>
        <row r="305">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I305">
            <v>0</v>
          </cell>
        </row>
        <row r="306">
          <cell r="I306">
            <v>6882</v>
          </cell>
          <cell r="J306">
            <v>10827</v>
          </cell>
          <cell r="K306">
            <v>14754</v>
          </cell>
          <cell r="L306">
            <v>18795</v>
          </cell>
          <cell r="M306">
            <v>17271</v>
          </cell>
          <cell r="N306">
            <v>52289</v>
          </cell>
          <cell r="O306">
            <v>66131</v>
          </cell>
          <cell r="P306">
            <v>42005</v>
          </cell>
          <cell r="Q306">
            <v>47686</v>
          </cell>
          <cell r="R306">
            <v>48446</v>
          </cell>
          <cell r="S306">
            <v>45465</v>
          </cell>
          <cell r="T306">
            <v>45352</v>
          </cell>
          <cell r="U306">
            <v>52002</v>
          </cell>
          <cell r="V306">
            <v>45387</v>
          </cell>
          <cell r="W306">
            <v>62754</v>
          </cell>
          <cell r="X306">
            <v>122475</v>
          </cell>
          <cell r="Y306">
            <v>75422</v>
          </cell>
          <cell r="Z306">
            <v>63217</v>
          </cell>
          <cell r="AA306">
            <v>55571</v>
          </cell>
          <cell r="AB306">
            <v>50645</v>
          </cell>
          <cell r="AC306">
            <v>62086</v>
          </cell>
          <cell r="AD306">
            <v>66686</v>
          </cell>
          <cell r="AE306">
            <v>57945</v>
          </cell>
          <cell r="AF306">
            <v>65512</v>
          </cell>
          <cell r="AG306">
            <v>62562</v>
          </cell>
          <cell r="AI306">
            <v>10827</v>
          </cell>
        </row>
        <row r="307">
          <cell r="I307">
            <v>13861</v>
          </cell>
          <cell r="J307">
            <v>29370</v>
          </cell>
          <cell r="K307">
            <v>5480</v>
          </cell>
          <cell r="L307">
            <v>7237</v>
          </cell>
          <cell r="M307">
            <v>6275</v>
          </cell>
          <cell r="N307">
            <v>10252</v>
          </cell>
          <cell r="O307">
            <v>36392</v>
          </cell>
          <cell r="P307">
            <v>17132</v>
          </cell>
          <cell r="Q307">
            <v>24956</v>
          </cell>
          <cell r="R307">
            <v>40273</v>
          </cell>
          <cell r="S307">
            <v>16029</v>
          </cell>
          <cell r="T307">
            <v>12125</v>
          </cell>
          <cell r="U307">
            <v>15432</v>
          </cell>
          <cell r="V307">
            <v>20374</v>
          </cell>
          <cell r="W307">
            <v>8804</v>
          </cell>
          <cell r="X307">
            <v>5388</v>
          </cell>
          <cell r="Y307">
            <v>7537</v>
          </cell>
          <cell r="Z307">
            <v>8350</v>
          </cell>
          <cell r="AA307">
            <v>22353</v>
          </cell>
          <cell r="AB307">
            <v>23854</v>
          </cell>
          <cell r="AC307">
            <v>22043</v>
          </cell>
          <cell r="AD307">
            <v>24890</v>
          </cell>
          <cell r="AE307">
            <v>44018</v>
          </cell>
          <cell r="AF307">
            <v>35328</v>
          </cell>
          <cell r="AG307">
            <v>24479</v>
          </cell>
          <cell r="AI307">
            <v>29370</v>
          </cell>
        </row>
        <row r="308">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I308">
            <v>0</v>
          </cell>
        </row>
        <row r="309">
          <cell r="I309">
            <v>3440</v>
          </cell>
          <cell r="J309">
            <v>3840</v>
          </cell>
          <cell r="K309">
            <v>6920</v>
          </cell>
          <cell r="L309">
            <v>14160</v>
          </cell>
          <cell r="M309">
            <v>15240</v>
          </cell>
          <cell r="N309">
            <v>10480</v>
          </cell>
          <cell r="O309">
            <v>8360</v>
          </cell>
          <cell r="P309">
            <v>4680</v>
          </cell>
          <cell r="Q309">
            <v>3840</v>
          </cell>
          <cell r="R309">
            <v>3880</v>
          </cell>
          <cell r="S309">
            <v>3440</v>
          </cell>
          <cell r="T309">
            <v>2720</v>
          </cell>
          <cell r="U309">
            <v>2920</v>
          </cell>
          <cell r="V309">
            <v>2800</v>
          </cell>
          <cell r="W309">
            <v>11880</v>
          </cell>
          <cell r="X309">
            <v>12760</v>
          </cell>
          <cell r="Y309">
            <v>21920</v>
          </cell>
          <cell r="Z309">
            <v>12240</v>
          </cell>
          <cell r="AA309">
            <v>7960</v>
          </cell>
          <cell r="AB309">
            <v>3840</v>
          </cell>
          <cell r="AC309">
            <v>3040</v>
          </cell>
          <cell r="AD309">
            <v>3360</v>
          </cell>
          <cell r="AE309">
            <v>4200</v>
          </cell>
          <cell r="AF309">
            <v>3600</v>
          </cell>
          <cell r="AG309">
            <v>4160</v>
          </cell>
          <cell r="AI309">
            <v>3840</v>
          </cell>
        </row>
        <row r="310">
          <cell r="I310">
            <v>10068</v>
          </cell>
          <cell r="J310">
            <v>8008</v>
          </cell>
          <cell r="K310">
            <v>9849</v>
          </cell>
          <cell r="L310">
            <v>10480</v>
          </cell>
          <cell r="M310">
            <v>10812</v>
          </cell>
          <cell r="N310">
            <v>10512</v>
          </cell>
          <cell r="O310">
            <v>7144</v>
          </cell>
          <cell r="P310">
            <v>6880</v>
          </cell>
          <cell r="Q310">
            <v>6144</v>
          </cell>
          <cell r="R310">
            <v>5707</v>
          </cell>
          <cell r="S310">
            <v>6968</v>
          </cell>
          <cell r="T310">
            <v>6467</v>
          </cell>
          <cell r="U310">
            <v>6452</v>
          </cell>
          <cell r="V310">
            <v>6072</v>
          </cell>
          <cell r="W310">
            <v>7769</v>
          </cell>
          <cell r="X310">
            <v>6848</v>
          </cell>
          <cell r="Y310">
            <v>7884</v>
          </cell>
          <cell r="Z310">
            <v>8816</v>
          </cell>
          <cell r="AA310">
            <v>8376</v>
          </cell>
          <cell r="AB310">
            <v>6896</v>
          </cell>
          <cell r="AC310">
            <v>6032</v>
          </cell>
          <cell r="AD310">
            <v>7266</v>
          </cell>
          <cell r="AE310">
            <v>6826</v>
          </cell>
          <cell r="AF310">
            <v>6138</v>
          </cell>
          <cell r="AG310">
            <v>6831</v>
          </cell>
          <cell r="AI310">
            <v>8008</v>
          </cell>
        </row>
        <row r="311">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I311">
            <v>0</v>
          </cell>
        </row>
        <row r="312">
          <cell r="I312">
            <v>148120</v>
          </cell>
          <cell r="J312">
            <v>139640</v>
          </cell>
          <cell r="K312">
            <v>132480</v>
          </cell>
          <cell r="L312">
            <v>122120</v>
          </cell>
          <cell r="M312">
            <v>121920</v>
          </cell>
          <cell r="N312">
            <v>131600</v>
          </cell>
          <cell r="O312">
            <v>149960</v>
          </cell>
          <cell r="P312">
            <v>116440</v>
          </cell>
          <cell r="Q312">
            <v>119960</v>
          </cell>
          <cell r="R312">
            <v>128120</v>
          </cell>
          <cell r="S312">
            <v>130360</v>
          </cell>
          <cell r="T312">
            <v>139440</v>
          </cell>
          <cell r="U312">
            <v>116560</v>
          </cell>
          <cell r="V312">
            <v>109280</v>
          </cell>
          <cell r="W312">
            <v>121240</v>
          </cell>
          <cell r="X312">
            <v>121520</v>
          </cell>
          <cell r="Y312">
            <v>123880</v>
          </cell>
          <cell r="Z312">
            <v>124840</v>
          </cell>
          <cell r="AA312">
            <v>121680</v>
          </cell>
          <cell r="AB312">
            <v>113960</v>
          </cell>
          <cell r="AC312">
            <v>107120</v>
          </cell>
          <cell r="AD312">
            <v>127640</v>
          </cell>
          <cell r="AE312">
            <v>123400</v>
          </cell>
          <cell r="AF312">
            <v>122920</v>
          </cell>
          <cell r="AG312">
            <v>105360</v>
          </cell>
          <cell r="AI312">
            <v>139640</v>
          </cell>
        </row>
        <row r="313">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5400</v>
          </cell>
          <cell r="AE313">
            <v>5160</v>
          </cell>
          <cell r="AF313">
            <v>5800</v>
          </cell>
          <cell r="AG313">
            <v>5000</v>
          </cell>
          <cell r="AI313">
            <v>0</v>
          </cell>
        </row>
        <row r="314">
          <cell r="I314">
            <v>487375</v>
          </cell>
          <cell r="J314">
            <v>527389</v>
          </cell>
          <cell r="K314">
            <v>1607729</v>
          </cell>
          <cell r="L314">
            <v>1651058</v>
          </cell>
          <cell r="M314">
            <v>1738280</v>
          </cell>
          <cell r="N314">
            <v>1721902</v>
          </cell>
          <cell r="O314">
            <v>1875366</v>
          </cell>
          <cell r="P314">
            <v>1639589</v>
          </cell>
          <cell r="Q314">
            <v>1514998</v>
          </cell>
          <cell r="R314">
            <v>1824556</v>
          </cell>
          <cell r="S314">
            <v>1688626</v>
          </cell>
          <cell r="T314">
            <v>1813057</v>
          </cell>
          <cell r="U314">
            <v>1643313</v>
          </cell>
          <cell r="V314">
            <v>1499947</v>
          </cell>
          <cell r="W314">
            <v>1806876</v>
          </cell>
          <cell r="X314">
            <v>1781930</v>
          </cell>
          <cell r="Y314">
            <v>1792371</v>
          </cell>
          <cell r="Z314">
            <v>1958672</v>
          </cell>
          <cell r="AA314">
            <v>1802178</v>
          </cell>
          <cell r="AB314">
            <v>1683966</v>
          </cell>
          <cell r="AC314">
            <v>1634380</v>
          </cell>
          <cell r="AD314">
            <v>1692010</v>
          </cell>
          <cell r="AE314">
            <v>1618190</v>
          </cell>
          <cell r="AF314">
            <v>1571434</v>
          </cell>
          <cell r="AG314">
            <v>1733380</v>
          </cell>
          <cell r="AI314">
            <v>527389</v>
          </cell>
        </row>
        <row r="315">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I315">
            <v>0</v>
          </cell>
        </row>
        <row r="316">
          <cell r="I316">
            <v>20074</v>
          </cell>
          <cell r="J316">
            <v>21157</v>
          </cell>
          <cell r="K316">
            <v>21182</v>
          </cell>
          <cell r="L316">
            <v>22072</v>
          </cell>
          <cell r="M316">
            <v>21831</v>
          </cell>
          <cell r="N316">
            <v>22724</v>
          </cell>
          <cell r="O316">
            <v>18966</v>
          </cell>
          <cell r="P316">
            <v>19360</v>
          </cell>
          <cell r="Q316">
            <v>18225</v>
          </cell>
          <cell r="R316">
            <v>20107</v>
          </cell>
          <cell r="S316">
            <v>21928</v>
          </cell>
          <cell r="T316">
            <v>18867</v>
          </cell>
          <cell r="U316">
            <v>17173</v>
          </cell>
          <cell r="V316">
            <v>16153</v>
          </cell>
          <cell r="W316">
            <v>19529</v>
          </cell>
          <cell r="X316">
            <v>22127</v>
          </cell>
          <cell r="Y316">
            <v>20525</v>
          </cell>
          <cell r="Z316">
            <v>18737</v>
          </cell>
          <cell r="AA316">
            <v>18584</v>
          </cell>
          <cell r="AB316">
            <v>19520</v>
          </cell>
          <cell r="AC316">
            <v>17825</v>
          </cell>
          <cell r="AD316">
            <v>18347</v>
          </cell>
          <cell r="AE316">
            <v>17448</v>
          </cell>
          <cell r="AF316">
            <v>13347</v>
          </cell>
          <cell r="AG316">
            <v>15573</v>
          </cell>
          <cell r="AI316">
            <v>21157</v>
          </cell>
        </row>
        <row r="317">
          <cell r="I317">
            <v>49393</v>
          </cell>
          <cell r="J317">
            <v>38793</v>
          </cell>
          <cell r="K317">
            <v>32489</v>
          </cell>
          <cell r="L317">
            <v>28207</v>
          </cell>
          <cell r="M317">
            <v>30485</v>
          </cell>
          <cell r="N317">
            <v>30837</v>
          </cell>
          <cell r="O317">
            <v>29144</v>
          </cell>
          <cell r="P317">
            <v>32640</v>
          </cell>
          <cell r="Q317">
            <v>41385</v>
          </cell>
          <cell r="R317">
            <v>53987</v>
          </cell>
          <cell r="S317">
            <v>56028</v>
          </cell>
          <cell r="T317">
            <v>64427</v>
          </cell>
          <cell r="U317">
            <v>52553</v>
          </cell>
          <cell r="V317">
            <v>42533</v>
          </cell>
          <cell r="W317">
            <v>32329</v>
          </cell>
          <cell r="X317">
            <v>32667</v>
          </cell>
          <cell r="Y317">
            <v>35885</v>
          </cell>
          <cell r="Z317">
            <v>35357</v>
          </cell>
          <cell r="AA317">
            <v>37844</v>
          </cell>
          <cell r="AB317">
            <v>39540</v>
          </cell>
          <cell r="AC317">
            <v>41425</v>
          </cell>
          <cell r="AD317">
            <v>64667</v>
          </cell>
          <cell r="AE317">
            <v>71528</v>
          </cell>
          <cell r="AF317">
            <v>71227</v>
          </cell>
          <cell r="AG317">
            <v>60613</v>
          </cell>
          <cell r="AI317">
            <v>38793</v>
          </cell>
        </row>
        <row r="318">
          <cell r="I318">
            <v>6019</v>
          </cell>
          <cell r="J318">
            <v>5323</v>
          </cell>
          <cell r="K318">
            <v>5873</v>
          </cell>
          <cell r="L318">
            <v>8973</v>
          </cell>
          <cell r="M318">
            <v>8107</v>
          </cell>
          <cell r="N318">
            <v>7505</v>
          </cell>
          <cell r="O318">
            <v>8706</v>
          </cell>
          <cell r="P318">
            <v>6499</v>
          </cell>
          <cell r="Q318">
            <v>5538</v>
          </cell>
          <cell r="R318">
            <v>6213</v>
          </cell>
          <cell r="S318">
            <v>5947</v>
          </cell>
          <cell r="T318">
            <v>5438</v>
          </cell>
          <cell r="U318">
            <v>6744</v>
          </cell>
          <cell r="V318">
            <v>5480</v>
          </cell>
          <cell r="W318">
            <v>7982</v>
          </cell>
          <cell r="X318">
            <v>7097</v>
          </cell>
          <cell r="Y318">
            <v>9739</v>
          </cell>
          <cell r="Z318">
            <v>8632</v>
          </cell>
          <cell r="AA318">
            <v>9061</v>
          </cell>
          <cell r="AB318">
            <v>6282</v>
          </cell>
          <cell r="AC318">
            <v>4979</v>
          </cell>
          <cell r="AD318">
            <v>5577</v>
          </cell>
          <cell r="AE318">
            <v>5361</v>
          </cell>
          <cell r="AF318">
            <v>5134</v>
          </cell>
          <cell r="AG318">
            <v>6146</v>
          </cell>
          <cell r="AI318">
            <v>5323</v>
          </cell>
        </row>
        <row r="319">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I319">
            <v>0</v>
          </cell>
        </row>
        <row r="320">
          <cell r="I320">
            <v>2830500</v>
          </cell>
          <cell r="J320">
            <v>102300</v>
          </cell>
          <cell r="K320">
            <v>100500</v>
          </cell>
          <cell r="L320">
            <v>90900</v>
          </cell>
          <cell r="M320">
            <v>116100</v>
          </cell>
          <cell r="N320">
            <v>117600</v>
          </cell>
          <cell r="O320">
            <v>145500</v>
          </cell>
          <cell r="P320">
            <v>119700</v>
          </cell>
          <cell r="Q320">
            <v>103801</v>
          </cell>
          <cell r="R320">
            <v>97563</v>
          </cell>
          <cell r="S320">
            <v>103865</v>
          </cell>
          <cell r="T320">
            <v>101518</v>
          </cell>
          <cell r="U320">
            <v>108398</v>
          </cell>
          <cell r="V320">
            <v>113927</v>
          </cell>
          <cell r="W320">
            <v>120306</v>
          </cell>
          <cell r="X320">
            <v>120299</v>
          </cell>
          <cell r="Y320">
            <v>118503</v>
          </cell>
          <cell r="Z320">
            <v>127627</v>
          </cell>
          <cell r="AA320">
            <v>118431</v>
          </cell>
          <cell r="AB320">
            <v>103309</v>
          </cell>
          <cell r="AC320">
            <v>98911</v>
          </cell>
          <cell r="AD320">
            <v>96309</v>
          </cell>
          <cell r="AE320">
            <v>13907</v>
          </cell>
          <cell r="AF320">
            <v>6613</v>
          </cell>
          <cell r="AG320">
            <v>3286</v>
          </cell>
          <cell r="AI320">
            <v>102300</v>
          </cell>
        </row>
        <row r="322">
          <cell r="I322">
            <v>824194</v>
          </cell>
          <cell r="J322">
            <v>844928</v>
          </cell>
          <cell r="K322">
            <v>1069608</v>
          </cell>
          <cell r="L322">
            <v>1190564</v>
          </cell>
          <cell r="M322">
            <v>1050456</v>
          </cell>
          <cell r="N322">
            <v>952116</v>
          </cell>
          <cell r="O322">
            <v>870411</v>
          </cell>
          <cell r="P322">
            <v>804427</v>
          </cell>
          <cell r="Q322">
            <v>808266</v>
          </cell>
          <cell r="R322">
            <v>801437</v>
          </cell>
          <cell r="S322">
            <v>697702</v>
          </cell>
          <cell r="T322">
            <v>730077</v>
          </cell>
          <cell r="U322">
            <v>730400</v>
          </cell>
          <cell r="V322">
            <v>846202</v>
          </cell>
          <cell r="W322">
            <v>921680</v>
          </cell>
          <cell r="X322">
            <v>1045531</v>
          </cell>
          <cell r="Y322">
            <v>775491</v>
          </cell>
          <cell r="Z322">
            <v>872521</v>
          </cell>
          <cell r="AA322">
            <v>866312</v>
          </cell>
          <cell r="AB322">
            <v>803770</v>
          </cell>
          <cell r="AC322">
            <v>739893</v>
          </cell>
          <cell r="AD322">
            <v>704546</v>
          </cell>
          <cell r="AE322">
            <v>617024</v>
          </cell>
          <cell r="AF322">
            <v>648382</v>
          </cell>
          <cell r="AG322">
            <v>695633</v>
          </cell>
          <cell r="AI322">
            <v>844928</v>
          </cell>
        </row>
        <row r="323">
          <cell r="I323">
            <v>3558000</v>
          </cell>
          <cell r="J323">
            <v>3454500</v>
          </cell>
          <cell r="K323">
            <v>4188000</v>
          </cell>
          <cell r="L323">
            <v>3894000</v>
          </cell>
          <cell r="M323">
            <v>3594000</v>
          </cell>
          <cell r="N323">
            <v>3966000</v>
          </cell>
          <cell r="O323">
            <v>3453000</v>
          </cell>
          <cell r="P323">
            <v>3610500</v>
          </cell>
          <cell r="Q323">
            <v>3184500</v>
          </cell>
          <cell r="R323">
            <v>3069000</v>
          </cell>
          <cell r="S323">
            <v>2469000</v>
          </cell>
          <cell r="T323">
            <v>3184500</v>
          </cell>
          <cell r="U323">
            <v>2989500</v>
          </cell>
          <cell r="V323">
            <v>3541500</v>
          </cell>
          <cell r="W323">
            <v>3240000</v>
          </cell>
          <cell r="X323">
            <v>2943000</v>
          </cell>
          <cell r="Y323">
            <v>3460500</v>
          </cell>
          <cell r="Z323">
            <v>3316500</v>
          </cell>
          <cell r="AA323">
            <v>3223500</v>
          </cell>
          <cell r="AB323">
            <v>2586000</v>
          </cell>
          <cell r="AC323">
            <v>2629500</v>
          </cell>
          <cell r="AD323">
            <v>2673000</v>
          </cell>
          <cell r="AE323">
            <v>2550000</v>
          </cell>
          <cell r="AF323">
            <v>2511000</v>
          </cell>
          <cell r="AG323">
            <v>2842500</v>
          </cell>
          <cell r="AI323">
            <v>3454500</v>
          </cell>
        </row>
        <row r="324">
          <cell r="I324">
            <v>0</v>
          </cell>
          <cell r="J324">
            <v>0</v>
          </cell>
          <cell r="K324">
            <v>0</v>
          </cell>
          <cell r="L324">
            <v>0</v>
          </cell>
          <cell r="M324">
            <v>0</v>
          </cell>
          <cell r="N324">
            <v>0</v>
          </cell>
          <cell r="O324">
            <v>0</v>
          </cell>
          <cell r="P324">
            <v>0</v>
          </cell>
          <cell r="Q324">
            <v>0</v>
          </cell>
          <cell r="R324">
            <v>0</v>
          </cell>
          <cell r="S324">
            <v>0</v>
          </cell>
          <cell r="T324">
            <v>0</v>
          </cell>
          <cell r="U324">
            <v>0</v>
          </cell>
          <cell r="V324">
            <v>2560</v>
          </cell>
          <cell r="W324">
            <v>4480</v>
          </cell>
          <cell r="X324">
            <v>640</v>
          </cell>
          <cell r="Y324">
            <v>640</v>
          </cell>
          <cell r="Z324">
            <v>1600</v>
          </cell>
          <cell r="AA324">
            <v>3520</v>
          </cell>
          <cell r="AB324">
            <v>2880</v>
          </cell>
          <cell r="AC324">
            <v>2880</v>
          </cell>
          <cell r="AD324">
            <v>2560</v>
          </cell>
          <cell r="AE324">
            <v>2240</v>
          </cell>
          <cell r="AF324">
            <v>2880</v>
          </cell>
          <cell r="AG324">
            <v>1600</v>
          </cell>
          <cell r="AI324">
            <v>0</v>
          </cell>
        </row>
        <row r="325">
          <cell r="I325">
            <v>1011678</v>
          </cell>
          <cell r="J325">
            <v>1042752</v>
          </cell>
          <cell r="K325">
            <v>1213632</v>
          </cell>
          <cell r="L325">
            <v>1237203</v>
          </cell>
          <cell r="M325">
            <v>1120669</v>
          </cell>
          <cell r="N325">
            <v>1216869</v>
          </cell>
          <cell r="O325">
            <v>991823</v>
          </cell>
          <cell r="P325">
            <v>864800</v>
          </cell>
          <cell r="Q325">
            <v>898115</v>
          </cell>
          <cell r="R325">
            <v>900828</v>
          </cell>
          <cell r="S325">
            <v>744809</v>
          </cell>
          <cell r="T325">
            <v>864873</v>
          </cell>
          <cell r="U325">
            <v>897257</v>
          </cell>
          <cell r="V325">
            <v>1007696</v>
          </cell>
          <cell r="W325">
            <v>1274282</v>
          </cell>
          <cell r="X325">
            <v>1300448</v>
          </cell>
          <cell r="Y325">
            <v>1336178</v>
          </cell>
          <cell r="Z325">
            <v>1394591</v>
          </cell>
          <cell r="AA325">
            <v>1105113</v>
          </cell>
          <cell r="AB325">
            <v>967019</v>
          </cell>
          <cell r="AC325">
            <v>997296</v>
          </cell>
          <cell r="AD325">
            <v>948279</v>
          </cell>
          <cell r="AE325">
            <v>841696</v>
          </cell>
          <cell r="AF325">
            <v>819726</v>
          </cell>
          <cell r="AG325">
            <v>852481</v>
          </cell>
          <cell r="AI325">
            <v>1042752</v>
          </cell>
        </row>
        <row r="326">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I326">
            <v>0</v>
          </cell>
        </row>
        <row r="327">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I327">
            <v>0</v>
          </cell>
        </row>
        <row r="328">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I328">
            <v>0</v>
          </cell>
        </row>
        <row r="329">
          <cell r="I329">
            <v>4</v>
          </cell>
          <cell r="J329">
            <v>8</v>
          </cell>
          <cell r="K329">
            <v>2</v>
          </cell>
          <cell r="L329">
            <v>5</v>
          </cell>
          <cell r="M329">
            <v>2</v>
          </cell>
          <cell r="N329">
            <v>30</v>
          </cell>
          <cell r="O329">
            <v>7</v>
          </cell>
          <cell r="P329">
            <v>4</v>
          </cell>
          <cell r="Q329">
            <v>6</v>
          </cell>
          <cell r="R329">
            <v>9</v>
          </cell>
          <cell r="S329">
            <v>10</v>
          </cell>
          <cell r="T329">
            <v>2</v>
          </cell>
          <cell r="U329">
            <v>21</v>
          </cell>
          <cell r="V329">
            <v>4</v>
          </cell>
          <cell r="W329">
            <v>30</v>
          </cell>
          <cell r="X329">
            <v>6</v>
          </cell>
          <cell r="Y329">
            <v>3</v>
          </cell>
          <cell r="Z329">
            <v>2</v>
          </cell>
          <cell r="AA329">
            <v>0</v>
          </cell>
          <cell r="AB329">
            <v>0</v>
          </cell>
          <cell r="AC329">
            <v>0</v>
          </cell>
          <cell r="AD329">
            <v>7</v>
          </cell>
          <cell r="AE329">
            <v>2</v>
          </cell>
          <cell r="AF329">
            <v>10</v>
          </cell>
          <cell r="AG329">
            <v>16</v>
          </cell>
          <cell r="AI329">
            <v>8</v>
          </cell>
        </row>
        <row r="330">
          <cell r="I330">
            <v>474800</v>
          </cell>
          <cell r="J330">
            <v>546800</v>
          </cell>
          <cell r="K330">
            <v>598800</v>
          </cell>
          <cell r="L330">
            <v>540800</v>
          </cell>
          <cell r="M330">
            <v>518800</v>
          </cell>
          <cell r="N330">
            <v>603600</v>
          </cell>
          <cell r="O330">
            <v>514400</v>
          </cell>
          <cell r="P330">
            <v>494800</v>
          </cell>
          <cell r="Q330">
            <v>583200</v>
          </cell>
          <cell r="R330">
            <v>521200</v>
          </cell>
          <cell r="S330">
            <v>546800</v>
          </cell>
          <cell r="T330">
            <v>504800</v>
          </cell>
          <cell r="U330">
            <v>587200</v>
          </cell>
          <cell r="V330">
            <v>531200</v>
          </cell>
          <cell r="W330">
            <v>682800</v>
          </cell>
          <cell r="X330">
            <v>732400</v>
          </cell>
          <cell r="Y330">
            <v>738000</v>
          </cell>
          <cell r="Z330">
            <v>832800</v>
          </cell>
          <cell r="AA330">
            <v>778000</v>
          </cell>
          <cell r="AB330">
            <v>756400</v>
          </cell>
          <cell r="AC330">
            <v>730000</v>
          </cell>
          <cell r="AD330">
            <v>683200</v>
          </cell>
          <cell r="AE330">
            <v>761200</v>
          </cell>
          <cell r="AF330">
            <v>747600</v>
          </cell>
          <cell r="AG330">
            <v>717200</v>
          </cell>
          <cell r="AI330">
            <v>546800</v>
          </cell>
        </row>
        <row r="331">
          <cell r="I331">
            <v>1037</v>
          </cell>
          <cell r="J331">
            <v>1459</v>
          </cell>
          <cell r="K331">
            <v>3462</v>
          </cell>
          <cell r="L331">
            <v>4842</v>
          </cell>
          <cell r="M331">
            <v>5814</v>
          </cell>
          <cell r="N331">
            <v>4440</v>
          </cell>
          <cell r="O331">
            <v>6553</v>
          </cell>
          <cell r="P331">
            <v>3313</v>
          </cell>
          <cell r="Q331">
            <v>2624</v>
          </cell>
          <cell r="R331">
            <v>2055</v>
          </cell>
          <cell r="S331">
            <v>872</v>
          </cell>
          <cell r="T331">
            <v>760</v>
          </cell>
          <cell r="U331">
            <v>854</v>
          </cell>
          <cell r="V331">
            <v>865</v>
          </cell>
          <cell r="W331">
            <v>2523</v>
          </cell>
          <cell r="X331">
            <v>3962</v>
          </cell>
          <cell r="Y331">
            <v>7505</v>
          </cell>
          <cell r="Z331">
            <v>2518</v>
          </cell>
          <cell r="AA331">
            <v>2617</v>
          </cell>
          <cell r="AB331">
            <v>530</v>
          </cell>
          <cell r="AC331">
            <v>482</v>
          </cell>
          <cell r="AD331">
            <v>663</v>
          </cell>
          <cell r="AE331">
            <v>701</v>
          </cell>
          <cell r="AF331">
            <v>770</v>
          </cell>
          <cell r="AG331">
            <v>527</v>
          </cell>
          <cell r="AI331">
            <v>1459</v>
          </cell>
        </row>
        <row r="332">
          <cell r="I332">
            <v>2496633</v>
          </cell>
          <cell r="J332">
            <v>2711856</v>
          </cell>
          <cell r="K332">
            <v>2881245</v>
          </cell>
          <cell r="L332">
            <v>3341153</v>
          </cell>
          <cell r="M332">
            <v>2861865</v>
          </cell>
          <cell r="N332">
            <v>3412291</v>
          </cell>
          <cell r="O332">
            <v>3193162</v>
          </cell>
          <cell r="P332">
            <v>2574515</v>
          </cell>
          <cell r="Q332">
            <v>2472712</v>
          </cell>
          <cell r="R332">
            <v>2498822</v>
          </cell>
          <cell r="S332">
            <v>3226381</v>
          </cell>
          <cell r="T332">
            <v>2895773</v>
          </cell>
          <cell r="U332">
            <v>3120933</v>
          </cell>
          <cell r="V332">
            <v>3008802</v>
          </cell>
          <cell r="W332">
            <v>3076077</v>
          </cell>
          <cell r="X332">
            <v>3331520</v>
          </cell>
          <cell r="Y332">
            <v>3255434</v>
          </cell>
          <cell r="Z332">
            <v>2296460</v>
          </cell>
          <cell r="AA332">
            <v>2540949</v>
          </cell>
          <cell r="AB332">
            <v>2358675</v>
          </cell>
          <cell r="AC332">
            <v>2257769</v>
          </cell>
          <cell r="AD332">
            <v>2220384</v>
          </cell>
          <cell r="AE332">
            <v>2234440</v>
          </cell>
          <cell r="AF332">
            <v>2204306</v>
          </cell>
          <cell r="AG332">
            <v>2080909</v>
          </cell>
          <cell r="AI332">
            <v>2711856</v>
          </cell>
        </row>
        <row r="333">
          <cell r="I333">
            <v>7872</v>
          </cell>
          <cell r="J333">
            <v>8736</v>
          </cell>
          <cell r="K333">
            <v>9312</v>
          </cell>
          <cell r="L333">
            <v>9312</v>
          </cell>
          <cell r="M333">
            <v>9792</v>
          </cell>
          <cell r="N333">
            <v>11616</v>
          </cell>
          <cell r="O333">
            <v>9600</v>
          </cell>
          <cell r="P333">
            <v>10752</v>
          </cell>
          <cell r="Q333">
            <v>7872</v>
          </cell>
          <cell r="R333">
            <v>7776</v>
          </cell>
          <cell r="S333">
            <v>7200</v>
          </cell>
          <cell r="T333">
            <v>8544</v>
          </cell>
          <cell r="U333">
            <v>9024</v>
          </cell>
          <cell r="V333">
            <v>8064</v>
          </cell>
          <cell r="W333">
            <v>12096</v>
          </cell>
          <cell r="X333">
            <v>10656</v>
          </cell>
          <cell r="Y333">
            <v>12672</v>
          </cell>
          <cell r="Z333">
            <v>13056</v>
          </cell>
          <cell r="AA333">
            <v>10656</v>
          </cell>
          <cell r="AB333">
            <v>8352</v>
          </cell>
          <cell r="AC333">
            <v>8352</v>
          </cell>
          <cell r="AD333">
            <v>8160</v>
          </cell>
          <cell r="AE333">
            <v>8064</v>
          </cell>
          <cell r="AF333">
            <v>6816</v>
          </cell>
          <cell r="AG333">
            <v>7680</v>
          </cell>
          <cell r="AI333">
            <v>8736</v>
          </cell>
        </row>
        <row r="334">
          <cell r="I334">
            <v>5252060</v>
          </cell>
          <cell r="J334">
            <v>4761873</v>
          </cell>
          <cell r="K334">
            <v>5604078</v>
          </cell>
          <cell r="L334">
            <v>4887753</v>
          </cell>
          <cell r="M334">
            <v>5169812</v>
          </cell>
          <cell r="N334">
            <v>5519434</v>
          </cell>
          <cell r="O334">
            <v>4995355</v>
          </cell>
          <cell r="P334">
            <v>4456520</v>
          </cell>
          <cell r="Q334">
            <v>4202130</v>
          </cell>
          <cell r="R334">
            <v>4631840</v>
          </cell>
          <cell r="S334">
            <v>4641869</v>
          </cell>
          <cell r="T334">
            <v>4572870</v>
          </cell>
          <cell r="U334">
            <v>4563991</v>
          </cell>
          <cell r="V334">
            <v>4667640</v>
          </cell>
          <cell r="W334">
            <v>5721241</v>
          </cell>
          <cell r="X334">
            <v>5450249</v>
          </cell>
          <cell r="Y334">
            <v>5692202</v>
          </cell>
          <cell r="Z334">
            <v>6133907</v>
          </cell>
          <cell r="AA334">
            <v>5134450</v>
          </cell>
          <cell r="AB334">
            <v>4996031</v>
          </cell>
          <cell r="AC334">
            <v>4921785</v>
          </cell>
          <cell r="AD334">
            <v>4361535</v>
          </cell>
          <cell r="AE334">
            <v>5101331</v>
          </cell>
          <cell r="AF334">
            <v>4848860</v>
          </cell>
          <cell r="AG334">
            <v>4792636</v>
          </cell>
          <cell r="AI334">
            <v>4761873</v>
          </cell>
        </row>
        <row r="335">
          <cell r="I335">
            <v>93088</v>
          </cell>
          <cell r="J335">
            <v>112431</v>
          </cell>
          <cell r="K335">
            <v>65613</v>
          </cell>
          <cell r="L335">
            <v>46307</v>
          </cell>
          <cell r="M335">
            <v>99534</v>
          </cell>
          <cell r="N335">
            <v>70992</v>
          </cell>
          <cell r="O335">
            <v>99095</v>
          </cell>
          <cell r="P335">
            <v>92161</v>
          </cell>
          <cell r="Q335">
            <v>92047</v>
          </cell>
          <cell r="R335">
            <v>85602</v>
          </cell>
          <cell r="S335">
            <v>91443</v>
          </cell>
          <cell r="T335">
            <v>70241</v>
          </cell>
          <cell r="U335">
            <v>14611</v>
          </cell>
          <cell r="V335">
            <v>32403</v>
          </cell>
          <cell r="W335">
            <v>88344</v>
          </cell>
          <cell r="X335">
            <v>53076</v>
          </cell>
          <cell r="Y335">
            <v>67776</v>
          </cell>
          <cell r="Z335">
            <v>82230</v>
          </cell>
          <cell r="AA335">
            <v>91696</v>
          </cell>
          <cell r="AB335">
            <v>99639</v>
          </cell>
          <cell r="AC335">
            <v>101734</v>
          </cell>
          <cell r="AD335">
            <v>78014</v>
          </cell>
          <cell r="AE335">
            <v>40528</v>
          </cell>
          <cell r="AF335">
            <v>38855</v>
          </cell>
          <cell r="AG335">
            <v>85539</v>
          </cell>
          <cell r="AI335">
            <v>112431</v>
          </cell>
        </row>
        <row r="336">
          <cell r="I336">
            <v>614400</v>
          </cell>
          <cell r="J336">
            <v>517200</v>
          </cell>
          <cell r="K336">
            <v>515400</v>
          </cell>
          <cell r="L336">
            <v>484200</v>
          </cell>
          <cell r="M336">
            <v>442200</v>
          </cell>
          <cell r="N336">
            <v>554400</v>
          </cell>
          <cell r="O336">
            <v>538800</v>
          </cell>
          <cell r="P336">
            <v>505200</v>
          </cell>
          <cell r="Q336">
            <v>439200</v>
          </cell>
          <cell r="R336">
            <v>473400</v>
          </cell>
          <cell r="S336">
            <v>514800</v>
          </cell>
          <cell r="T336">
            <v>444600</v>
          </cell>
          <cell r="U336">
            <v>512400</v>
          </cell>
          <cell r="V336">
            <v>396600</v>
          </cell>
          <cell r="W336">
            <v>556200</v>
          </cell>
          <cell r="X336">
            <v>539400</v>
          </cell>
          <cell r="Y336">
            <v>466200</v>
          </cell>
          <cell r="Z336">
            <v>573600</v>
          </cell>
          <cell r="AA336">
            <v>442200</v>
          </cell>
          <cell r="AB336">
            <v>472200</v>
          </cell>
          <cell r="AC336">
            <v>466800</v>
          </cell>
          <cell r="AD336">
            <v>455400</v>
          </cell>
          <cell r="AE336">
            <v>406800</v>
          </cell>
          <cell r="AF336">
            <v>383400</v>
          </cell>
          <cell r="AG336">
            <v>438600</v>
          </cell>
          <cell r="AI336">
            <v>517200</v>
          </cell>
        </row>
        <row r="337">
          <cell r="I337">
            <v>129000</v>
          </cell>
          <cell r="J337">
            <v>158640</v>
          </cell>
          <cell r="K337">
            <v>114920</v>
          </cell>
          <cell r="L337">
            <v>114600</v>
          </cell>
          <cell r="M337">
            <v>110240</v>
          </cell>
          <cell r="N337">
            <v>203280</v>
          </cell>
          <cell r="O337">
            <v>0</v>
          </cell>
          <cell r="P337">
            <v>54000</v>
          </cell>
          <cell r="Q337">
            <v>99080</v>
          </cell>
          <cell r="R337">
            <v>52800</v>
          </cell>
          <cell r="S337">
            <v>19800</v>
          </cell>
          <cell r="T337">
            <v>24840</v>
          </cell>
          <cell r="U337">
            <v>22360</v>
          </cell>
          <cell r="V337">
            <v>20720</v>
          </cell>
          <cell r="W337">
            <v>21320</v>
          </cell>
          <cell r="X337">
            <v>20400</v>
          </cell>
          <cell r="Y337">
            <v>21520</v>
          </cell>
          <cell r="Z337">
            <v>29200</v>
          </cell>
          <cell r="AA337">
            <v>26308</v>
          </cell>
          <cell r="AB337">
            <v>21606</v>
          </cell>
          <cell r="AC337">
            <v>13206</v>
          </cell>
          <cell r="AD337">
            <v>15080</v>
          </cell>
          <cell r="AE337">
            <v>13132</v>
          </cell>
          <cell r="AF337">
            <v>18668</v>
          </cell>
          <cell r="AG337">
            <v>69080</v>
          </cell>
          <cell r="AI337">
            <v>158640</v>
          </cell>
        </row>
        <row r="338">
          <cell r="I338">
            <v>1068</v>
          </cell>
          <cell r="J338">
            <v>1210</v>
          </cell>
          <cell r="K338">
            <v>1647</v>
          </cell>
          <cell r="L338">
            <v>2429</v>
          </cell>
          <cell r="M338">
            <v>1960</v>
          </cell>
          <cell r="N338">
            <v>1752</v>
          </cell>
          <cell r="O338">
            <v>1991</v>
          </cell>
          <cell r="P338">
            <v>1233</v>
          </cell>
          <cell r="Q338">
            <v>924</v>
          </cell>
          <cell r="R338">
            <v>1094</v>
          </cell>
          <cell r="S338">
            <v>1416</v>
          </cell>
          <cell r="T338">
            <v>1405</v>
          </cell>
          <cell r="U338">
            <v>1146</v>
          </cell>
          <cell r="V338">
            <v>985</v>
          </cell>
          <cell r="W338">
            <v>1736</v>
          </cell>
          <cell r="X338">
            <v>1883</v>
          </cell>
          <cell r="Y338">
            <v>2239</v>
          </cell>
          <cell r="Z338">
            <v>2613</v>
          </cell>
          <cell r="AA338">
            <v>2041</v>
          </cell>
          <cell r="AB338">
            <v>1191</v>
          </cell>
          <cell r="AC338">
            <v>1153</v>
          </cell>
          <cell r="AD338">
            <v>1432</v>
          </cell>
          <cell r="AE338">
            <v>1471</v>
          </cell>
          <cell r="AF338">
            <v>1224</v>
          </cell>
          <cell r="AG338">
            <v>929</v>
          </cell>
          <cell r="AI338">
            <v>1210</v>
          </cell>
        </row>
        <row r="339">
          <cell r="I339">
            <v>2495808</v>
          </cell>
          <cell r="J339">
            <v>2755788</v>
          </cell>
          <cell r="K339">
            <v>2698296</v>
          </cell>
          <cell r="L339">
            <v>3093396</v>
          </cell>
          <cell r="M339">
            <v>2973948</v>
          </cell>
          <cell r="N339">
            <v>4089912</v>
          </cell>
          <cell r="O339">
            <v>2108736</v>
          </cell>
          <cell r="P339">
            <v>2759976</v>
          </cell>
          <cell r="Q339">
            <v>2602980</v>
          </cell>
          <cell r="R339">
            <v>2458716</v>
          </cell>
          <cell r="S339">
            <v>2886432</v>
          </cell>
          <cell r="T339">
            <v>2401608</v>
          </cell>
          <cell r="U339">
            <v>2764200</v>
          </cell>
          <cell r="V339">
            <v>2786268</v>
          </cell>
          <cell r="W339">
            <v>3227028</v>
          </cell>
          <cell r="X339">
            <v>3142632</v>
          </cell>
          <cell r="Y339">
            <v>3183384</v>
          </cell>
          <cell r="Z339">
            <v>4504632</v>
          </cell>
          <cell r="AA339">
            <v>2111712</v>
          </cell>
          <cell r="AB339">
            <v>3014208</v>
          </cell>
          <cell r="AC339">
            <v>2863548</v>
          </cell>
          <cell r="AD339">
            <v>2572896</v>
          </cell>
          <cell r="AE339">
            <v>2666256</v>
          </cell>
          <cell r="AF339">
            <v>2698248</v>
          </cell>
          <cell r="AG339">
            <v>2835984</v>
          </cell>
          <cell r="AI339">
            <v>2755788</v>
          </cell>
        </row>
        <row r="340">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I340">
            <v>0</v>
          </cell>
        </row>
        <row r="341">
          <cell r="I341">
            <v>1753200</v>
          </cell>
          <cell r="J341">
            <v>1860600</v>
          </cell>
          <cell r="K341">
            <v>1842600</v>
          </cell>
          <cell r="L341">
            <v>2137800</v>
          </cell>
          <cell r="M341">
            <v>2020200</v>
          </cell>
          <cell r="N341">
            <v>2068800</v>
          </cell>
          <cell r="O341">
            <v>1711200</v>
          </cell>
          <cell r="P341">
            <v>1821600</v>
          </cell>
          <cell r="Q341">
            <v>1698600</v>
          </cell>
          <cell r="R341">
            <v>1374600</v>
          </cell>
          <cell r="S341">
            <v>1416000</v>
          </cell>
          <cell r="T341">
            <v>1186800</v>
          </cell>
          <cell r="U341">
            <v>1378800</v>
          </cell>
          <cell r="V341">
            <v>1255800</v>
          </cell>
          <cell r="W341">
            <v>1455000</v>
          </cell>
          <cell r="X341">
            <v>1678800</v>
          </cell>
          <cell r="Y341">
            <v>1520400</v>
          </cell>
          <cell r="Z341">
            <v>1680000</v>
          </cell>
          <cell r="AA341">
            <v>1524000</v>
          </cell>
          <cell r="AB341">
            <v>1236600</v>
          </cell>
          <cell r="AC341">
            <v>1570800</v>
          </cell>
          <cell r="AD341">
            <v>1262400</v>
          </cell>
          <cell r="AE341">
            <v>1113000</v>
          </cell>
          <cell r="AF341">
            <v>937800</v>
          </cell>
          <cell r="AG341">
            <v>1143000</v>
          </cell>
          <cell r="AI341">
            <v>1860600</v>
          </cell>
        </row>
        <row r="343">
          <cell r="I343">
            <v>471</v>
          </cell>
          <cell r="J343">
            <v>1171</v>
          </cell>
          <cell r="K343">
            <v>995</v>
          </cell>
          <cell r="L343">
            <v>999</v>
          </cell>
          <cell r="M343">
            <v>1085</v>
          </cell>
          <cell r="N343">
            <v>3978</v>
          </cell>
          <cell r="O343">
            <v>1355</v>
          </cell>
          <cell r="P343">
            <v>1051</v>
          </cell>
          <cell r="Q343">
            <v>1298</v>
          </cell>
          <cell r="R343">
            <v>893</v>
          </cell>
          <cell r="S343">
            <v>864</v>
          </cell>
          <cell r="T343">
            <v>773</v>
          </cell>
          <cell r="U343">
            <v>866</v>
          </cell>
          <cell r="V343">
            <v>987</v>
          </cell>
          <cell r="W343">
            <v>900</v>
          </cell>
          <cell r="X343">
            <v>906</v>
          </cell>
          <cell r="Y343">
            <v>734</v>
          </cell>
          <cell r="Z343">
            <v>2458</v>
          </cell>
          <cell r="AA343">
            <v>1349</v>
          </cell>
          <cell r="AB343">
            <v>901</v>
          </cell>
          <cell r="AC343">
            <v>908</v>
          </cell>
          <cell r="AD343">
            <v>931</v>
          </cell>
          <cell r="AE343">
            <v>931</v>
          </cell>
          <cell r="AF343">
            <v>868</v>
          </cell>
          <cell r="AG343">
            <v>1019</v>
          </cell>
          <cell r="AI343">
            <v>1171</v>
          </cell>
        </row>
        <row r="344">
          <cell r="I344">
            <v>11569</v>
          </cell>
          <cell r="J344">
            <v>12651</v>
          </cell>
          <cell r="K344">
            <v>13550</v>
          </cell>
          <cell r="L344">
            <v>15622</v>
          </cell>
          <cell r="M344">
            <v>15485</v>
          </cell>
          <cell r="N344">
            <v>18322</v>
          </cell>
          <cell r="O344">
            <v>18684</v>
          </cell>
          <cell r="P344">
            <v>17377</v>
          </cell>
          <cell r="Q344">
            <v>16529</v>
          </cell>
          <cell r="R344">
            <v>14459</v>
          </cell>
          <cell r="S344">
            <v>13426</v>
          </cell>
          <cell r="T344">
            <v>12259</v>
          </cell>
          <cell r="U344">
            <v>11539</v>
          </cell>
          <cell r="V344">
            <v>12618</v>
          </cell>
          <cell r="W344">
            <v>13515</v>
          </cell>
          <cell r="X344">
            <v>15581</v>
          </cell>
          <cell r="Y344">
            <v>15445</v>
          </cell>
          <cell r="Z344">
            <v>18274</v>
          </cell>
          <cell r="AA344">
            <v>18635</v>
          </cell>
          <cell r="AB344">
            <v>17332</v>
          </cell>
          <cell r="AC344">
            <v>16523</v>
          </cell>
          <cell r="AD344">
            <v>14459</v>
          </cell>
          <cell r="AE344">
            <v>13426</v>
          </cell>
          <cell r="AF344">
            <v>12259</v>
          </cell>
          <cell r="AG344">
            <v>11539</v>
          </cell>
          <cell r="AI344">
            <v>12651</v>
          </cell>
        </row>
        <row r="345">
          <cell r="I345">
            <v>1290</v>
          </cell>
          <cell r="J345">
            <v>1371</v>
          </cell>
          <cell r="K345">
            <v>1423</v>
          </cell>
          <cell r="L345">
            <v>1667</v>
          </cell>
          <cell r="M345">
            <v>1645</v>
          </cell>
          <cell r="N345">
            <v>1961</v>
          </cell>
          <cell r="O345">
            <v>1871</v>
          </cell>
          <cell r="P345">
            <v>1788</v>
          </cell>
          <cell r="Q345">
            <v>1681</v>
          </cell>
          <cell r="R345">
            <v>1457</v>
          </cell>
          <cell r="S345">
            <v>1364</v>
          </cell>
          <cell r="T345">
            <v>1256</v>
          </cell>
          <cell r="U345">
            <v>1219</v>
          </cell>
          <cell r="V345">
            <v>16949</v>
          </cell>
          <cell r="W345">
            <v>608</v>
          </cell>
          <cell r="X345">
            <v>594</v>
          </cell>
          <cell r="Y345">
            <v>660</v>
          </cell>
          <cell r="Z345">
            <v>756</v>
          </cell>
          <cell r="AA345">
            <v>710</v>
          </cell>
          <cell r="AB345">
            <v>625</v>
          </cell>
          <cell r="AC345">
            <v>613</v>
          </cell>
          <cell r="AD345">
            <v>536</v>
          </cell>
          <cell r="AE345">
            <v>497</v>
          </cell>
          <cell r="AF345">
            <v>517</v>
          </cell>
          <cell r="AG345">
            <v>504</v>
          </cell>
          <cell r="AI345">
            <v>1371</v>
          </cell>
        </row>
        <row r="346">
          <cell r="I346">
            <v>296</v>
          </cell>
          <cell r="J346">
            <v>325</v>
          </cell>
          <cell r="K346">
            <v>347</v>
          </cell>
          <cell r="L346">
            <v>400</v>
          </cell>
          <cell r="M346">
            <v>397</v>
          </cell>
          <cell r="N346">
            <v>469</v>
          </cell>
          <cell r="O346">
            <v>479</v>
          </cell>
          <cell r="P346">
            <v>446</v>
          </cell>
          <cell r="Q346">
            <v>425</v>
          </cell>
          <cell r="R346">
            <v>372</v>
          </cell>
          <cell r="S346">
            <v>345</v>
          </cell>
          <cell r="T346">
            <v>316</v>
          </cell>
          <cell r="U346">
            <v>296</v>
          </cell>
          <cell r="V346">
            <v>325</v>
          </cell>
          <cell r="W346">
            <v>347</v>
          </cell>
          <cell r="X346">
            <v>400</v>
          </cell>
          <cell r="Y346">
            <v>397</v>
          </cell>
          <cell r="Z346">
            <v>469</v>
          </cell>
          <cell r="AA346">
            <v>479</v>
          </cell>
          <cell r="AB346">
            <v>621</v>
          </cell>
          <cell r="AC346">
            <v>258</v>
          </cell>
          <cell r="AD346">
            <v>226</v>
          </cell>
          <cell r="AE346">
            <v>210</v>
          </cell>
          <cell r="AF346">
            <v>192</v>
          </cell>
          <cell r="AG346">
            <v>180</v>
          </cell>
          <cell r="AI346">
            <v>325</v>
          </cell>
        </row>
        <row r="347">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I347">
            <v>0</v>
          </cell>
        </row>
        <row r="348">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I348">
            <v>0</v>
          </cell>
        </row>
        <row r="349">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I349">
            <v>0</v>
          </cell>
        </row>
        <row r="350">
          <cell r="I350">
            <v>30</v>
          </cell>
          <cell r="J350">
            <v>33</v>
          </cell>
          <cell r="K350">
            <v>35</v>
          </cell>
          <cell r="L350">
            <v>41</v>
          </cell>
          <cell r="M350">
            <v>40</v>
          </cell>
          <cell r="N350">
            <v>48</v>
          </cell>
          <cell r="O350">
            <v>49</v>
          </cell>
          <cell r="P350">
            <v>45</v>
          </cell>
          <cell r="Q350">
            <v>43</v>
          </cell>
          <cell r="R350">
            <v>38</v>
          </cell>
          <cell r="S350">
            <v>35</v>
          </cell>
          <cell r="T350">
            <v>32</v>
          </cell>
          <cell r="U350">
            <v>30</v>
          </cell>
          <cell r="V350">
            <v>33</v>
          </cell>
          <cell r="W350">
            <v>35</v>
          </cell>
          <cell r="X350">
            <v>41</v>
          </cell>
          <cell r="Y350">
            <v>40</v>
          </cell>
          <cell r="Z350">
            <v>48</v>
          </cell>
          <cell r="AA350">
            <v>49</v>
          </cell>
          <cell r="AB350">
            <v>45</v>
          </cell>
          <cell r="AC350">
            <v>43</v>
          </cell>
          <cell r="AD350">
            <v>38</v>
          </cell>
          <cell r="AE350">
            <v>35</v>
          </cell>
          <cell r="AF350">
            <v>32</v>
          </cell>
          <cell r="AG350">
            <v>30</v>
          </cell>
          <cell r="AI350">
            <v>33</v>
          </cell>
        </row>
        <row r="351">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I351">
            <v>0</v>
          </cell>
        </row>
        <row r="352">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I352">
            <v>0</v>
          </cell>
        </row>
        <row r="353">
          <cell r="I353">
            <v>10426</v>
          </cell>
          <cell r="J353">
            <v>11402</v>
          </cell>
          <cell r="K353">
            <v>12210</v>
          </cell>
          <cell r="L353">
            <v>14081</v>
          </cell>
          <cell r="M353">
            <v>13955</v>
          </cell>
          <cell r="N353">
            <v>16514</v>
          </cell>
          <cell r="O353">
            <v>16839</v>
          </cell>
          <cell r="P353">
            <v>15661</v>
          </cell>
          <cell r="Q353">
            <v>14930</v>
          </cell>
          <cell r="R353">
            <v>13065</v>
          </cell>
          <cell r="S353">
            <v>12132</v>
          </cell>
          <cell r="T353">
            <v>11078</v>
          </cell>
          <cell r="U353">
            <v>10426</v>
          </cell>
          <cell r="V353">
            <v>11402</v>
          </cell>
          <cell r="W353">
            <v>12210</v>
          </cell>
          <cell r="X353">
            <v>13997</v>
          </cell>
          <cell r="Y353">
            <v>13871</v>
          </cell>
          <cell r="Z353">
            <v>16330</v>
          </cell>
          <cell r="AA353">
            <v>16638</v>
          </cell>
          <cell r="AB353">
            <v>15474</v>
          </cell>
          <cell r="AC353">
            <v>14752</v>
          </cell>
          <cell r="AD353">
            <v>12909</v>
          </cell>
          <cell r="AE353">
            <v>11987</v>
          </cell>
          <cell r="AF353">
            <v>10946</v>
          </cell>
          <cell r="AG353">
            <v>10301</v>
          </cell>
          <cell r="AI353">
            <v>11402</v>
          </cell>
        </row>
        <row r="354">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I354">
            <v>0</v>
          </cell>
        </row>
        <row r="355">
          <cell r="I355">
            <v>329</v>
          </cell>
          <cell r="J355">
            <v>310</v>
          </cell>
          <cell r="K355">
            <v>331</v>
          </cell>
          <cell r="L355">
            <v>371</v>
          </cell>
          <cell r="M355">
            <v>368</v>
          </cell>
          <cell r="N355">
            <v>439</v>
          </cell>
          <cell r="O355">
            <v>444</v>
          </cell>
          <cell r="P355">
            <v>428</v>
          </cell>
          <cell r="Q355">
            <v>402</v>
          </cell>
          <cell r="R355">
            <v>371</v>
          </cell>
          <cell r="S355">
            <v>343</v>
          </cell>
          <cell r="T355">
            <v>329</v>
          </cell>
          <cell r="U355">
            <v>302</v>
          </cell>
          <cell r="V355">
            <v>300</v>
          </cell>
          <cell r="W355">
            <v>322</v>
          </cell>
          <cell r="X355">
            <v>371</v>
          </cell>
          <cell r="Y355">
            <v>368</v>
          </cell>
          <cell r="Z355">
            <v>435</v>
          </cell>
          <cell r="AA355">
            <v>444</v>
          </cell>
          <cell r="AB355">
            <v>413</v>
          </cell>
          <cell r="AC355">
            <v>393</v>
          </cell>
          <cell r="AD355">
            <v>344</v>
          </cell>
          <cell r="AE355">
            <v>320</v>
          </cell>
          <cell r="AF355">
            <v>292</v>
          </cell>
          <cell r="AG355">
            <v>275</v>
          </cell>
          <cell r="AI355">
            <v>310</v>
          </cell>
        </row>
        <row r="356">
          <cell r="I356">
            <v>23081</v>
          </cell>
          <cell r="J356">
            <v>25239</v>
          </cell>
          <cell r="K356">
            <v>27036</v>
          </cell>
          <cell r="L356">
            <v>31168</v>
          </cell>
          <cell r="M356">
            <v>30899</v>
          </cell>
          <cell r="N356">
            <v>36556</v>
          </cell>
          <cell r="O356">
            <v>37274</v>
          </cell>
          <cell r="P356">
            <v>34667</v>
          </cell>
          <cell r="Q356">
            <v>33054</v>
          </cell>
          <cell r="R356">
            <v>28922</v>
          </cell>
          <cell r="S356">
            <v>26855</v>
          </cell>
          <cell r="T356">
            <v>24521</v>
          </cell>
          <cell r="U356">
            <v>23081</v>
          </cell>
          <cell r="V356">
            <v>25222</v>
          </cell>
          <cell r="W356">
            <v>27011</v>
          </cell>
          <cell r="X356">
            <v>31139</v>
          </cell>
          <cell r="Y356">
            <v>30870</v>
          </cell>
          <cell r="Z356">
            <v>36522</v>
          </cell>
          <cell r="AA356">
            <v>37236</v>
          </cell>
          <cell r="AB356">
            <v>34603</v>
          </cell>
          <cell r="AC356">
            <v>32993</v>
          </cell>
          <cell r="AD356">
            <v>28867</v>
          </cell>
          <cell r="AE356">
            <v>26727</v>
          </cell>
          <cell r="AF356">
            <v>24381</v>
          </cell>
          <cell r="AG356">
            <v>22949</v>
          </cell>
          <cell r="AI356">
            <v>25239</v>
          </cell>
        </row>
        <row r="357">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I357">
            <v>0</v>
          </cell>
        </row>
        <row r="358">
          <cell r="I358">
            <v>5704</v>
          </cell>
          <cell r="J358">
            <v>6237</v>
          </cell>
          <cell r="K358">
            <v>6680</v>
          </cell>
          <cell r="L358">
            <v>7701</v>
          </cell>
          <cell r="M358">
            <v>7634</v>
          </cell>
          <cell r="N358">
            <v>9033</v>
          </cell>
          <cell r="O358">
            <v>9210</v>
          </cell>
          <cell r="P358">
            <v>8567</v>
          </cell>
          <cell r="Q358">
            <v>8168</v>
          </cell>
          <cell r="R358">
            <v>7147</v>
          </cell>
          <cell r="S358">
            <v>6636</v>
          </cell>
          <cell r="T358">
            <v>6060</v>
          </cell>
          <cell r="U358">
            <v>5704</v>
          </cell>
          <cell r="V358">
            <v>6237</v>
          </cell>
          <cell r="W358">
            <v>6680</v>
          </cell>
          <cell r="X358">
            <v>7701</v>
          </cell>
          <cell r="Y358">
            <v>7634</v>
          </cell>
          <cell r="Z358">
            <v>9033</v>
          </cell>
          <cell r="AA358">
            <v>9210</v>
          </cell>
          <cell r="AB358">
            <v>8567</v>
          </cell>
          <cell r="AC358">
            <v>8168</v>
          </cell>
          <cell r="AD358">
            <v>7147</v>
          </cell>
          <cell r="AE358">
            <v>6636</v>
          </cell>
          <cell r="AF358">
            <v>6060</v>
          </cell>
          <cell r="AG358">
            <v>5704</v>
          </cell>
          <cell r="AI358">
            <v>6237</v>
          </cell>
        </row>
        <row r="359">
          <cell r="I359">
            <v>20456</v>
          </cell>
          <cell r="J359">
            <v>22365</v>
          </cell>
          <cell r="K359">
            <v>23957</v>
          </cell>
          <cell r="L359">
            <v>27619</v>
          </cell>
          <cell r="M359">
            <v>27380</v>
          </cell>
          <cell r="N359">
            <v>32395</v>
          </cell>
          <cell r="O359">
            <v>33031</v>
          </cell>
          <cell r="P359">
            <v>30722</v>
          </cell>
          <cell r="Q359">
            <v>29289</v>
          </cell>
          <cell r="R359">
            <v>25630</v>
          </cell>
          <cell r="S359">
            <v>23798</v>
          </cell>
          <cell r="T359">
            <v>21728</v>
          </cell>
          <cell r="U359">
            <v>20456</v>
          </cell>
          <cell r="V359">
            <v>22365</v>
          </cell>
          <cell r="W359">
            <v>23957</v>
          </cell>
          <cell r="X359">
            <v>27619</v>
          </cell>
          <cell r="Y359">
            <v>27380</v>
          </cell>
          <cell r="Z359">
            <v>32395</v>
          </cell>
          <cell r="AA359">
            <v>33031</v>
          </cell>
          <cell r="AB359">
            <v>30722</v>
          </cell>
          <cell r="AC359">
            <v>29289</v>
          </cell>
          <cell r="AD359">
            <v>25630</v>
          </cell>
          <cell r="AE359">
            <v>23798</v>
          </cell>
          <cell r="AF359">
            <v>21802</v>
          </cell>
          <cell r="AG359">
            <v>20347</v>
          </cell>
          <cell r="AI359">
            <v>22365</v>
          </cell>
        </row>
        <row r="360">
          <cell r="I360">
            <v>226</v>
          </cell>
          <cell r="J360">
            <v>287</v>
          </cell>
          <cell r="K360">
            <v>189</v>
          </cell>
          <cell r="L360">
            <v>14</v>
          </cell>
          <cell r="M360">
            <v>2</v>
          </cell>
          <cell r="N360">
            <v>0</v>
          </cell>
          <cell r="O360">
            <v>-15</v>
          </cell>
          <cell r="P360">
            <v>15</v>
          </cell>
          <cell r="Q360">
            <v>0</v>
          </cell>
          <cell r="R360">
            <v>1</v>
          </cell>
          <cell r="S360">
            <v>0</v>
          </cell>
          <cell r="T360">
            <v>3</v>
          </cell>
          <cell r="U360">
            <v>5</v>
          </cell>
          <cell r="V360">
            <v>15</v>
          </cell>
          <cell r="W360">
            <v>40</v>
          </cell>
          <cell r="X360">
            <v>10</v>
          </cell>
          <cell r="Y360">
            <v>0</v>
          </cell>
          <cell r="Z360">
            <v>0</v>
          </cell>
          <cell r="AA360">
            <v>0</v>
          </cell>
          <cell r="AB360">
            <v>0</v>
          </cell>
          <cell r="AC360">
            <v>0</v>
          </cell>
          <cell r="AD360">
            <v>0</v>
          </cell>
          <cell r="AE360">
            <v>0</v>
          </cell>
          <cell r="AF360">
            <v>1</v>
          </cell>
          <cell r="AG360">
            <v>0</v>
          </cell>
          <cell r="AI360">
            <v>287</v>
          </cell>
        </row>
        <row r="361">
          <cell r="I361">
            <v>19572</v>
          </cell>
          <cell r="J361">
            <v>21294</v>
          </cell>
          <cell r="K361">
            <v>22651</v>
          </cell>
          <cell r="L361">
            <v>26085</v>
          </cell>
          <cell r="M361">
            <v>25862</v>
          </cell>
          <cell r="N361">
            <v>30339</v>
          </cell>
          <cell r="O361">
            <v>30946</v>
          </cell>
          <cell r="P361">
            <v>28954</v>
          </cell>
          <cell r="Q361">
            <v>27529</v>
          </cell>
          <cell r="R361">
            <v>24213</v>
          </cell>
          <cell r="S361">
            <v>22541</v>
          </cell>
          <cell r="T361">
            <v>20615</v>
          </cell>
          <cell r="U361">
            <v>19491</v>
          </cell>
          <cell r="V361">
            <v>21061</v>
          </cell>
          <cell r="W361">
            <v>22614</v>
          </cell>
          <cell r="X361">
            <v>25844</v>
          </cell>
          <cell r="Y361">
            <v>25680</v>
          </cell>
          <cell r="Z361">
            <v>30142</v>
          </cell>
          <cell r="AA361">
            <v>30842</v>
          </cell>
          <cell r="AB361">
            <v>28646</v>
          </cell>
          <cell r="AC361">
            <v>27338</v>
          </cell>
          <cell r="AD361">
            <v>24109</v>
          </cell>
          <cell r="AE361">
            <v>22391</v>
          </cell>
          <cell r="AF361">
            <v>20493</v>
          </cell>
          <cell r="AG361">
            <v>19344</v>
          </cell>
          <cell r="AI361">
            <v>21294</v>
          </cell>
        </row>
        <row r="362">
          <cell r="I362">
            <v>13405</v>
          </cell>
          <cell r="J362">
            <v>14508</v>
          </cell>
          <cell r="K362">
            <v>15427</v>
          </cell>
          <cell r="L362">
            <v>17544</v>
          </cell>
          <cell r="M362">
            <v>17405</v>
          </cell>
          <cell r="N362">
            <v>20303</v>
          </cell>
          <cell r="O362">
            <v>20673</v>
          </cell>
          <cell r="P362">
            <v>19337</v>
          </cell>
          <cell r="Q362">
            <v>18384</v>
          </cell>
          <cell r="R362">
            <v>16243</v>
          </cell>
          <cell r="S362">
            <v>15197</v>
          </cell>
          <cell r="T362">
            <v>14012</v>
          </cell>
          <cell r="U362">
            <v>13285</v>
          </cell>
          <cell r="V362">
            <v>14377</v>
          </cell>
          <cell r="W362">
            <v>15287</v>
          </cell>
          <cell r="X362">
            <v>17381</v>
          </cell>
          <cell r="Y362">
            <v>17244</v>
          </cell>
          <cell r="Z362">
            <v>20112</v>
          </cell>
          <cell r="AA362">
            <v>20479</v>
          </cell>
          <cell r="AB362">
            <v>19157</v>
          </cell>
          <cell r="AC362">
            <v>18337</v>
          </cell>
          <cell r="AD362">
            <v>16243</v>
          </cell>
          <cell r="AE362">
            <v>15197</v>
          </cell>
          <cell r="AF362">
            <v>14012</v>
          </cell>
          <cell r="AG362">
            <v>13285</v>
          </cell>
          <cell r="AI362">
            <v>14508</v>
          </cell>
        </row>
        <row r="364">
          <cell r="I364">
            <v>487357</v>
          </cell>
          <cell r="J364">
            <v>526900</v>
          </cell>
          <cell r="K364">
            <v>562820</v>
          </cell>
          <cell r="L364">
            <v>587479</v>
          </cell>
          <cell r="M364">
            <v>634679</v>
          </cell>
          <cell r="N364">
            <v>601462</v>
          </cell>
          <cell r="O364">
            <v>470357</v>
          </cell>
          <cell r="P364">
            <v>455834</v>
          </cell>
          <cell r="Q364">
            <v>482966</v>
          </cell>
          <cell r="R364">
            <v>458172</v>
          </cell>
          <cell r="S364">
            <v>389632</v>
          </cell>
          <cell r="T364">
            <v>381443</v>
          </cell>
          <cell r="U364">
            <v>472420</v>
          </cell>
          <cell r="V364">
            <v>531614</v>
          </cell>
          <cell r="W364">
            <v>495417</v>
          </cell>
          <cell r="X364">
            <v>532651</v>
          </cell>
          <cell r="Y364">
            <v>629860</v>
          </cell>
          <cell r="Z364">
            <v>563403</v>
          </cell>
          <cell r="AA364">
            <v>508118</v>
          </cell>
          <cell r="AB364">
            <v>441619</v>
          </cell>
          <cell r="AC364">
            <v>476972</v>
          </cell>
          <cell r="AD364">
            <v>498577</v>
          </cell>
          <cell r="AE364">
            <v>344905</v>
          </cell>
          <cell r="AF364">
            <v>342103</v>
          </cell>
          <cell r="AG364">
            <v>476843</v>
          </cell>
          <cell r="AI364">
            <v>526900</v>
          </cell>
        </row>
        <row r="365">
          <cell r="I365">
            <v>3825</v>
          </cell>
          <cell r="J365">
            <v>12231</v>
          </cell>
          <cell r="K365">
            <v>20606</v>
          </cell>
          <cell r="L365">
            <v>23071</v>
          </cell>
          <cell r="M365">
            <v>24327</v>
          </cell>
          <cell r="N365">
            <v>30957</v>
          </cell>
          <cell r="O365">
            <v>4991</v>
          </cell>
          <cell r="P365">
            <v>3405</v>
          </cell>
          <cell r="Q365">
            <v>4069</v>
          </cell>
          <cell r="R365">
            <v>3375</v>
          </cell>
          <cell r="S365">
            <v>3716</v>
          </cell>
          <cell r="T365">
            <v>4353</v>
          </cell>
          <cell r="U365">
            <v>4215</v>
          </cell>
          <cell r="V365">
            <v>5000</v>
          </cell>
          <cell r="W365">
            <v>6971</v>
          </cell>
          <cell r="X365">
            <v>8836</v>
          </cell>
          <cell r="Y365">
            <v>10826</v>
          </cell>
          <cell r="Z365">
            <v>10312</v>
          </cell>
          <cell r="AA365">
            <v>5628</v>
          </cell>
          <cell r="AB365">
            <v>3274</v>
          </cell>
          <cell r="AC365">
            <v>3255</v>
          </cell>
          <cell r="AD365">
            <v>3550</v>
          </cell>
          <cell r="AE365">
            <v>3495</v>
          </cell>
          <cell r="AF365">
            <v>3485</v>
          </cell>
          <cell r="AG365">
            <v>3161</v>
          </cell>
          <cell r="AI365">
            <v>12231</v>
          </cell>
        </row>
        <row r="366">
          <cell r="I366">
            <v>270655</v>
          </cell>
          <cell r="J366">
            <v>267237</v>
          </cell>
          <cell r="K366">
            <v>286795</v>
          </cell>
          <cell r="L366">
            <v>264622</v>
          </cell>
          <cell r="M366">
            <v>263775</v>
          </cell>
          <cell r="N366">
            <v>317874</v>
          </cell>
          <cell r="O366">
            <v>51786</v>
          </cell>
          <cell r="P366">
            <v>49035</v>
          </cell>
          <cell r="Q366">
            <v>56762</v>
          </cell>
          <cell r="R366">
            <v>61348</v>
          </cell>
          <cell r="S366">
            <v>53079</v>
          </cell>
          <cell r="T366">
            <v>59486</v>
          </cell>
          <cell r="U366">
            <v>66577</v>
          </cell>
          <cell r="V366">
            <v>64319</v>
          </cell>
          <cell r="W366">
            <v>69610</v>
          </cell>
          <cell r="X366">
            <v>72663</v>
          </cell>
          <cell r="Y366">
            <v>90472</v>
          </cell>
          <cell r="Z366">
            <v>95318</v>
          </cell>
          <cell r="AA366">
            <v>78305</v>
          </cell>
          <cell r="AB366">
            <v>63183</v>
          </cell>
          <cell r="AC366">
            <v>67324</v>
          </cell>
          <cell r="AD366">
            <v>71069</v>
          </cell>
          <cell r="AE366">
            <v>55656</v>
          </cell>
          <cell r="AF366">
            <v>49532</v>
          </cell>
          <cell r="AG366">
            <v>48027</v>
          </cell>
          <cell r="AI366">
            <v>267237</v>
          </cell>
        </row>
        <row r="367">
          <cell r="I367">
            <v>236915</v>
          </cell>
          <cell r="J367">
            <v>261708</v>
          </cell>
          <cell r="K367">
            <v>300399</v>
          </cell>
          <cell r="L367">
            <v>377055</v>
          </cell>
          <cell r="M367">
            <v>416843</v>
          </cell>
          <cell r="N367">
            <v>407752</v>
          </cell>
          <cell r="O367">
            <v>313270</v>
          </cell>
          <cell r="P367">
            <v>205139</v>
          </cell>
          <cell r="Q367">
            <v>188726</v>
          </cell>
          <cell r="R367">
            <v>215077</v>
          </cell>
          <cell r="S367">
            <v>195697</v>
          </cell>
          <cell r="T367">
            <v>199207</v>
          </cell>
          <cell r="U367">
            <v>214864</v>
          </cell>
          <cell r="V367">
            <v>223586</v>
          </cell>
          <cell r="W367">
            <v>328521</v>
          </cell>
          <cell r="X367">
            <v>361943</v>
          </cell>
          <cell r="Y367">
            <v>485913</v>
          </cell>
          <cell r="Z367">
            <v>402352</v>
          </cell>
          <cell r="AA367">
            <v>338344</v>
          </cell>
          <cell r="AB367">
            <v>215918</v>
          </cell>
          <cell r="AC367">
            <v>202296</v>
          </cell>
          <cell r="AD367">
            <v>231361</v>
          </cell>
          <cell r="AE367">
            <v>191773</v>
          </cell>
          <cell r="AF367">
            <v>182550</v>
          </cell>
          <cell r="AG367">
            <v>202344</v>
          </cell>
          <cell r="AI367">
            <v>261708</v>
          </cell>
        </row>
        <row r="368">
          <cell r="I368">
            <v>378026</v>
          </cell>
          <cell r="J368">
            <v>413424</v>
          </cell>
          <cell r="K368">
            <v>486771</v>
          </cell>
          <cell r="L368">
            <v>567869</v>
          </cell>
          <cell r="M368">
            <v>601123</v>
          </cell>
          <cell r="N368">
            <v>598494</v>
          </cell>
          <cell r="O368">
            <v>507503</v>
          </cell>
          <cell r="P368">
            <v>356994</v>
          </cell>
          <cell r="Q368">
            <v>347030</v>
          </cell>
          <cell r="R368">
            <v>402189</v>
          </cell>
          <cell r="S368">
            <v>352363</v>
          </cell>
          <cell r="T368">
            <v>373416</v>
          </cell>
          <cell r="U368">
            <v>379926</v>
          </cell>
          <cell r="V368">
            <v>180531</v>
          </cell>
          <cell r="W368">
            <v>295741</v>
          </cell>
          <cell r="X368">
            <v>330235</v>
          </cell>
          <cell r="Y368">
            <v>436558</v>
          </cell>
          <cell r="Z368">
            <v>391395</v>
          </cell>
          <cell r="AA368">
            <v>288368</v>
          </cell>
          <cell r="AB368">
            <v>192297</v>
          </cell>
          <cell r="AC368">
            <v>162692</v>
          </cell>
          <cell r="AD368">
            <v>167379</v>
          </cell>
          <cell r="AE368">
            <v>146158</v>
          </cell>
          <cell r="AF368">
            <v>142013</v>
          </cell>
          <cell r="AG368">
            <v>155541</v>
          </cell>
          <cell r="AI368">
            <v>413424</v>
          </cell>
        </row>
        <row r="369">
          <cell r="I369">
            <v>56210</v>
          </cell>
          <cell r="J369">
            <v>66863</v>
          </cell>
          <cell r="K369">
            <v>76404</v>
          </cell>
          <cell r="L369">
            <v>83114</v>
          </cell>
          <cell r="M369">
            <v>86245</v>
          </cell>
          <cell r="N369">
            <v>96820</v>
          </cell>
          <cell r="O369">
            <v>69775</v>
          </cell>
          <cell r="P369">
            <v>54415</v>
          </cell>
          <cell r="Q369">
            <v>69916</v>
          </cell>
          <cell r="R369">
            <v>54598</v>
          </cell>
          <cell r="S369">
            <v>51534</v>
          </cell>
          <cell r="T369">
            <v>54308</v>
          </cell>
          <cell r="U369">
            <v>56615</v>
          </cell>
          <cell r="V369">
            <v>61693</v>
          </cell>
          <cell r="W369">
            <v>71921</v>
          </cell>
          <cell r="X369">
            <v>82504</v>
          </cell>
          <cell r="Y369">
            <v>88447</v>
          </cell>
          <cell r="Z369">
            <v>89066</v>
          </cell>
          <cell r="AA369">
            <v>72303</v>
          </cell>
          <cell r="AB369">
            <v>56029</v>
          </cell>
          <cell r="AC369">
            <v>54363</v>
          </cell>
          <cell r="AD369">
            <v>77971</v>
          </cell>
          <cell r="AE369">
            <v>48815</v>
          </cell>
          <cell r="AF369">
            <v>49625</v>
          </cell>
          <cell r="AG369">
            <v>51741</v>
          </cell>
          <cell r="AI369">
            <v>66863</v>
          </cell>
        </row>
        <row r="370">
          <cell r="I370">
            <v>195693</v>
          </cell>
          <cell r="J370">
            <v>203855</v>
          </cell>
          <cell r="K370">
            <v>203986</v>
          </cell>
          <cell r="L370">
            <v>205431</v>
          </cell>
          <cell r="M370">
            <v>225736</v>
          </cell>
          <cell r="N370">
            <v>250068</v>
          </cell>
          <cell r="O370">
            <v>229767</v>
          </cell>
          <cell r="P370">
            <v>179781</v>
          </cell>
          <cell r="Q370">
            <v>217326</v>
          </cell>
          <cell r="R370">
            <v>192073</v>
          </cell>
          <cell r="S370">
            <v>150775</v>
          </cell>
          <cell r="T370">
            <v>154912</v>
          </cell>
          <cell r="U370">
            <v>206046</v>
          </cell>
          <cell r="V370">
            <v>176422</v>
          </cell>
          <cell r="W370">
            <v>201447</v>
          </cell>
          <cell r="X370">
            <v>197834</v>
          </cell>
          <cell r="Y370">
            <v>212879</v>
          </cell>
          <cell r="Z370">
            <v>239529</v>
          </cell>
          <cell r="AA370">
            <v>205019</v>
          </cell>
          <cell r="AB370">
            <v>191527</v>
          </cell>
          <cell r="AC370">
            <v>199964</v>
          </cell>
          <cell r="AD370">
            <v>210725</v>
          </cell>
          <cell r="AE370">
            <v>193220</v>
          </cell>
          <cell r="AF370">
            <v>160774</v>
          </cell>
          <cell r="AG370">
            <v>196804</v>
          </cell>
          <cell r="AI370">
            <v>203855</v>
          </cell>
        </row>
        <row r="371">
          <cell r="I371">
            <v>232494</v>
          </cell>
          <cell r="J371">
            <v>316636</v>
          </cell>
          <cell r="K371">
            <v>333000</v>
          </cell>
          <cell r="L371">
            <v>407980</v>
          </cell>
          <cell r="M371">
            <v>435862</v>
          </cell>
          <cell r="N371">
            <v>461167</v>
          </cell>
          <cell r="O371">
            <v>419274</v>
          </cell>
          <cell r="P371">
            <v>315223</v>
          </cell>
          <cell r="Q371">
            <v>254144</v>
          </cell>
          <cell r="R371">
            <v>343600</v>
          </cell>
          <cell r="S371">
            <v>227655</v>
          </cell>
          <cell r="T371">
            <v>219464</v>
          </cell>
          <cell r="U371">
            <v>271414</v>
          </cell>
          <cell r="V371">
            <v>316084</v>
          </cell>
          <cell r="W371">
            <v>384227</v>
          </cell>
          <cell r="X371">
            <v>385545</v>
          </cell>
          <cell r="Y371">
            <v>484722</v>
          </cell>
          <cell r="Z371">
            <v>480558</v>
          </cell>
          <cell r="AA371">
            <v>472902</v>
          </cell>
          <cell r="AB371">
            <v>245388</v>
          </cell>
          <cell r="AC371">
            <v>283075</v>
          </cell>
          <cell r="AD371">
            <v>368707</v>
          </cell>
          <cell r="AE371">
            <v>245529</v>
          </cell>
          <cell r="AF371">
            <v>234670</v>
          </cell>
          <cell r="AG371">
            <v>268434</v>
          </cell>
          <cell r="AI371">
            <v>316636</v>
          </cell>
        </row>
        <row r="372">
          <cell r="I372">
            <v>228272</v>
          </cell>
          <cell r="J372">
            <v>233034</v>
          </cell>
          <cell r="K372">
            <v>252020</v>
          </cell>
          <cell r="L372">
            <v>260052</v>
          </cell>
          <cell r="M372">
            <v>274301</v>
          </cell>
          <cell r="N372">
            <v>309258</v>
          </cell>
          <cell r="O372">
            <v>279163</v>
          </cell>
          <cell r="P372">
            <v>220434</v>
          </cell>
          <cell r="Q372">
            <v>222957</v>
          </cell>
          <cell r="R372">
            <v>244250</v>
          </cell>
          <cell r="S372">
            <v>216179</v>
          </cell>
          <cell r="T372">
            <v>224136</v>
          </cell>
          <cell r="U372">
            <v>255498</v>
          </cell>
          <cell r="V372">
            <v>196704</v>
          </cell>
          <cell r="W372">
            <v>252802</v>
          </cell>
          <cell r="X372">
            <v>244539</v>
          </cell>
          <cell r="Y372">
            <v>312216</v>
          </cell>
          <cell r="Z372">
            <v>307604</v>
          </cell>
          <cell r="AA372">
            <v>259407</v>
          </cell>
          <cell r="AB372">
            <v>201390</v>
          </cell>
          <cell r="AC372">
            <v>193906</v>
          </cell>
          <cell r="AD372">
            <v>247285</v>
          </cell>
          <cell r="AE372">
            <v>233811</v>
          </cell>
          <cell r="AF372">
            <v>237816</v>
          </cell>
          <cell r="AG372">
            <v>212593</v>
          </cell>
          <cell r="AI372">
            <v>233034</v>
          </cell>
        </row>
        <row r="373">
          <cell r="I373">
            <v>88902</v>
          </cell>
          <cell r="J373">
            <v>94581</v>
          </cell>
          <cell r="K373">
            <v>96964</v>
          </cell>
          <cell r="L373">
            <v>113176</v>
          </cell>
          <cell r="M373">
            <v>129091</v>
          </cell>
          <cell r="N373">
            <v>120898</v>
          </cell>
          <cell r="O373">
            <v>99395</v>
          </cell>
          <cell r="P373">
            <v>94269</v>
          </cell>
          <cell r="Q373">
            <v>95972</v>
          </cell>
          <cell r="R373">
            <v>103380</v>
          </cell>
          <cell r="S373">
            <v>67176</v>
          </cell>
          <cell r="T373">
            <v>57709</v>
          </cell>
          <cell r="U373">
            <v>90494</v>
          </cell>
          <cell r="V373">
            <v>88598</v>
          </cell>
          <cell r="W373">
            <v>92148</v>
          </cell>
          <cell r="X373">
            <v>99252</v>
          </cell>
          <cell r="Y373">
            <v>112840</v>
          </cell>
          <cell r="Z373">
            <v>103846</v>
          </cell>
          <cell r="AA373">
            <v>95899</v>
          </cell>
          <cell r="AB373">
            <v>74974</v>
          </cell>
          <cell r="AC373">
            <v>94780</v>
          </cell>
          <cell r="AD373">
            <v>95957</v>
          </cell>
          <cell r="AE373">
            <v>52305</v>
          </cell>
          <cell r="AF373">
            <v>49037</v>
          </cell>
          <cell r="AG373">
            <v>74493</v>
          </cell>
          <cell r="AI373">
            <v>94581</v>
          </cell>
        </row>
        <row r="374">
          <cell r="I374">
            <v>131275</v>
          </cell>
          <cell r="J374">
            <v>170014</v>
          </cell>
          <cell r="K374">
            <v>176926</v>
          </cell>
          <cell r="L374">
            <v>230766</v>
          </cell>
          <cell r="M374">
            <v>268714</v>
          </cell>
          <cell r="N374">
            <v>262719</v>
          </cell>
          <cell r="O374">
            <v>215014</v>
          </cell>
          <cell r="P374">
            <v>202395</v>
          </cell>
          <cell r="Q374">
            <v>125372</v>
          </cell>
          <cell r="R374">
            <v>128019</v>
          </cell>
          <cell r="S374">
            <v>102771</v>
          </cell>
          <cell r="T374">
            <v>102409</v>
          </cell>
          <cell r="U374">
            <v>116614</v>
          </cell>
          <cell r="V374">
            <v>161770</v>
          </cell>
          <cell r="W374">
            <v>203948</v>
          </cell>
          <cell r="X374">
            <v>214187</v>
          </cell>
          <cell r="Y374">
            <v>274904</v>
          </cell>
          <cell r="Z374">
            <v>302725</v>
          </cell>
          <cell r="AA374">
            <v>297493</v>
          </cell>
          <cell r="AB374">
            <v>255912</v>
          </cell>
          <cell r="AC374">
            <v>173158</v>
          </cell>
          <cell r="AD374">
            <v>123558</v>
          </cell>
          <cell r="AE374">
            <v>121878</v>
          </cell>
          <cell r="AF374">
            <v>127558</v>
          </cell>
          <cell r="AG374">
            <v>173337</v>
          </cell>
          <cell r="AI374">
            <v>170014</v>
          </cell>
        </row>
        <row r="375">
          <cell r="I375">
            <v>181901</v>
          </cell>
          <cell r="J375">
            <v>187087</v>
          </cell>
          <cell r="K375">
            <v>212228</v>
          </cell>
          <cell r="L375">
            <v>260393</v>
          </cell>
          <cell r="M375">
            <v>267823</v>
          </cell>
          <cell r="N375">
            <v>261707</v>
          </cell>
          <cell r="O375">
            <v>252170</v>
          </cell>
          <cell r="P375">
            <v>193705</v>
          </cell>
          <cell r="Q375">
            <v>172894</v>
          </cell>
          <cell r="R375">
            <v>207269</v>
          </cell>
          <cell r="S375">
            <v>161809</v>
          </cell>
          <cell r="T375">
            <v>180725</v>
          </cell>
          <cell r="U375">
            <v>178575</v>
          </cell>
          <cell r="V375">
            <v>165180</v>
          </cell>
          <cell r="W375">
            <v>218873</v>
          </cell>
          <cell r="X375">
            <v>218178</v>
          </cell>
          <cell r="Y375">
            <v>254305</v>
          </cell>
          <cell r="Z375">
            <v>270101</v>
          </cell>
          <cell r="AA375">
            <v>220210</v>
          </cell>
          <cell r="AB375">
            <v>182022</v>
          </cell>
          <cell r="AC375">
            <v>162668</v>
          </cell>
          <cell r="AD375">
            <v>178308</v>
          </cell>
          <cell r="AE375">
            <v>153642</v>
          </cell>
          <cell r="AF375">
            <v>156896</v>
          </cell>
          <cell r="AG375">
            <v>141452</v>
          </cell>
          <cell r="AI375">
            <v>187087</v>
          </cell>
        </row>
        <row r="376">
          <cell r="I376">
            <v>1193001</v>
          </cell>
          <cell r="J376">
            <v>1162696</v>
          </cell>
          <cell r="K376">
            <v>1422482</v>
          </cell>
          <cell r="L376">
            <v>1475655</v>
          </cell>
          <cell r="M376">
            <v>1624925</v>
          </cell>
          <cell r="N376">
            <v>1731419</v>
          </cell>
          <cell r="O376">
            <v>1299136</v>
          </cell>
          <cell r="P376">
            <v>884906</v>
          </cell>
          <cell r="Q376">
            <v>883635</v>
          </cell>
          <cell r="R376">
            <v>920478</v>
          </cell>
          <cell r="S376">
            <v>850493</v>
          </cell>
          <cell r="T376">
            <v>1070580</v>
          </cell>
          <cell r="U376">
            <v>932552</v>
          </cell>
          <cell r="V376">
            <v>881838</v>
          </cell>
          <cell r="W376">
            <v>1110757</v>
          </cell>
          <cell r="X376">
            <v>1239500</v>
          </cell>
          <cell r="Y376">
            <v>1415285</v>
          </cell>
          <cell r="Z376">
            <v>1585267</v>
          </cell>
          <cell r="AA376">
            <v>1287145</v>
          </cell>
          <cell r="AB376">
            <v>916034</v>
          </cell>
          <cell r="AC376">
            <v>872973</v>
          </cell>
          <cell r="AD376">
            <v>1077125</v>
          </cell>
          <cell r="AE376">
            <v>968580</v>
          </cell>
          <cell r="AF376">
            <v>972928</v>
          </cell>
          <cell r="AG376">
            <v>977736</v>
          </cell>
          <cell r="AI376">
            <v>1162696</v>
          </cell>
        </row>
        <row r="377">
          <cell r="I377">
            <v>229382</v>
          </cell>
          <cell r="J377">
            <v>285211</v>
          </cell>
          <cell r="K377">
            <v>299413</v>
          </cell>
          <cell r="L377">
            <v>415368</v>
          </cell>
          <cell r="M377">
            <v>437753</v>
          </cell>
          <cell r="N377">
            <v>413858</v>
          </cell>
          <cell r="O377">
            <v>398729</v>
          </cell>
          <cell r="P377">
            <v>262664</v>
          </cell>
          <cell r="Q377">
            <v>237193</v>
          </cell>
          <cell r="R377">
            <v>283993</v>
          </cell>
          <cell r="S377">
            <v>288968</v>
          </cell>
          <cell r="T377">
            <v>211497</v>
          </cell>
          <cell r="U377">
            <v>281535</v>
          </cell>
          <cell r="V377">
            <v>280954</v>
          </cell>
          <cell r="W377">
            <v>378188</v>
          </cell>
          <cell r="X377">
            <v>381251</v>
          </cell>
          <cell r="Y377">
            <v>431827</v>
          </cell>
          <cell r="Z377">
            <v>459995</v>
          </cell>
          <cell r="AA377">
            <v>364406</v>
          </cell>
          <cell r="AB377">
            <v>304729</v>
          </cell>
          <cell r="AC377">
            <v>292559</v>
          </cell>
          <cell r="AD377">
            <v>316895</v>
          </cell>
          <cell r="AE377">
            <v>275957</v>
          </cell>
          <cell r="AF377">
            <v>270089</v>
          </cell>
          <cell r="AG377">
            <v>280166</v>
          </cell>
          <cell r="AI377">
            <v>285211</v>
          </cell>
        </row>
        <row r="378">
          <cell r="I378">
            <v>46667</v>
          </cell>
          <cell r="J378">
            <v>40123</v>
          </cell>
          <cell r="K378">
            <v>45494</v>
          </cell>
          <cell r="L378">
            <v>61580</v>
          </cell>
          <cell r="M378">
            <v>61398</v>
          </cell>
          <cell r="N378">
            <v>73990</v>
          </cell>
          <cell r="O378">
            <v>58428</v>
          </cell>
          <cell r="P378">
            <v>36738</v>
          </cell>
          <cell r="Q378">
            <v>35335</v>
          </cell>
          <cell r="R378">
            <v>43772</v>
          </cell>
          <cell r="S378">
            <v>44976</v>
          </cell>
          <cell r="T378">
            <v>46068</v>
          </cell>
          <cell r="U378">
            <v>48821</v>
          </cell>
          <cell r="V378">
            <v>35205</v>
          </cell>
          <cell r="W378">
            <v>46817</v>
          </cell>
          <cell r="X378">
            <v>47440</v>
          </cell>
          <cell r="Y378">
            <v>59077</v>
          </cell>
          <cell r="Z378">
            <v>75718</v>
          </cell>
          <cell r="AA378">
            <v>44384</v>
          </cell>
          <cell r="AB378">
            <v>37922</v>
          </cell>
          <cell r="AC378">
            <v>39411</v>
          </cell>
          <cell r="AD378">
            <v>44316</v>
          </cell>
          <cell r="AE378">
            <v>35103</v>
          </cell>
          <cell r="AF378">
            <v>56886</v>
          </cell>
          <cell r="AG378">
            <v>38316</v>
          </cell>
          <cell r="AI378">
            <v>40123</v>
          </cell>
        </row>
        <row r="379">
          <cell r="I379">
            <v>160185</v>
          </cell>
          <cell r="J379">
            <v>166278</v>
          </cell>
          <cell r="K379">
            <v>151284</v>
          </cell>
          <cell r="L379">
            <v>162416</v>
          </cell>
          <cell r="M379">
            <v>180255</v>
          </cell>
          <cell r="N379">
            <v>192123</v>
          </cell>
          <cell r="O379">
            <v>177035</v>
          </cell>
          <cell r="P379">
            <v>144048</v>
          </cell>
          <cell r="Q379">
            <v>154591</v>
          </cell>
          <cell r="R379">
            <v>194150</v>
          </cell>
          <cell r="S379">
            <v>166945</v>
          </cell>
          <cell r="T379">
            <v>153504</v>
          </cell>
          <cell r="U379">
            <v>155696</v>
          </cell>
          <cell r="V379">
            <v>185231</v>
          </cell>
          <cell r="W379">
            <v>160314</v>
          </cell>
          <cell r="X379">
            <v>170800</v>
          </cell>
          <cell r="Y379">
            <v>191731</v>
          </cell>
          <cell r="Z379">
            <v>191620</v>
          </cell>
          <cell r="AA379">
            <v>191114</v>
          </cell>
          <cell r="AB379">
            <v>149734</v>
          </cell>
          <cell r="AC379">
            <v>163210</v>
          </cell>
          <cell r="AD379">
            <v>207181</v>
          </cell>
          <cell r="AE379">
            <v>194836</v>
          </cell>
          <cell r="AF379">
            <v>135142</v>
          </cell>
          <cell r="AG379">
            <v>147303</v>
          </cell>
          <cell r="AI379">
            <v>166278</v>
          </cell>
        </row>
        <row r="380">
          <cell r="I380">
            <v>62101</v>
          </cell>
          <cell r="J380">
            <v>68279</v>
          </cell>
          <cell r="K380">
            <v>77095</v>
          </cell>
          <cell r="L380">
            <v>93896</v>
          </cell>
          <cell r="M380">
            <v>110426</v>
          </cell>
          <cell r="N380">
            <v>127748</v>
          </cell>
          <cell r="O380">
            <v>109313</v>
          </cell>
          <cell r="P380">
            <v>73987</v>
          </cell>
          <cell r="Q380">
            <v>73623</v>
          </cell>
          <cell r="R380">
            <v>65821</v>
          </cell>
          <cell r="S380">
            <v>67779</v>
          </cell>
          <cell r="T380">
            <v>60338</v>
          </cell>
          <cell r="U380">
            <v>62381</v>
          </cell>
          <cell r="V380">
            <v>67709</v>
          </cell>
          <cell r="W380">
            <v>75643</v>
          </cell>
          <cell r="X380">
            <v>93663</v>
          </cell>
          <cell r="Y380">
            <v>114987</v>
          </cell>
          <cell r="Z380">
            <v>147280</v>
          </cell>
          <cell r="AA380">
            <v>174927</v>
          </cell>
          <cell r="AB380">
            <v>17001</v>
          </cell>
          <cell r="AC380">
            <v>67149</v>
          </cell>
          <cell r="AD380">
            <v>58388</v>
          </cell>
          <cell r="AE380">
            <v>63506</v>
          </cell>
          <cell r="AF380">
            <v>58667</v>
          </cell>
          <cell r="AG380">
            <v>51480</v>
          </cell>
          <cell r="AI380">
            <v>68279</v>
          </cell>
        </row>
        <row r="381">
          <cell r="I381">
            <v>41644</v>
          </cell>
          <cell r="J381">
            <v>42097</v>
          </cell>
          <cell r="K381">
            <v>41926</v>
          </cell>
          <cell r="L381">
            <v>69415</v>
          </cell>
          <cell r="M381">
            <v>79279</v>
          </cell>
          <cell r="N381">
            <v>67487</v>
          </cell>
          <cell r="O381">
            <v>85593</v>
          </cell>
          <cell r="P381">
            <v>50564</v>
          </cell>
          <cell r="Q381">
            <v>48054</v>
          </cell>
          <cell r="R381">
            <v>54493</v>
          </cell>
          <cell r="S381">
            <v>40578</v>
          </cell>
          <cell r="T381">
            <v>33261</v>
          </cell>
          <cell r="U381">
            <v>37039</v>
          </cell>
          <cell r="V381">
            <v>47753</v>
          </cell>
          <cell r="W381">
            <v>50243</v>
          </cell>
          <cell r="X381">
            <v>59539</v>
          </cell>
          <cell r="Y381">
            <v>74999</v>
          </cell>
          <cell r="Z381">
            <v>83967</v>
          </cell>
          <cell r="AA381">
            <v>87156</v>
          </cell>
          <cell r="AB381">
            <v>56736</v>
          </cell>
          <cell r="AC381">
            <v>51211</v>
          </cell>
          <cell r="AD381">
            <v>52296</v>
          </cell>
          <cell r="AE381">
            <v>40994</v>
          </cell>
          <cell r="AF381">
            <v>30012</v>
          </cell>
          <cell r="AG381">
            <v>29482</v>
          </cell>
          <cell r="AI381">
            <v>42097</v>
          </cell>
        </row>
        <row r="382">
          <cell r="I382">
            <v>405341</v>
          </cell>
          <cell r="J382">
            <v>397304</v>
          </cell>
          <cell r="K382">
            <v>348262</v>
          </cell>
          <cell r="L382">
            <v>550233</v>
          </cell>
          <cell r="M382">
            <v>542833</v>
          </cell>
          <cell r="N382">
            <v>788951</v>
          </cell>
          <cell r="O382">
            <v>403171</v>
          </cell>
          <cell r="P382">
            <v>425308</v>
          </cell>
          <cell r="Q382">
            <v>276417</v>
          </cell>
          <cell r="R382">
            <v>389202</v>
          </cell>
          <cell r="S382">
            <v>419779</v>
          </cell>
          <cell r="T382">
            <v>392018</v>
          </cell>
          <cell r="U382">
            <v>421099</v>
          </cell>
          <cell r="V382">
            <v>418887</v>
          </cell>
          <cell r="W382">
            <v>434232</v>
          </cell>
          <cell r="X382">
            <v>443076</v>
          </cell>
          <cell r="Y382">
            <v>552294</v>
          </cell>
          <cell r="Z382">
            <v>796913</v>
          </cell>
          <cell r="AA382">
            <v>385444</v>
          </cell>
          <cell r="AB382">
            <v>398832</v>
          </cell>
          <cell r="AC382">
            <v>341666</v>
          </cell>
          <cell r="AD382">
            <v>389442</v>
          </cell>
          <cell r="AE382">
            <v>420455</v>
          </cell>
          <cell r="AF382">
            <v>416043</v>
          </cell>
          <cell r="AG382">
            <v>386878</v>
          </cell>
          <cell r="AI382">
            <v>397304</v>
          </cell>
        </row>
        <row r="383">
          <cell r="I383">
            <v>1029641</v>
          </cell>
          <cell r="J383">
            <v>1663367</v>
          </cell>
          <cell r="K383">
            <v>371792</v>
          </cell>
          <cell r="L383">
            <v>1161799</v>
          </cell>
          <cell r="M383">
            <v>1207386</v>
          </cell>
          <cell r="N383">
            <v>1156964</v>
          </cell>
          <cell r="O383">
            <v>1270418</v>
          </cell>
          <cell r="P383">
            <v>1153374</v>
          </cell>
          <cell r="Q383">
            <v>1043678</v>
          </cell>
          <cell r="R383">
            <v>1204609</v>
          </cell>
          <cell r="S383">
            <v>1148956</v>
          </cell>
          <cell r="T383">
            <v>1149357</v>
          </cell>
          <cell r="U383">
            <v>1024509</v>
          </cell>
          <cell r="V383">
            <v>1115739</v>
          </cell>
          <cell r="W383">
            <v>1155335</v>
          </cell>
          <cell r="X383">
            <v>1168826</v>
          </cell>
          <cell r="Y383">
            <v>1338379</v>
          </cell>
          <cell r="Z383">
            <v>1336147</v>
          </cell>
          <cell r="AA383">
            <v>1260041</v>
          </cell>
          <cell r="AB383">
            <v>1184175</v>
          </cell>
          <cell r="AC383">
            <v>1054176</v>
          </cell>
          <cell r="AD383">
            <v>1202066</v>
          </cell>
          <cell r="AE383">
            <v>441258</v>
          </cell>
          <cell r="AF383">
            <v>377139</v>
          </cell>
          <cell r="AG383">
            <v>303055</v>
          </cell>
          <cell r="AI383">
            <v>1663367</v>
          </cell>
        </row>
        <row r="385">
          <cell r="I385">
            <v>12530</v>
          </cell>
          <cell r="J385">
            <v>11030</v>
          </cell>
          <cell r="K385">
            <v>14180</v>
          </cell>
          <cell r="L385">
            <v>14870</v>
          </cell>
          <cell r="M385">
            <v>14960</v>
          </cell>
          <cell r="N385">
            <v>19690</v>
          </cell>
          <cell r="O385">
            <v>12890</v>
          </cell>
          <cell r="P385">
            <v>10540</v>
          </cell>
          <cell r="Q385">
            <v>11180</v>
          </cell>
          <cell r="R385">
            <v>12730</v>
          </cell>
          <cell r="S385">
            <v>10790</v>
          </cell>
          <cell r="T385">
            <v>12010</v>
          </cell>
          <cell r="U385">
            <v>14420</v>
          </cell>
          <cell r="V385">
            <v>11480</v>
          </cell>
          <cell r="W385">
            <v>12800</v>
          </cell>
          <cell r="X385">
            <v>15900</v>
          </cell>
          <cell r="Y385">
            <v>12520</v>
          </cell>
          <cell r="Z385">
            <v>14080</v>
          </cell>
          <cell r="AA385">
            <v>12850</v>
          </cell>
          <cell r="AB385">
            <v>10360</v>
          </cell>
          <cell r="AC385">
            <v>13510</v>
          </cell>
          <cell r="AD385">
            <v>13350</v>
          </cell>
          <cell r="AE385">
            <v>12870</v>
          </cell>
          <cell r="AF385">
            <v>13640</v>
          </cell>
          <cell r="AG385">
            <v>15920</v>
          </cell>
          <cell r="AI385">
            <v>11030</v>
          </cell>
        </row>
        <row r="386">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I386">
            <v>0</v>
          </cell>
        </row>
        <row r="387">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I387">
            <v>0</v>
          </cell>
        </row>
        <row r="388">
          <cell r="I388">
            <v>12281</v>
          </cell>
          <cell r="J388">
            <v>10250</v>
          </cell>
          <cell r="K388">
            <v>10361</v>
          </cell>
          <cell r="L388">
            <v>11493</v>
          </cell>
          <cell r="M388">
            <v>11466</v>
          </cell>
          <cell r="N388">
            <v>12299</v>
          </cell>
          <cell r="O388">
            <v>10356</v>
          </cell>
          <cell r="P388">
            <v>8315</v>
          </cell>
          <cell r="Q388">
            <v>7931</v>
          </cell>
          <cell r="R388">
            <v>10512</v>
          </cell>
          <cell r="S388">
            <v>8829</v>
          </cell>
          <cell r="T388">
            <v>9090</v>
          </cell>
          <cell r="U388">
            <v>9912</v>
          </cell>
          <cell r="V388">
            <v>10136</v>
          </cell>
          <cell r="W388">
            <v>9580</v>
          </cell>
          <cell r="X388">
            <v>11070</v>
          </cell>
          <cell r="Y388">
            <v>10988</v>
          </cell>
          <cell r="Z388">
            <v>11113</v>
          </cell>
          <cell r="AA388">
            <v>9588</v>
          </cell>
          <cell r="AB388">
            <v>10161</v>
          </cell>
          <cell r="AC388">
            <v>9133</v>
          </cell>
          <cell r="AD388">
            <v>10028</v>
          </cell>
          <cell r="AE388">
            <v>9551</v>
          </cell>
          <cell r="AF388">
            <v>9767</v>
          </cell>
          <cell r="AG388">
            <v>10987</v>
          </cell>
          <cell r="AI388">
            <v>10250</v>
          </cell>
        </row>
        <row r="389">
          <cell r="I389">
            <v>5</v>
          </cell>
          <cell r="J389">
            <v>6</v>
          </cell>
          <cell r="K389">
            <v>5</v>
          </cell>
          <cell r="L389">
            <v>6</v>
          </cell>
          <cell r="M389">
            <v>5</v>
          </cell>
          <cell r="N389">
            <v>5</v>
          </cell>
          <cell r="O389">
            <v>5</v>
          </cell>
          <cell r="P389">
            <v>5</v>
          </cell>
          <cell r="Q389">
            <v>4</v>
          </cell>
          <cell r="R389">
            <v>4</v>
          </cell>
          <cell r="S389">
            <v>5</v>
          </cell>
          <cell r="T389">
            <v>3</v>
          </cell>
          <cell r="U389">
            <v>3</v>
          </cell>
          <cell r="V389">
            <v>4</v>
          </cell>
          <cell r="W389">
            <v>3</v>
          </cell>
          <cell r="X389">
            <v>7</v>
          </cell>
          <cell r="Y389">
            <v>6</v>
          </cell>
          <cell r="Z389">
            <v>4</v>
          </cell>
          <cell r="AA389">
            <v>5</v>
          </cell>
          <cell r="AB389">
            <v>4</v>
          </cell>
          <cell r="AC389">
            <v>3</v>
          </cell>
          <cell r="AD389">
            <v>4</v>
          </cell>
          <cell r="AE389">
            <v>4</v>
          </cell>
          <cell r="AF389">
            <v>7</v>
          </cell>
          <cell r="AG389">
            <v>6</v>
          </cell>
          <cell r="AI389">
            <v>6</v>
          </cell>
        </row>
        <row r="390">
          <cell r="I390">
            <v>12238</v>
          </cell>
          <cell r="J390">
            <v>12655</v>
          </cell>
          <cell r="K390">
            <v>12283</v>
          </cell>
          <cell r="L390">
            <v>12321</v>
          </cell>
          <cell r="M390">
            <v>15756</v>
          </cell>
          <cell r="N390">
            <v>20138</v>
          </cell>
          <cell r="O390">
            <v>15160</v>
          </cell>
          <cell r="P390">
            <v>13720</v>
          </cell>
          <cell r="Q390">
            <v>15600</v>
          </cell>
          <cell r="R390">
            <v>16240</v>
          </cell>
          <cell r="S390">
            <v>14000</v>
          </cell>
          <cell r="T390">
            <v>14200</v>
          </cell>
          <cell r="U390">
            <v>15240</v>
          </cell>
          <cell r="V390">
            <v>13480</v>
          </cell>
          <cell r="W390">
            <v>17880</v>
          </cell>
          <cell r="X390">
            <v>18120</v>
          </cell>
          <cell r="Y390">
            <v>18760</v>
          </cell>
          <cell r="Z390">
            <v>21600</v>
          </cell>
          <cell r="AA390">
            <v>18160</v>
          </cell>
          <cell r="AB390">
            <v>14880</v>
          </cell>
          <cell r="AC390">
            <v>11560</v>
          </cell>
          <cell r="AD390">
            <v>14920</v>
          </cell>
          <cell r="AE390">
            <v>16760</v>
          </cell>
          <cell r="AF390">
            <v>16960</v>
          </cell>
          <cell r="AG390">
            <v>15880</v>
          </cell>
          <cell r="AI390">
            <v>12655</v>
          </cell>
        </row>
        <row r="391">
          <cell r="I391">
            <v>88738</v>
          </cell>
          <cell r="J391">
            <v>84910</v>
          </cell>
          <cell r="K391">
            <v>97315</v>
          </cell>
          <cell r="L391">
            <v>98111</v>
          </cell>
          <cell r="M391">
            <v>101627</v>
          </cell>
          <cell r="N391">
            <v>119163</v>
          </cell>
          <cell r="O391">
            <v>89514</v>
          </cell>
          <cell r="P391">
            <v>86377</v>
          </cell>
          <cell r="Q391">
            <v>93996</v>
          </cell>
          <cell r="R391">
            <v>91830</v>
          </cell>
          <cell r="S391">
            <v>89530</v>
          </cell>
          <cell r="T391">
            <v>98880</v>
          </cell>
          <cell r="U391">
            <v>89471</v>
          </cell>
          <cell r="V391">
            <v>80549</v>
          </cell>
          <cell r="W391">
            <v>97585</v>
          </cell>
          <cell r="X391">
            <v>91860</v>
          </cell>
          <cell r="Y391">
            <v>110831</v>
          </cell>
          <cell r="Z391">
            <v>124452</v>
          </cell>
          <cell r="AA391">
            <v>106029</v>
          </cell>
          <cell r="AB391">
            <v>83880</v>
          </cell>
          <cell r="AC391">
            <v>89410</v>
          </cell>
          <cell r="AD391">
            <v>92655</v>
          </cell>
          <cell r="AE391">
            <v>96238</v>
          </cell>
          <cell r="AF391">
            <v>94935</v>
          </cell>
          <cell r="AG391">
            <v>84474</v>
          </cell>
          <cell r="AI391">
            <v>84910</v>
          </cell>
        </row>
        <row r="392">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I392">
            <v>0</v>
          </cell>
        </row>
        <row r="393">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I393">
            <v>0</v>
          </cell>
        </row>
        <row r="394">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I394">
            <v>0</v>
          </cell>
        </row>
        <row r="395">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I395">
            <v>0</v>
          </cell>
        </row>
        <row r="396">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I396">
            <v>0</v>
          </cell>
        </row>
        <row r="397">
          <cell r="I397">
            <v>17936</v>
          </cell>
          <cell r="J397">
            <v>24056</v>
          </cell>
          <cell r="K397">
            <v>29644</v>
          </cell>
          <cell r="L397">
            <v>33140</v>
          </cell>
          <cell r="M397">
            <v>35248</v>
          </cell>
          <cell r="N397">
            <v>43080</v>
          </cell>
          <cell r="O397">
            <v>29228</v>
          </cell>
          <cell r="P397">
            <v>24356</v>
          </cell>
          <cell r="Q397">
            <v>18968</v>
          </cell>
          <cell r="R397">
            <v>26152</v>
          </cell>
          <cell r="S397">
            <v>16324</v>
          </cell>
          <cell r="T397">
            <v>18512</v>
          </cell>
          <cell r="U397">
            <v>16192</v>
          </cell>
          <cell r="V397">
            <v>18756</v>
          </cell>
          <cell r="W397">
            <v>28192</v>
          </cell>
          <cell r="X397">
            <v>31556</v>
          </cell>
          <cell r="Y397">
            <v>37350</v>
          </cell>
          <cell r="Z397">
            <v>41518</v>
          </cell>
          <cell r="AA397">
            <v>35362</v>
          </cell>
          <cell r="AB397">
            <v>30228</v>
          </cell>
          <cell r="AC397">
            <v>28091</v>
          </cell>
          <cell r="AD397">
            <v>19064</v>
          </cell>
          <cell r="AE397">
            <v>20499</v>
          </cell>
          <cell r="AF397">
            <v>25718</v>
          </cell>
          <cell r="AG397">
            <v>26275</v>
          </cell>
          <cell r="AI397">
            <v>24056</v>
          </cell>
        </row>
        <row r="398">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I398">
            <v>0</v>
          </cell>
        </row>
        <row r="399">
          <cell r="I399">
            <v>10560</v>
          </cell>
          <cell r="J399">
            <v>11616</v>
          </cell>
          <cell r="K399">
            <v>12192</v>
          </cell>
          <cell r="L399">
            <v>12576</v>
          </cell>
          <cell r="M399">
            <v>13056</v>
          </cell>
          <cell r="N399">
            <v>15168</v>
          </cell>
          <cell r="O399">
            <v>12480</v>
          </cell>
          <cell r="P399">
            <v>10272</v>
          </cell>
          <cell r="Q399">
            <v>11424</v>
          </cell>
          <cell r="R399">
            <v>10368</v>
          </cell>
          <cell r="S399">
            <v>11232</v>
          </cell>
          <cell r="T399">
            <v>11136</v>
          </cell>
          <cell r="U399">
            <v>11904</v>
          </cell>
          <cell r="V399">
            <v>9696</v>
          </cell>
          <cell r="W399">
            <v>13536</v>
          </cell>
          <cell r="X399">
            <v>12384</v>
          </cell>
          <cell r="Y399">
            <v>13728</v>
          </cell>
          <cell r="Z399">
            <v>12672</v>
          </cell>
          <cell r="AA399">
            <v>12480</v>
          </cell>
          <cell r="AB399">
            <v>9984</v>
          </cell>
          <cell r="AC399">
            <v>10848</v>
          </cell>
          <cell r="AD399">
            <v>11136</v>
          </cell>
          <cell r="AE399">
            <v>11520</v>
          </cell>
          <cell r="AF399">
            <v>10368</v>
          </cell>
          <cell r="AG399">
            <v>10080</v>
          </cell>
          <cell r="AI399">
            <v>11616</v>
          </cell>
        </row>
        <row r="400">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I400">
            <v>0</v>
          </cell>
        </row>
        <row r="401">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I401">
            <v>0</v>
          </cell>
        </row>
        <row r="402">
          <cell r="I402">
            <v>946</v>
          </cell>
          <cell r="J402">
            <v>1146</v>
          </cell>
          <cell r="K402">
            <v>945</v>
          </cell>
          <cell r="L402">
            <v>1404</v>
          </cell>
          <cell r="M402">
            <v>1362</v>
          </cell>
          <cell r="N402">
            <v>1796</v>
          </cell>
          <cell r="O402">
            <v>1025</v>
          </cell>
          <cell r="P402">
            <v>864</v>
          </cell>
          <cell r="Q402">
            <v>909</v>
          </cell>
          <cell r="R402">
            <v>704</v>
          </cell>
          <cell r="S402">
            <v>787</v>
          </cell>
          <cell r="T402">
            <v>480</v>
          </cell>
          <cell r="U402">
            <v>943</v>
          </cell>
          <cell r="V402">
            <v>931</v>
          </cell>
          <cell r="W402">
            <v>1203</v>
          </cell>
          <cell r="X402">
            <v>1411</v>
          </cell>
          <cell r="Y402">
            <v>1616</v>
          </cell>
          <cell r="Z402">
            <v>1448</v>
          </cell>
          <cell r="AA402">
            <v>224</v>
          </cell>
          <cell r="AB402">
            <v>256</v>
          </cell>
          <cell r="AC402">
            <v>227</v>
          </cell>
          <cell r="AD402">
            <v>189</v>
          </cell>
          <cell r="AE402">
            <v>42</v>
          </cell>
          <cell r="AF402">
            <v>-482</v>
          </cell>
          <cell r="AG402">
            <v>591</v>
          </cell>
          <cell r="AI402">
            <v>1146</v>
          </cell>
        </row>
        <row r="403">
          <cell r="I403">
            <v>0</v>
          </cell>
          <cell r="J403">
            <v>3330</v>
          </cell>
          <cell r="K403">
            <v>5270</v>
          </cell>
          <cell r="L403">
            <v>6680</v>
          </cell>
          <cell r="M403">
            <v>6970</v>
          </cell>
          <cell r="N403">
            <v>7350</v>
          </cell>
          <cell r="O403">
            <v>6480</v>
          </cell>
          <cell r="P403">
            <v>5440</v>
          </cell>
          <cell r="Q403">
            <v>4470</v>
          </cell>
          <cell r="R403">
            <v>5010</v>
          </cell>
          <cell r="S403">
            <v>6120</v>
          </cell>
          <cell r="T403">
            <v>6670</v>
          </cell>
          <cell r="U403">
            <v>6530</v>
          </cell>
          <cell r="V403">
            <v>5390</v>
          </cell>
          <cell r="W403">
            <v>6310</v>
          </cell>
          <cell r="X403">
            <v>6600</v>
          </cell>
          <cell r="Y403">
            <v>7320</v>
          </cell>
          <cell r="Z403">
            <v>6640</v>
          </cell>
          <cell r="AA403">
            <v>6150</v>
          </cell>
          <cell r="AB403">
            <v>6150</v>
          </cell>
          <cell r="AC403">
            <v>5540</v>
          </cell>
          <cell r="AD403">
            <v>5120</v>
          </cell>
          <cell r="AE403">
            <v>4710</v>
          </cell>
          <cell r="AF403">
            <v>4340</v>
          </cell>
          <cell r="AG403">
            <v>4710</v>
          </cell>
          <cell r="AI403">
            <v>3330</v>
          </cell>
        </row>
        <row r="404">
          <cell r="I404">
            <v>3093</v>
          </cell>
          <cell r="J404">
            <v>3826</v>
          </cell>
          <cell r="K404">
            <v>3571</v>
          </cell>
          <cell r="L404">
            <v>4702</v>
          </cell>
          <cell r="M404">
            <v>4256</v>
          </cell>
          <cell r="N404">
            <v>3634</v>
          </cell>
          <cell r="O404">
            <v>5590</v>
          </cell>
          <cell r="P404">
            <v>3396</v>
          </cell>
          <cell r="Q404">
            <v>2725</v>
          </cell>
          <cell r="R404">
            <v>4043</v>
          </cell>
          <cell r="S404">
            <v>4203</v>
          </cell>
          <cell r="T404">
            <v>3755</v>
          </cell>
          <cell r="U404">
            <v>4741</v>
          </cell>
          <cell r="V404">
            <v>3880</v>
          </cell>
          <cell r="W404">
            <v>4211</v>
          </cell>
          <cell r="X404">
            <v>4974</v>
          </cell>
          <cell r="Y404">
            <v>4559</v>
          </cell>
          <cell r="Z404">
            <v>4227</v>
          </cell>
          <cell r="AA404">
            <v>5315</v>
          </cell>
          <cell r="AB404">
            <v>2182</v>
          </cell>
          <cell r="AC404">
            <v>2361</v>
          </cell>
          <cell r="AD404">
            <v>2223</v>
          </cell>
          <cell r="AE404">
            <v>2741</v>
          </cell>
          <cell r="AF404">
            <v>2822</v>
          </cell>
          <cell r="AG404">
            <v>2651</v>
          </cell>
          <cell r="AI404">
            <v>3826</v>
          </cell>
        </row>
        <row r="406">
          <cell r="I406">
            <v>2813890</v>
          </cell>
          <cell r="J406">
            <v>3229623</v>
          </cell>
          <cell r="K406">
            <v>4256346</v>
          </cell>
          <cell r="L406">
            <v>4509978</v>
          </cell>
          <cell r="M406">
            <v>4623069</v>
          </cell>
          <cell r="N406">
            <v>4876609</v>
          </cell>
          <cell r="O406">
            <v>3531606</v>
          </cell>
          <cell r="P406">
            <v>2870824</v>
          </cell>
          <cell r="Q406">
            <v>2813592</v>
          </cell>
          <cell r="R406">
            <v>2861370</v>
          </cell>
          <cell r="S406">
            <v>2951150</v>
          </cell>
          <cell r="T406">
            <v>2674993</v>
          </cell>
          <cell r="U406">
            <v>2807308</v>
          </cell>
          <cell r="V406">
            <v>3271605</v>
          </cell>
          <cell r="W406">
            <v>3567155</v>
          </cell>
          <cell r="X406">
            <v>4347638</v>
          </cell>
          <cell r="Y406">
            <v>4794199</v>
          </cell>
          <cell r="Z406">
            <v>4689605</v>
          </cell>
          <cell r="AA406">
            <v>3654041</v>
          </cell>
          <cell r="AB406">
            <v>2886253</v>
          </cell>
          <cell r="AC406">
            <v>2728068</v>
          </cell>
          <cell r="AD406">
            <v>3037262</v>
          </cell>
          <cell r="AE406">
            <v>2667590</v>
          </cell>
          <cell r="AF406">
            <v>2492789</v>
          </cell>
          <cell r="AG406">
            <v>2681795</v>
          </cell>
          <cell r="AI406">
            <v>3229623</v>
          </cell>
        </row>
        <row r="407">
          <cell r="I407">
            <v>4861108</v>
          </cell>
          <cell r="J407">
            <v>5085582</v>
          </cell>
          <cell r="K407">
            <v>6632222</v>
          </cell>
          <cell r="L407">
            <v>6655675</v>
          </cell>
          <cell r="M407">
            <v>6591617</v>
          </cell>
          <cell r="N407">
            <v>7363557</v>
          </cell>
          <cell r="O407">
            <v>5496246</v>
          </cell>
          <cell r="P407">
            <v>4923486</v>
          </cell>
          <cell r="Q407">
            <v>4482022</v>
          </cell>
          <cell r="R407">
            <v>4416630</v>
          </cell>
          <cell r="S407">
            <v>4042442</v>
          </cell>
          <cell r="T407">
            <v>4606024</v>
          </cell>
          <cell r="U407">
            <v>4302407</v>
          </cell>
          <cell r="V407">
            <v>5133744</v>
          </cell>
          <cell r="W407">
            <v>5371522</v>
          </cell>
          <cell r="X407">
            <v>5589826</v>
          </cell>
          <cell r="Y407">
            <v>6959648</v>
          </cell>
          <cell r="Z407">
            <v>6663394</v>
          </cell>
          <cell r="AA407">
            <v>5431465</v>
          </cell>
          <cell r="AB407">
            <v>4105136</v>
          </cell>
          <cell r="AC407">
            <v>3899890</v>
          </cell>
          <cell r="AD407">
            <v>4282857</v>
          </cell>
          <cell r="AE407">
            <v>4083212</v>
          </cell>
          <cell r="AF407">
            <v>3820244</v>
          </cell>
          <cell r="AG407">
            <v>4055935</v>
          </cell>
          <cell r="AI407">
            <v>5085582</v>
          </cell>
        </row>
        <row r="408">
          <cell r="I408">
            <v>1544641</v>
          </cell>
          <cell r="J408">
            <v>1789187</v>
          </cell>
          <cell r="K408">
            <v>2330982</v>
          </cell>
          <cell r="L408">
            <v>2733661</v>
          </cell>
          <cell r="M408">
            <v>2923821</v>
          </cell>
          <cell r="N408">
            <v>3224117</v>
          </cell>
          <cell r="O408">
            <v>2209872</v>
          </cell>
          <cell r="P408">
            <v>1511938</v>
          </cell>
          <cell r="Q408">
            <v>1560987</v>
          </cell>
          <cell r="R408">
            <v>1723832</v>
          </cell>
          <cell r="S408">
            <v>1774725</v>
          </cell>
          <cell r="T408">
            <v>1724043</v>
          </cell>
          <cell r="U408">
            <v>1599040</v>
          </cell>
          <cell r="V408">
            <v>1808174</v>
          </cell>
          <cell r="W408">
            <v>2276965</v>
          </cell>
          <cell r="X408">
            <v>2597226</v>
          </cell>
          <cell r="Y408">
            <v>3303179</v>
          </cell>
          <cell r="Z408">
            <v>3278325</v>
          </cell>
          <cell r="AA408">
            <v>2263047</v>
          </cell>
          <cell r="AB408">
            <v>1649722</v>
          </cell>
          <cell r="AC408">
            <v>1541852</v>
          </cell>
          <cell r="AD408">
            <v>1837147</v>
          </cell>
          <cell r="AE408">
            <v>1691259</v>
          </cell>
          <cell r="AF408">
            <v>1656491</v>
          </cell>
          <cell r="AG408">
            <v>1426701</v>
          </cell>
          <cell r="AI408">
            <v>1789187</v>
          </cell>
        </row>
        <row r="409">
          <cell r="I409">
            <v>2877407</v>
          </cell>
          <cell r="J409">
            <v>3182357</v>
          </cell>
          <cell r="K409">
            <v>4195690</v>
          </cell>
          <cell r="L409">
            <v>4704446</v>
          </cell>
          <cell r="M409">
            <v>4943444</v>
          </cell>
          <cell r="N409">
            <v>5201884</v>
          </cell>
          <cell r="O409">
            <v>3859509</v>
          </cell>
          <cell r="P409">
            <v>2628211</v>
          </cell>
          <cell r="Q409">
            <v>2660348</v>
          </cell>
          <cell r="R409">
            <v>2872080</v>
          </cell>
          <cell r="S409">
            <v>2812545</v>
          </cell>
          <cell r="T409">
            <v>2964662</v>
          </cell>
          <cell r="U409">
            <v>2729102</v>
          </cell>
          <cell r="V409">
            <v>3083634</v>
          </cell>
          <cell r="W409">
            <v>4126833</v>
          </cell>
          <cell r="X409">
            <v>4590834</v>
          </cell>
          <cell r="Y409">
            <v>5786684</v>
          </cell>
          <cell r="Z409">
            <v>5470984</v>
          </cell>
          <cell r="AA409">
            <v>4020444</v>
          </cell>
          <cell r="AB409">
            <v>2932621</v>
          </cell>
          <cell r="AC409">
            <v>2787654</v>
          </cell>
          <cell r="AD409">
            <v>3106029</v>
          </cell>
          <cell r="AE409">
            <v>2767588</v>
          </cell>
          <cell r="AF409">
            <v>2693631</v>
          </cell>
          <cell r="AG409">
            <v>2629308</v>
          </cell>
          <cell r="AI409">
            <v>3182357</v>
          </cell>
        </row>
        <row r="410">
          <cell r="I410">
            <v>2036816</v>
          </cell>
          <cell r="J410">
            <v>2432162</v>
          </cell>
          <cell r="K410">
            <v>3131686</v>
          </cell>
          <cell r="L410">
            <v>3730740</v>
          </cell>
          <cell r="M410">
            <v>4262916</v>
          </cell>
          <cell r="N410">
            <v>4177166</v>
          </cell>
          <cell r="O410">
            <v>3171848</v>
          </cell>
          <cell r="P410">
            <v>1968181</v>
          </cell>
          <cell r="Q410">
            <v>1956990</v>
          </cell>
          <cell r="R410">
            <v>2313572</v>
          </cell>
          <cell r="S410">
            <v>2265007</v>
          </cell>
          <cell r="T410">
            <v>2224977</v>
          </cell>
          <cell r="U410">
            <v>2100417</v>
          </cell>
          <cell r="V410">
            <v>2211558</v>
          </cell>
          <cell r="W410">
            <v>3075273</v>
          </cell>
          <cell r="X410">
            <v>3412629</v>
          </cell>
          <cell r="Y410">
            <v>4564557</v>
          </cell>
          <cell r="Z410">
            <v>4443481</v>
          </cell>
          <cell r="AA410">
            <v>3242229</v>
          </cell>
          <cell r="AB410">
            <v>2104537</v>
          </cell>
          <cell r="AC410">
            <v>2053439</v>
          </cell>
          <cell r="AD410">
            <v>2442627</v>
          </cell>
          <cell r="AE410">
            <v>2162976</v>
          </cell>
          <cell r="AF410">
            <v>2164068</v>
          </cell>
          <cell r="AG410">
            <v>1981798</v>
          </cell>
          <cell r="AI410">
            <v>2432162</v>
          </cell>
        </row>
        <row r="411">
          <cell r="I411">
            <v>2652551</v>
          </cell>
          <cell r="J411">
            <v>3002645</v>
          </cell>
          <cell r="K411">
            <v>3625149</v>
          </cell>
          <cell r="L411">
            <v>4354403</v>
          </cell>
          <cell r="M411">
            <v>4681916</v>
          </cell>
          <cell r="N411">
            <v>5145366</v>
          </cell>
          <cell r="O411">
            <v>3841373</v>
          </cell>
          <cell r="P411">
            <v>2707215</v>
          </cell>
          <cell r="Q411">
            <v>2700502</v>
          </cell>
          <cell r="R411">
            <v>2953879</v>
          </cell>
          <cell r="S411">
            <v>3050157</v>
          </cell>
          <cell r="T411">
            <v>3077450</v>
          </cell>
          <cell r="U411">
            <v>2896901</v>
          </cell>
          <cell r="V411">
            <v>2883528</v>
          </cell>
          <cell r="W411">
            <v>3710579</v>
          </cell>
          <cell r="X411">
            <v>4264069</v>
          </cell>
          <cell r="Y411">
            <v>5182997</v>
          </cell>
          <cell r="Z411">
            <v>5351389</v>
          </cell>
          <cell r="AA411">
            <v>4017186</v>
          </cell>
          <cell r="AB411">
            <v>2803164</v>
          </cell>
          <cell r="AC411">
            <v>2748761</v>
          </cell>
          <cell r="AD411">
            <v>3271249</v>
          </cell>
          <cell r="AE411">
            <v>3041159</v>
          </cell>
          <cell r="AF411">
            <v>2936649</v>
          </cell>
          <cell r="AG411">
            <v>2688172</v>
          </cell>
          <cell r="AI411">
            <v>3002645</v>
          </cell>
        </row>
        <row r="412">
          <cell r="I412">
            <v>2378373</v>
          </cell>
          <cell r="J412">
            <v>2634715</v>
          </cell>
          <cell r="K412">
            <v>3069092</v>
          </cell>
          <cell r="L412">
            <v>3810981</v>
          </cell>
          <cell r="M412">
            <v>4063534</v>
          </cell>
          <cell r="N412">
            <v>4415545</v>
          </cell>
          <cell r="O412">
            <v>3313592</v>
          </cell>
          <cell r="P412">
            <v>2386228</v>
          </cell>
          <cell r="Q412">
            <v>2242470</v>
          </cell>
          <cell r="R412">
            <v>2500566</v>
          </cell>
          <cell r="S412">
            <v>2400939</v>
          </cell>
          <cell r="T412">
            <v>2557383</v>
          </cell>
          <cell r="U412">
            <v>2287582</v>
          </cell>
          <cell r="V412">
            <v>2306719</v>
          </cell>
          <cell r="W412">
            <v>3327047</v>
          </cell>
          <cell r="X412">
            <v>3245012</v>
          </cell>
          <cell r="Y412">
            <v>3623444</v>
          </cell>
          <cell r="Z412">
            <v>4235883</v>
          </cell>
          <cell r="AA412">
            <v>3160600</v>
          </cell>
          <cell r="AB412">
            <v>2209770</v>
          </cell>
          <cell r="AC412">
            <v>2404553</v>
          </cell>
          <cell r="AD412">
            <v>2576315</v>
          </cell>
          <cell r="AE412">
            <v>1949423</v>
          </cell>
          <cell r="AF412">
            <v>2066117</v>
          </cell>
          <cell r="AG412">
            <v>1737022</v>
          </cell>
          <cell r="AI412">
            <v>2634715</v>
          </cell>
        </row>
        <row r="413">
          <cell r="I413">
            <v>2119726</v>
          </cell>
          <cell r="J413">
            <v>2531752</v>
          </cell>
          <cell r="K413">
            <v>3117398</v>
          </cell>
          <cell r="L413">
            <v>3971526</v>
          </cell>
          <cell r="M413">
            <v>4386871</v>
          </cell>
          <cell r="N413">
            <v>4444384</v>
          </cell>
          <cell r="O413">
            <v>3298414</v>
          </cell>
          <cell r="P413">
            <v>2204975</v>
          </cell>
          <cell r="Q413">
            <v>2068278</v>
          </cell>
          <cell r="R413">
            <v>2429838</v>
          </cell>
          <cell r="S413">
            <v>2332475</v>
          </cell>
          <cell r="T413">
            <v>2457277</v>
          </cell>
          <cell r="U413">
            <v>2162082</v>
          </cell>
          <cell r="V413">
            <v>2191506</v>
          </cell>
          <cell r="W413">
            <v>3299628</v>
          </cell>
          <cell r="X413">
            <v>3573807</v>
          </cell>
          <cell r="Y413">
            <v>4829232</v>
          </cell>
          <cell r="Z413">
            <v>4945385</v>
          </cell>
          <cell r="AA413">
            <v>3692153</v>
          </cell>
          <cell r="AB413">
            <v>2423778</v>
          </cell>
          <cell r="AC413">
            <v>2215919</v>
          </cell>
          <cell r="AD413">
            <v>2620416</v>
          </cell>
          <cell r="AE413">
            <v>2342069</v>
          </cell>
          <cell r="AF413">
            <v>2346034</v>
          </cell>
          <cell r="AG413">
            <v>2084821</v>
          </cell>
          <cell r="AI413">
            <v>2531752</v>
          </cell>
        </row>
        <row r="414">
          <cell r="I414">
            <v>2311646</v>
          </cell>
          <cell r="J414">
            <v>2606484</v>
          </cell>
          <cell r="K414">
            <v>3116724</v>
          </cell>
          <cell r="L414">
            <v>3785148</v>
          </cell>
          <cell r="M414">
            <v>4165942</v>
          </cell>
          <cell r="N414">
            <v>4315154</v>
          </cell>
          <cell r="O414">
            <v>3323994</v>
          </cell>
          <cell r="P414">
            <v>2429689</v>
          </cell>
          <cell r="Q414">
            <v>2383807</v>
          </cell>
          <cell r="R414">
            <v>2476906</v>
          </cell>
          <cell r="S414">
            <v>2549343</v>
          </cell>
          <cell r="T414">
            <v>2582656</v>
          </cell>
          <cell r="U414">
            <v>2578488</v>
          </cell>
          <cell r="V414">
            <v>2316450</v>
          </cell>
          <cell r="W414">
            <v>3340712</v>
          </cell>
          <cell r="X414">
            <v>3664434</v>
          </cell>
          <cell r="Y414">
            <v>4646737</v>
          </cell>
          <cell r="Z414">
            <v>5000687</v>
          </cell>
          <cell r="AA414">
            <v>3840783</v>
          </cell>
          <cell r="AB414">
            <v>2754022</v>
          </cell>
          <cell r="AC414">
            <v>2646935</v>
          </cell>
          <cell r="AD414">
            <v>2761826</v>
          </cell>
          <cell r="AE414">
            <v>2773576</v>
          </cell>
          <cell r="AF414">
            <v>2846821</v>
          </cell>
          <cell r="AG414">
            <v>2497911</v>
          </cell>
          <cell r="AI414">
            <v>2606484</v>
          </cell>
        </row>
        <row r="415">
          <cell r="I415">
            <v>1949044</v>
          </cell>
          <cell r="J415">
            <v>2137785</v>
          </cell>
          <cell r="K415">
            <v>2433925</v>
          </cell>
          <cell r="L415">
            <v>3404151</v>
          </cell>
          <cell r="M415">
            <v>3786600</v>
          </cell>
          <cell r="N415">
            <v>3707575</v>
          </cell>
          <cell r="O415">
            <v>2877045</v>
          </cell>
          <cell r="P415">
            <v>2114262</v>
          </cell>
          <cell r="Q415">
            <v>1755789</v>
          </cell>
          <cell r="R415">
            <v>1998276</v>
          </cell>
          <cell r="S415">
            <v>2027517</v>
          </cell>
          <cell r="T415">
            <v>2008761</v>
          </cell>
          <cell r="U415">
            <v>1965488</v>
          </cell>
          <cell r="V415">
            <v>1758292</v>
          </cell>
          <cell r="W415">
            <v>2672808</v>
          </cell>
          <cell r="X415">
            <v>2965429</v>
          </cell>
          <cell r="Y415">
            <v>3852989</v>
          </cell>
          <cell r="Z415">
            <v>4149237</v>
          </cell>
          <cell r="AA415">
            <v>3159836</v>
          </cell>
          <cell r="AB415">
            <v>2035451</v>
          </cell>
          <cell r="AC415">
            <v>1815243</v>
          </cell>
          <cell r="AD415">
            <v>2106018</v>
          </cell>
          <cell r="AE415">
            <v>1918691</v>
          </cell>
          <cell r="AF415">
            <v>1950479</v>
          </cell>
          <cell r="AG415">
            <v>1761656</v>
          </cell>
          <cell r="AI415">
            <v>2137785</v>
          </cell>
        </row>
        <row r="416">
          <cell r="I416">
            <v>4199923</v>
          </cell>
          <cell r="J416">
            <v>4870921</v>
          </cell>
          <cell r="K416">
            <v>5247048</v>
          </cell>
          <cell r="L416">
            <v>6900876</v>
          </cell>
          <cell r="M416">
            <v>6813692</v>
          </cell>
          <cell r="N416">
            <v>7629160</v>
          </cell>
          <cell r="O416">
            <v>6178716</v>
          </cell>
          <cell r="P416">
            <v>4667862</v>
          </cell>
          <cell r="Q416">
            <v>4119605</v>
          </cell>
          <cell r="R416">
            <v>4262784</v>
          </cell>
          <cell r="S416">
            <v>4898629</v>
          </cell>
          <cell r="T416">
            <v>4862936</v>
          </cell>
          <cell r="U416">
            <v>4806855</v>
          </cell>
          <cell r="V416">
            <v>4711081</v>
          </cell>
          <cell r="W416">
            <v>5734176</v>
          </cell>
          <cell r="X416">
            <v>6326943</v>
          </cell>
          <cell r="Y416">
            <v>7505156</v>
          </cell>
          <cell r="Z416">
            <v>6858817</v>
          </cell>
          <cell r="AA416">
            <v>6041777</v>
          </cell>
          <cell r="AB416">
            <v>4535222</v>
          </cell>
          <cell r="AC416">
            <v>4012992</v>
          </cell>
          <cell r="AD416">
            <v>4043266</v>
          </cell>
          <cell r="AE416">
            <v>4124695</v>
          </cell>
          <cell r="AF416">
            <v>3924357</v>
          </cell>
          <cell r="AG416">
            <v>3737194</v>
          </cell>
          <cell r="AI416">
            <v>4870921</v>
          </cell>
        </row>
        <row r="417">
          <cell r="I417">
            <v>1744895</v>
          </cell>
          <cell r="J417">
            <v>1887304</v>
          </cell>
          <cell r="K417">
            <v>2229430</v>
          </cell>
          <cell r="L417">
            <v>3081545</v>
          </cell>
          <cell r="M417">
            <v>3346284</v>
          </cell>
          <cell r="N417">
            <v>3612972</v>
          </cell>
          <cell r="O417">
            <v>2714441</v>
          </cell>
          <cell r="P417">
            <v>1917337</v>
          </cell>
          <cell r="Q417">
            <v>1631916</v>
          </cell>
          <cell r="R417">
            <v>1768168</v>
          </cell>
          <cell r="S417">
            <v>1727295</v>
          </cell>
          <cell r="T417">
            <v>1906620</v>
          </cell>
          <cell r="U417">
            <v>1687904</v>
          </cell>
          <cell r="V417">
            <v>1636924</v>
          </cell>
          <cell r="W417">
            <v>2431240</v>
          </cell>
          <cell r="X417">
            <v>2702667</v>
          </cell>
          <cell r="Y417">
            <v>3548832</v>
          </cell>
          <cell r="Z417">
            <v>3958917</v>
          </cell>
          <cell r="AA417">
            <v>2957266</v>
          </cell>
          <cell r="AB417">
            <v>1977617</v>
          </cell>
          <cell r="AC417">
            <v>1716402</v>
          </cell>
          <cell r="AD417">
            <v>1785641</v>
          </cell>
          <cell r="AE417">
            <v>1809426</v>
          </cell>
          <cell r="AF417">
            <v>1784461</v>
          </cell>
          <cell r="AG417">
            <v>1528983</v>
          </cell>
          <cell r="AI417">
            <v>1887304</v>
          </cell>
        </row>
        <row r="418">
          <cell r="I418">
            <v>8857451</v>
          </cell>
          <cell r="J418">
            <v>8318579</v>
          </cell>
          <cell r="K418">
            <v>9762838</v>
          </cell>
          <cell r="L418">
            <v>10032482</v>
          </cell>
          <cell r="M418">
            <v>10558397</v>
          </cell>
          <cell r="N418">
            <v>11530356</v>
          </cell>
          <cell r="O418">
            <v>9419787</v>
          </cell>
          <cell r="P418">
            <v>8063549</v>
          </cell>
          <cell r="Q418">
            <v>7589689</v>
          </cell>
          <cell r="R418">
            <v>8418752</v>
          </cell>
          <cell r="S418">
            <v>8089792</v>
          </cell>
          <cell r="T418">
            <v>8634438</v>
          </cell>
          <cell r="U418">
            <v>8144594</v>
          </cell>
          <cell r="V418">
            <v>7964265</v>
          </cell>
          <cell r="W418">
            <v>10057652</v>
          </cell>
          <cell r="X418">
            <v>10066736</v>
          </cell>
          <cell r="Y418">
            <v>11173307</v>
          </cell>
          <cell r="Z418">
            <v>12572420</v>
          </cell>
          <cell r="AA418">
            <v>10085476</v>
          </cell>
          <cell r="AB418">
            <v>8739582</v>
          </cell>
          <cell r="AC418">
            <v>8108216</v>
          </cell>
          <cell r="AD418">
            <v>8276491</v>
          </cell>
          <cell r="AE418">
            <v>8757840</v>
          </cell>
          <cell r="AF418">
            <v>8680330</v>
          </cell>
          <cell r="AG418">
            <v>8210361</v>
          </cell>
          <cell r="AI418">
            <v>8318579</v>
          </cell>
        </row>
        <row r="419">
          <cell r="I419">
            <v>2914015</v>
          </cell>
          <cell r="J419">
            <v>3132914</v>
          </cell>
          <cell r="K419">
            <v>4403061</v>
          </cell>
          <cell r="L419">
            <v>5703196</v>
          </cell>
          <cell r="M419">
            <v>6193527</v>
          </cell>
          <cell r="N419">
            <v>6325348</v>
          </cell>
          <cell r="O419">
            <v>5814233</v>
          </cell>
          <cell r="P419">
            <v>4208528</v>
          </cell>
          <cell r="Q419">
            <v>3785373</v>
          </cell>
          <cell r="R419">
            <v>4408701</v>
          </cell>
          <cell r="S419">
            <v>4132426</v>
          </cell>
          <cell r="T419">
            <v>4385856</v>
          </cell>
          <cell r="U419">
            <v>4011337</v>
          </cell>
          <cell r="V419">
            <v>3726035</v>
          </cell>
          <cell r="W419">
            <v>5048474</v>
          </cell>
          <cell r="X419">
            <v>5330156</v>
          </cell>
          <cell r="Y419">
            <v>6419970</v>
          </cell>
          <cell r="Z419">
            <v>7259277</v>
          </cell>
          <cell r="AA419">
            <v>6048539</v>
          </cell>
          <cell r="AB419">
            <v>4440577</v>
          </cell>
          <cell r="AC419">
            <v>4169056</v>
          </cell>
          <cell r="AD419">
            <v>4256482</v>
          </cell>
          <cell r="AE419">
            <v>4140035</v>
          </cell>
          <cell r="AF419">
            <v>4173946</v>
          </cell>
          <cell r="AG419">
            <v>4110462</v>
          </cell>
          <cell r="AI419">
            <v>3132914</v>
          </cell>
        </row>
        <row r="420">
          <cell r="I420">
            <v>1714415</v>
          </cell>
          <cell r="J420">
            <v>2318233</v>
          </cell>
          <cell r="K420">
            <v>2413004</v>
          </cell>
          <cell r="L420">
            <v>3087081</v>
          </cell>
          <cell r="M420">
            <v>3088402</v>
          </cell>
          <cell r="N420">
            <v>3537201</v>
          </cell>
          <cell r="O420">
            <v>3263895</v>
          </cell>
          <cell r="P420">
            <v>2294014</v>
          </cell>
          <cell r="Q420">
            <v>2115345</v>
          </cell>
          <cell r="R420">
            <v>2301411</v>
          </cell>
          <cell r="S420">
            <v>2435926</v>
          </cell>
          <cell r="T420">
            <v>2346109</v>
          </cell>
          <cell r="U420">
            <v>2484760</v>
          </cell>
          <cell r="V420">
            <v>1984911</v>
          </cell>
          <cell r="W420">
            <v>2700230</v>
          </cell>
          <cell r="X420">
            <v>2906213</v>
          </cell>
          <cell r="Y420">
            <v>3260487</v>
          </cell>
          <cell r="Z420">
            <v>4127441</v>
          </cell>
          <cell r="AA420">
            <v>2925641</v>
          </cell>
          <cell r="AB420">
            <v>2412314</v>
          </cell>
          <cell r="AC420">
            <v>2254699</v>
          </cell>
          <cell r="AD420">
            <v>2331174</v>
          </cell>
          <cell r="AE420">
            <v>2439938</v>
          </cell>
          <cell r="AF420">
            <v>2310178</v>
          </cell>
          <cell r="AG420">
            <v>2169526</v>
          </cell>
          <cell r="AI420">
            <v>2318233</v>
          </cell>
        </row>
        <row r="421">
          <cell r="I421">
            <v>2082567</v>
          </cell>
          <cell r="J421">
            <v>2193873</v>
          </cell>
          <cell r="K421">
            <v>2291184</v>
          </cell>
          <cell r="L421">
            <v>3161767</v>
          </cell>
          <cell r="M421">
            <v>3346584</v>
          </cell>
          <cell r="N421">
            <v>3867607</v>
          </cell>
          <cell r="O421">
            <v>3403203</v>
          </cell>
          <cell r="P421">
            <v>2150425</v>
          </cell>
          <cell r="Q421">
            <v>1950496</v>
          </cell>
          <cell r="R421">
            <v>2112918</v>
          </cell>
          <cell r="S421">
            <v>2023682</v>
          </cell>
          <cell r="T421">
            <v>2248553</v>
          </cell>
          <cell r="U421">
            <v>1936948</v>
          </cell>
          <cell r="V421">
            <v>2010147</v>
          </cell>
          <cell r="W421">
            <v>2341282</v>
          </cell>
          <cell r="X421">
            <v>2766867</v>
          </cell>
          <cell r="Y421">
            <v>3560489</v>
          </cell>
          <cell r="Z421">
            <v>3890061</v>
          </cell>
          <cell r="AA421">
            <v>3615703</v>
          </cell>
          <cell r="AB421">
            <v>2153983</v>
          </cell>
          <cell r="AC421">
            <v>1935485</v>
          </cell>
          <cell r="AD421">
            <v>2126639</v>
          </cell>
          <cell r="AE421">
            <v>2225839</v>
          </cell>
          <cell r="AF421">
            <v>2074486</v>
          </cell>
          <cell r="AG421">
            <v>1933879</v>
          </cell>
          <cell r="AI421">
            <v>2193873</v>
          </cell>
        </row>
        <row r="422">
          <cell r="I422">
            <v>3006392</v>
          </cell>
          <cell r="J422">
            <v>2780787</v>
          </cell>
          <cell r="K422">
            <v>2857036</v>
          </cell>
          <cell r="L422">
            <v>3860835</v>
          </cell>
          <cell r="M422">
            <v>3787227</v>
          </cell>
          <cell r="N422">
            <v>4102827</v>
          </cell>
          <cell r="O422">
            <v>4310199</v>
          </cell>
          <cell r="P422">
            <v>2772926</v>
          </cell>
          <cell r="Q422">
            <v>2577462</v>
          </cell>
          <cell r="R422">
            <v>2824531</v>
          </cell>
          <cell r="S422">
            <v>2748144</v>
          </cell>
          <cell r="T422">
            <v>3239392</v>
          </cell>
          <cell r="U422">
            <v>2639752</v>
          </cell>
          <cell r="V422">
            <v>2584957</v>
          </cell>
          <cell r="W422">
            <v>3048499</v>
          </cell>
          <cell r="X422">
            <v>3315854</v>
          </cell>
          <cell r="Y422">
            <v>4029525</v>
          </cell>
          <cell r="Z422">
            <v>4471270</v>
          </cell>
          <cell r="AA422">
            <v>4748679</v>
          </cell>
          <cell r="AB422">
            <v>2447893</v>
          </cell>
          <cell r="AC422">
            <v>2712834</v>
          </cell>
          <cell r="AD422">
            <v>2737698</v>
          </cell>
          <cell r="AE422">
            <v>2864279</v>
          </cell>
          <cell r="AF422">
            <v>2960923</v>
          </cell>
          <cell r="AG422">
            <v>2504584</v>
          </cell>
          <cell r="AI422">
            <v>2780787</v>
          </cell>
        </row>
        <row r="423">
          <cell r="I423">
            <v>4077814</v>
          </cell>
          <cell r="J423">
            <v>4273127</v>
          </cell>
          <cell r="K423">
            <v>4294405</v>
          </cell>
          <cell r="L423">
            <v>5988288</v>
          </cell>
          <cell r="M423">
            <v>5889480</v>
          </cell>
          <cell r="N423">
            <v>6942866</v>
          </cell>
          <cell r="O423">
            <v>5490341</v>
          </cell>
          <cell r="P423">
            <v>4640046</v>
          </cell>
          <cell r="Q423">
            <v>4018496</v>
          </cell>
          <cell r="R423">
            <v>4028075</v>
          </cell>
          <cell r="S423">
            <v>4379894</v>
          </cell>
          <cell r="T423">
            <v>4042086</v>
          </cell>
          <cell r="U423">
            <v>4294915</v>
          </cell>
          <cell r="V423">
            <v>4185100</v>
          </cell>
          <cell r="W423">
            <v>5046104</v>
          </cell>
          <cell r="X423">
            <v>5392303</v>
          </cell>
          <cell r="Y423">
            <v>6206147</v>
          </cell>
          <cell r="Z423">
            <v>7903046</v>
          </cell>
          <cell r="AA423">
            <v>5446361</v>
          </cell>
          <cell r="AB423">
            <v>4872727</v>
          </cell>
          <cell r="AC423">
            <v>4380498</v>
          </cell>
          <cell r="AD423">
            <v>3975962</v>
          </cell>
          <cell r="AE423">
            <v>4230718</v>
          </cell>
          <cell r="AF423">
            <v>4286122</v>
          </cell>
          <cell r="AG423">
            <v>4148444</v>
          </cell>
          <cell r="AI423">
            <v>4273127</v>
          </cell>
        </row>
        <row r="424">
          <cell r="I424">
            <v>2025275</v>
          </cell>
          <cell r="J424">
            <v>2066549</v>
          </cell>
          <cell r="K424">
            <v>2141385</v>
          </cell>
          <cell r="L424">
            <v>3677489</v>
          </cell>
          <cell r="M424">
            <v>3678706</v>
          </cell>
          <cell r="N424">
            <v>4313497</v>
          </cell>
          <cell r="O424">
            <v>3901037</v>
          </cell>
          <cell r="P424">
            <v>2588763</v>
          </cell>
          <cell r="Q424">
            <v>1844991</v>
          </cell>
          <cell r="R424">
            <v>1999375</v>
          </cell>
          <cell r="S424">
            <v>2229782</v>
          </cell>
          <cell r="T424">
            <v>2152630</v>
          </cell>
          <cell r="U424">
            <v>2128335</v>
          </cell>
          <cell r="V424">
            <v>2068198</v>
          </cell>
          <cell r="W424">
            <v>2474405</v>
          </cell>
          <cell r="X424">
            <v>2906299</v>
          </cell>
          <cell r="Y424">
            <v>4056282</v>
          </cell>
          <cell r="Z424">
            <v>4864901</v>
          </cell>
          <cell r="AA424">
            <v>4149241</v>
          </cell>
          <cell r="AB424">
            <v>2562925</v>
          </cell>
          <cell r="AC424">
            <v>2094385</v>
          </cell>
          <cell r="AD424">
            <v>1985142</v>
          </cell>
          <cell r="AE424">
            <v>2240077</v>
          </cell>
          <cell r="AF424">
            <v>2169987</v>
          </cell>
          <cell r="AG424">
            <v>1954367</v>
          </cell>
          <cell r="AI424">
            <v>2066549</v>
          </cell>
        </row>
        <row r="425">
          <cell r="I425">
            <v>8605053</v>
          </cell>
          <cell r="J425">
            <v>6881615</v>
          </cell>
          <cell r="K425">
            <v>5533696</v>
          </cell>
          <cell r="L425">
            <v>8600756</v>
          </cell>
          <cell r="M425">
            <v>8605429</v>
          </cell>
          <cell r="N425">
            <v>8729896</v>
          </cell>
          <cell r="O425">
            <v>9312413</v>
          </cell>
          <cell r="P425">
            <v>7055686</v>
          </cell>
          <cell r="Q425">
            <v>5724378</v>
          </cell>
          <cell r="R425">
            <v>5515764</v>
          </cell>
          <cell r="S425">
            <v>5811699</v>
          </cell>
          <cell r="T425">
            <v>5691965</v>
          </cell>
          <cell r="U425">
            <v>5390564</v>
          </cell>
          <cell r="V425">
            <v>5388725</v>
          </cell>
          <cell r="W425">
            <v>6031653</v>
          </cell>
          <cell r="X425">
            <v>7049902</v>
          </cell>
          <cell r="Y425">
            <v>8444669</v>
          </cell>
          <cell r="Z425">
            <v>9164621</v>
          </cell>
          <cell r="AA425">
            <v>9249999</v>
          </cell>
          <cell r="AB425">
            <v>6254323</v>
          </cell>
          <cell r="AC425">
            <v>5710659</v>
          </cell>
          <cell r="AD425">
            <v>5390150</v>
          </cell>
          <cell r="AE425">
            <v>5685470</v>
          </cell>
          <cell r="AF425">
            <v>5662314</v>
          </cell>
          <cell r="AG425">
            <v>4142890</v>
          </cell>
          <cell r="AI425">
            <v>6881615</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Returns"/>
      <sheetName val="Billing Det"/>
      <sheetName val="RS Unit Costs"/>
      <sheetName val="GS Unit Costs"/>
      <sheetName val="AES Unit Costs"/>
      <sheetName val="PSS Unit Costs"/>
      <sheetName val="PSP Unit Costs"/>
      <sheetName val="TODS Unit Costs"/>
      <sheetName val="TODP Unit Costs"/>
      <sheetName val="RTS Unit Costs"/>
      <sheetName val="FLS Unit Costs"/>
      <sheetName val="Meters"/>
      <sheetName val="Services"/>
      <sheetName val="Book6"/>
    </sheetNames>
    <definedNames>
      <definedName name="Choices_Wrapper" refersTo="#REF!"/>
      <definedName name="Comp" refersTo="#REF!"/>
      <definedName name="test"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Oth"/>
      <sheetName val="Tot"/>
      <sheetName val="Pd"/>
      <sheetName val="408"/>
      <sheetName val="Intco"/>
      <sheetName val="Rpt"/>
      <sheetName val="1"/>
      <sheetName val="2"/>
      <sheetName val="3"/>
      <sheetName val="4"/>
      <sheetName val="5"/>
      <sheetName val="6"/>
      <sheetName val="7"/>
      <sheetName val="8"/>
      <sheetName val="9"/>
      <sheetName val="10"/>
      <sheetName val="11"/>
      <sheetName val="12"/>
      <sheetName val="Sheet1"/>
      <sheetName val="Sheet2"/>
      <sheetName val="Sheet3"/>
      <sheetName val="Rp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sheetName val="Exhibit 2"/>
      <sheetName val="BellarExhibits"/>
      <sheetName val="#REF"/>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XFC8131"/>
  <sheetViews>
    <sheetView view="pageBreakPreview" topLeftCell="A12" zoomScaleNormal="85" zoomScaleSheetLayoutView="100" workbookViewId="0">
      <selection activeCell="P24" sqref="P24"/>
    </sheetView>
  </sheetViews>
  <sheetFormatPr defaultColWidth="9.109375" defaultRowHeight="13.2" x14ac:dyDescent="0.25"/>
  <cols>
    <col min="1" max="1" width="4.44140625" style="15" customWidth="1"/>
    <col min="2" max="2" width="32.109375" style="15" customWidth="1"/>
    <col min="3" max="3" width="11.5546875" style="15" customWidth="1"/>
    <col min="4" max="4" width="14.88671875" style="15" customWidth="1"/>
    <col min="5" max="5" width="1.5546875" style="15" customWidth="1"/>
    <col min="6" max="6" width="14.88671875" style="15" customWidth="1"/>
    <col min="7" max="7" width="1.5546875" style="15" customWidth="1"/>
    <col min="8" max="9" width="14.88671875" style="15" customWidth="1"/>
    <col min="10" max="11" width="1.5546875" style="15" customWidth="1"/>
    <col min="12" max="12" width="14.88671875" style="15" customWidth="1"/>
    <col min="13" max="13" width="2" style="15" customWidth="1"/>
    <col min="14" max="17" width="14.88671875" style="15" customWidth="1"/>
    <col min="18" max="19" width="1.88671875" style="15" customWidth="1"/>
    <col min="20" max="20" width="14.88671875" style="15" customWidth="1"/>
    <col min="21" max="21" width="15.6640625" style="15" customWidth="1"/>
    <col min="22" max="22" width="9.88671875" style="15" customWidth="1"/>
    <col min="23" max="23" width="18.44140625" style="15" customWidth="1"/>
    <col min="24" max="24" width="13.44140625" style="15" customWidth="1"/>
    <col min="25" max="25" width="19.88671875" style="15" customWidth="1"/>
    <col min="26" max="26" width="38.33203125" style="15" customWidth="1"/>
    <col min="27" max="27" width="13.44140625" style="15" customWidth="1"/>
    <col min="28" max="28" width="35" style="15" customWidth="1"/>
    <col min="29" max="31" width="14.88671875" style="15" customWidth="1"/>
    <col min="32" max="32" width="33" style="15" customWidth="1"/>
    <col min="33" max="255" width="14.88671875" style="15" customWidth="1"/>
    <col min="256" max="16384" width="9.109375" style="15"/>
  </cols>
  <sheetData>
    <row r="1" spans="1:173 16383:16383" hidden="1" x14ac:dyDescent="0.25">
      <c r="F1" s="157"/>
      <c r="G1" s="157"/>
      <c r="H1" s="157"/>
      <c r="I1" s="157"/>
      <c r="J1" s="99"/>
      <c r="K1" s="99"/>
      <c r="U1" s="99"/>
      <c r="V1" s="99"/>
      <c r="AD1" s="99"/>
      <c r="AE1" s="99"/>
      <c r="AQ1" s="99"/>
      <c r="AR1" s="99"/>
      <c r="BG1" s="99"/>
      <c r="BH1" s="99"/>
      <c r="BO1" s="99"/>
      <c r="BP1" s="99"/>
      <c r="BW1" s="99"/>
      <c r="BX1" s="99"/>
      <c r="CE1" s="99"/>
      <c r="CF1" s="99"/>
      <c r="CM1" s="99"/>
      <c r="CN1" s="99"/>
      <c r="CU1" s="99"/>
      <c r="CV1" s="99"/>
      <c r="DI1" s="99"/>
      <c r="DJ1" s="99"/>
      <c r="DW1" s="99"/>
      <c r="DX1" s="99"/>
      <c r="EE1" s="99"/>
      <c r="EF1" s="99"/>
      <c r="EM1" s="99"/>
      <c r="EN1" s="99"/>
      <c r="FC1" s="99"/>
      <c r="FD1" s="111"/>
      <c r="FK1" s="99"/>
      <c r="FL1" s="99"/>
      <c r="FP1" s="99"/>
      <c r="FQ1" s="99"/>
    </row>
    <row r="2" spans="1:173 16383:16383" hidden="1" x14ac:dyDescent="0.25">
      <c r="A2" s="116"/>
      <c r="F2" s="157"/>
      <c r="G2" s="158"/>
      <c r="H2" s="159"/>
      <c r="I2" s="157"/>
      <c r="V2" s="99"/>
      <c r="AE2" s="99"/>
      <c r="AR2" s="99"/>
      <c r="BH2" s="99"/>
      <c r="BP2" s="99"/>
      <c r="BX2" s="99"/>
      <c r="CF2" s="99"/>
      <c r="CN2" s="99"/>
      <c r="CV2" s="99"/>
      <c r="DJ2" s="99"/>
      <c r="DX2" s="99"/>
      <c r="EF2" s="99"/>
      <c r="EN2" s="99"/>
      <c r="FC2" s="99"/>
      <c r="FD2" s="111"/>
      <c r="FK2" s="99"/>
      <c r="FL2" s="99"/>
      <c r="FQ2" s="99"/>
      <c r="XFC2" s="101"/>
    </row>
    <row r="3" spans="1:173 16383:16383" hidden="1" x14ac:dyDescent="0.25">
      <c r="B3" s="99"/>
      <c r="F3" s="157"/>
      <c r="G3" s="160"/>
      <c r="H3" s="159"/>
      <c r="I3" s="157"/>
      <c r="J3" s="99"/>
      <c r="K3" s="99"/>
      <c r="V3" s="99"/>
      <c r="AE3" s="99"/>
      <c r="AR3" s="99"/>
      <c r="BH3" s="99"/>
      <c r="BP3" s="99"/>
      <c r="BX3" s="99"/>
      <c r="CF3" s="99"/>
      <c r="CN3" s="99"/>
      <c r="CV3" s="99"/>
      <c r="DJ3" s="99"/>
      <c r="DW3" s="111"/>
      <c r="DX3" s="99"/>
      <c r="EE3" s="99"/>
      <c r="EF3" s="99"/>
      <c r="EN3" s="99"/>
      <c r="EO3" s="99"/>
      <c r="EX3" s="99"/>
      <c r="FC3" s="99"/>
      <c r="FD3" s="111"/>
      <c r="FK3" s="99"/>
      <c r="FL3" s="99"/>
      <c r="FQ3" s="99"/>
    </row>
    <row r="4" spans="1:173 16383:16383" hidden="1" x14ac:dyDescent="0.25">
      <c r="A4" s="99"/>
      <c r="F4" s="157"/>
      <c r="G4" s="159"/>
      <c r="H4" s="159"/>
      <c r="I4" s="157"/>
      <c r="V4" s="99"/>
      <c r="AE4" s="99"/>
      <c r="AR4" s="99"/>
      <c r="BH4" s="99"/>
      <c r="BP4" s="99"/>
      <c r="BX4" s="99"/>
      <c r="CF4" s="99"/>
      <c r="CN4" s="99"/>
      <c r="CV4" s="99"/>
      <c r="DJ4" s="99"/>
      <c r="DX4" s="99"/>
      <c r="EF4" s="99"/>
      <c r="EN4" s="99"/>
      <c r="EO4" s="99"/>
      <c r="EX4" s="99"/>
      <c r="FC4" s="99"/>
      <c r="FD4" s="111"/>
      <c r="FK4" s="99"/>
      <c r="FL4" s="99"/>
      <c r="FQ4" s="99"/>
    </row>
    <row r="5" spans="1:173 16383:16383" hidden="1" x14ac:dyDescent="0.25">
      <c r="B5" s="116"/>
      <c r="F5" s="157"/>
      <c r="G5" s="159"/>
      <c r="H5" s="159"/>
      <c r="I5" s="157"/>
      <c r="J5" s="99"/>
      <c r="K5" s="99"/>
      <c r="V5" s="99"/>
      <c r="AE5" s="99"/>
      <c r="AR5" s="99"/>
      <c r="BH5" s="99"/>
      <c r="BP5" s="99"/>
      <c r="BX5" s="99"/>
      <c r="CF5" s="99"/>
      <c r="CN5" s="99"/>
      <c r="CV5" s="99"/>
      <c r="DJ5" s="99"/>
      <c r="DX5" s="116"/>
      <c r="EF5" s="99"/>
      <c r="EG5" s="99"/>
      <c r="EN5" s="99"/>
      <c r="EO5" s="99"/>
      <c r="FC5" s="99"/>
      <c r="FD5" s="116"/>
      <c r="FK5" s="99"/>
      <c r="FL5" s="99"/>
      <c r="FQ5" s="99"/>
    </row>
    <row r="6" spans="1:173 16383:16383" hidden="1" x14ac:dyDescent="0.25">
      <c r="B6" s="146"/>
      <c r="F6" s="157"/>
      <c r="G6" s="159"/>
      <c r="H6" s="159"/>
      <c r="I6" s="157"/>
      <c r="U6" s="102"/>
      <c r="V6" s="99"/>
      <c r="W6" s="99"/>
      <c r="AE6" s="99"/>
      <c r="AR6" s="99"/>
      <c r="BH6" s="99"/>
      <c r="BP6" s="99"/>
      <c r="BX6" s="99"/>
      <c r="CF6" s="99"/>
      <c r="CN6" s="99"/>
      <c r="CV6" s="99"/>
      <c r="DJ6" s="99"/>
      <c r="DX6" s="99"/>
      <c r="EF6" s="99"/>
      <c r="EG6" s="99"/>
      <c r="EM6" s="99"/>
      <c r="EN6" s="99"/>
      <c r="EO6" s="116"/>
      <c r="EX6" s="99"/>
      <c r="FC6" s="99"/>
      <c r="FD6" s="111"/>
      <c r="FK6" s="99"/>
      <c r="FL6" s="99"/>
      <c r="FQ6" s="111"/>
    </row>
    <row r="7" spans="1:173 16383:16383" hidden="1" x14ac:dyDescent="0.25">
      <c r="F7" s="157"/>
      <c r="G7" s="159"/>
      <c r="H7" s="159"/>
      <c r="I7" s="157"/>
      <c r="J7" s="99"/>
      <c r="K7" s="99"/>
      <c r="V7" s="99"/>
      <c r="W7" s="99"/>
      <c r="AE7" s="99"/>
      <c r="AF7" s="99"/>
      <c r="AR7" s="99"/>
      <c r="AS7" s="99"/>
      <c r="BH7" s="99"/>
      <c r="BI7" s="99"/>
      <c r="BP7" s="99"/>
      <c r="BQ7" s="99"/>
      <c r="BX7" s="99"/>
      <c r="BY7" s="99"/>
      <c r="CF7" s="99"/>
      <c r="CG7" s="99"/>
      <c r="CN7" s="99"/>
      <c r="CO7" s="99"/>
      <c r="CV7" s="99"/>
      <c r="CW7" s="99"/>
      <c r="DJ7" s="99"/>
      <c r="DK7" s="99"/>
      <c r="DX7" s="99"/>
      <c r="EF7" s="99"/>
      <c r="EG7" s="99"/>
      <c r="EN7" s="99"/>
      <c r="EX7" s="99"/>
      <c r="FC7" s="99"/>
      <c r="FD7" s="116"/>
      <c r="FK7" s="99"/>
      <c r="FL7" s="99"/>
      <c r="FQ7" s="99"/>
    </row>
    <row r="8" spans="1:173 16383:16383" hidden="1" x14ac:dyDescent="0.25">
      <c r="B8" s="116"/>
      <c r="C8" s="111"/>
      <c r="D8" s="111"/>
      <c r="F8" s="157"/>
      <c r="G8" s="159"/>
      <c r="H8" s="159"/>
      <c r="I8" s="157"/>
      <c r="V8" s="99"/>
      <c r="W8" s="99"/>
      <c r="AE8" s="99"/>
      <c r="AF8" s="99"/>
      <c r="AR8" s="99"/>
      <c r="AS8" s="99"/>
      <c r="BH8" s="99"/>
      <c r="BI8" s="99"/>
      <c r="BP8" s="99"/>
      <c r="BQ8" s="99"/>
      <c r="BX8" s="99"/>
      <c r="BY8" s="99"/>
      <c r="CF8" s="99"/>
      <c r="CG8" s="99"/>
      <c r="CN8" s="99"/>
      <c r="CO8" s="99"/>
      <c r="CV8" s="99"/>
      <c r="CW8" s="99"/>
      <c r="DJ8" s="99"/>
      <c r="DK8" s="99"/>
      <c r="DX8" s="99"/>
      <c r="EE8" s="99"/>
      <c r="EF8" s="99"/>
      <c r="EG8" s="99"/>
      <c r="EM8" s="99"/>
      <c r="EN8" s="99"/>
      <c r="FC8" s="99"/>
      <c r="FD8" s="111"/>
      <c r="FK8" s="99"/>
      <c r="FL8" s="99"/>
      <c r="FQ8" s="99"/>
    </row>
    <row r="9" spans="1:173 16383:16383" hidden="1" x14ac:dyDescent="0.25">
      <c r="C9" s="116"/>
      <c r="E9" s="161"/>
      <c r="F9" s="157"/>
      <c r="G9" s="159"/>
      <c r="H9" s="159"/>
      <c r="I9" s="157"/>
      <c r="J9" s="99"/>
      <c r="K9" s="99"/>
      <c r="U9" s="99"/>
      <c r="V9" s="99"/>
      <c r="AE9" s="99"/>
      <c r="AF9" s="99"/>
      <c r="AR9" s="99"/>
      <c r="AS9" s="99"/>
      <c r="BH9" s="99"/>
      <c r="BI9" s="99"/>
      <c r="BP9" s="99"/>
      <c r="BQ9" s="99"/>
      <c r="BX9" s="99"/>
      <c r="BY9" s="99"/>
      <c r="CF9" s="99"/>
      <c r="CG9" s="99"/>
      <c r="CN9" s="99"/>
      <c r="CO9" s="99"/>
      <c r="CV9" s="99"/>
      <c r="CW9" s="99"/>
      <c r="DJ9" s="99"/>
      <c r="DK9" s="99"/>
      <c r="DX9" s="99"/>
      <c r="EF9" s="99"/>
      <c r="EN9" s="99"/>
      <c r="FK9" s="99"/>
      <c r="FL9" s="99"/>
      <c r="FQ9" s="99"/>
    </row>
    <row r="10" spans="1:173 16383:16383" hidden="1" x14ac:dyDescent="0.25">
      <c r="C10" s="116"/>
      <c r="E10" s="161"/>
      <c r="F10" s="157"/>
      <c r="G10" s="159"/>
      <c r="H10" s="159"/>
      <c r="I10" s="157"/>
      <c r="V10" s="99"/>
      <c r="AD10" s="99"/>
      <c r="AE10" s="99"/>
      <c r="AQ10" s="99"/>
      <c r="AR10" s="99"/>
      <c r="BG10" s="99"/>
      <c r="BH10" s="99"/>
      <c r="BO10" s="99"/>
      <c r="BP10" s="99"/>
      <c r="BW10" s="99"/>
      <c r="BX10" s="99"/>
      <c r="CE10" s="99"/>
      <c r="CF10" s="99"/>
      <c r="CM10" s="99"/>
      <c r="CN10" s="99"/>
      <c r="CU10" s="99"/>
      <c r="CV10" s="99"/>
      <c r="DI10" s="99"/>
      <c r="DJ10" s="99"/>
      <c r="DX10" s="99"/>
      <c r="EE10" s="99"/>
      <c r="EF10" s="99"/>
      <c r="EG10" s="99"/>
      <c r="EN10" s="99"/>
      <c r="FK10" s="99"/>
      <c r="FL10" s="99"/>
      <c r="FQ10" s="99"/>
    </row>
    <row r="11" spans="1:173 16383:16383" hidden="1" x14ac:dyDescent="0.25">
      <c r="B11" s="99"/>
      <c r="E11" s="161"/>
      <c r="F11" s="157"/>
      <c r="G11" s="159"/>
      <c r="H11" s="159"/>
      <c r="I11" s="157"/>
      <c r="J11" s="99"/>
      <c r="K11" s="99"/>
      <c r="U11" s="99"/>
      <c r="V11" s="99"/>
      <c r="AE11" s="99"/>
      <c r="AR11" s="99"/>
      <c r="BH11" s="99"/>
      <c r="BP11" s="99"/>
      <c r="BX11" s="99"/>
      <c r="CF11" s="99"/>
      <c r="CN11" s="99"/>
      <c r="CV11" s="99"/>
      <c r="DJ11" s="99"/>
      <c r="DX11" s="99"/>
      <c r="EE11" s="99"/>
      <c r="EF11" s="99"/>
      <c r="EN11" s="99"/>
      <c r="EO11" s="116"/>
      <c r="EX11" s="99"/>
      <c r="FC11" s="99"/>
      <c r="FD11" s="99"/>
      <c r="FK11" s="99"/>
      <c r="FL11" s="99"/>
      <c r="FQ11" s="99"/>
    </row>
    <row r="12" spans="1:173 16383:16383" x14ac:dyDescent="0.25">
      <c r="A12" s="111">
        <v>1</v>
      </c>
      <c r="B12" s="157"/>
      <c r="C12" s="157"/>
      <c r="D12" s="157">
        <v>0</v>
      </c>
      <c r="E12" s="157">
        <v>1</v>
      </c>
      <c r="F12" s="102">
        <v>2</v>
      </c>
      <c r="G12" s="102">
        <v>3</v>
      </c>
      <c r="H12" s="102">
        <v>4</v>
      </c>
      <c r="I12" s="102">
        <v>5</v>
      </c>
      <c r="J12" s="102">
        <v>6</v>
      </c>
      <c r="K12" s="102">
        <v>7</v>
      </c>
      <c r="L12" s="102">
        <v>8</v>
      </c>
      <c r="M12" s="102">
        <v>9</v>
      </c>
      <c r="N12" s="102">
        <v>10</v>
      </c>
      <c r="O12" s="102">
        <v>11</v>
      </c>
      <c r="P12" s="102">
        <v>12</v>
      </c>
      <c r="Q12" s="102"/>
      <c r="R12" s="102"/>
      <c r="S12" s="102"/>
      <c r="T12" s="102"/>
      <c r="U12" s="102"/>
      <c r="V12" s="102"/>
      <c r="W12" s="102"/>
      <c r="X12" s="102"/>
      <c r="Y12" s="102">
        <v>21</v>
      </c>
    </row>
    <row r="13" spans="1:173 16383:16383" x14ac:dyDescent="0.25">
      <c r="B13" s="162">
        <v>43352.414652777778</v>
      </c>
      <c r="E13" s="116" t="s">
        <v>1209</v>
      </c>
      <c r="M13" s="102" t="s">
        <v>1209</v>
      </c>
    </row>
    <row r="14" spans="1:173 16383:16383" x14ac:dyDescent="0.25">
      <c r="B14" s="163">
        <v>43343.713194444441</v>
      </c>
      <c r="E14" s="116" t="s">
        <v>1210</v>
      </c>
      <c r="I14" s="116"/>
      <c r="M14" s="102" t="s">
        <v>1210</v>
      </c>
      <c r="Q14" s="102"/>
    </row>
    <row r="15" spans="1:173 16383:16383" x14ac:dyDescent="0.25">
      <c r="E15" s="116" t="s">
        <v>1211</v>
      </c>
      <c r="M15" s="102" t="s">
        <v>1211</v>
      </c>
    </row>
    <row r="16" spans="1:173 16383:16383" x14ac:dyDescent="0.25">
      <c r="B16" s="152" t="s">
        <v>2098</v>
      </c>
    </row>
    <row r="17" spans="1:27" x14ac:dyDescent="0.25">
      <c r="B17" s="152" t="s">
        <v>1766</v>
      </c>
      <c r="D17" s="146"/>
      <c r="E17" s="108" t="s">
        <v>2137</v>
      </c>
      <c r="M17" s="102"/>
    </row>
    <row r="19" spans="1:27" x14ac:dyDescent="0.25">
      <c r="D19" s="161" t="s">
        <v>1212</v>
      </c>
      <c r="F19" s="161" t="s">
        <v>1213</v>
      </c>
      <c r="H19" s="161" t="s">
        <v>1214</v>
      </c>
      <c r="I19" s="161" t="s">
        <v>1215</v>
      </c>
      <c r="L19" s="161" t="s">
        <v>1216</v>
      </c>
      <c r="T19" s="118" t="s">
        <v>1217</v>
      </c>
      <c r="U19" s="111"/>
      <c r="V19" s="111"/>
      <c r="W19" s="111"/>
      <c r="X19" s="111"/>
      <c r="Y19" s="111"/>
    </row>
    <row r="20" spans="1:27" x14ac:dyDescent="0.25">
      <c r="D20" s="161" t="s">
        <v>1213</v>
      </c>
      <c r="F20" s="161" t="s">
        <v>1218</v>
      </c>
      <c r="H20" s="161" t="s">
        <v>1218</v>
      </c>
      <c r="I20" s="16" t="s">
        <v>1216</v>
      </c>
      <c r="L20" s="161" t="s">
        <v>1218</v>
      </c>
      <c r="M20" s="161"/>
      <c r="N20" s="161" t="s">
        <v>1219</v>
      </c>
      <c r="T20" s="118" t="s">
        <v>1212</v>
      </c>
      <c r="U20" s="111"/>
      <c r="V20" s="111"/>
      <c r="W20" s="111"/>
      <c r="X20" s="111"/>
      <c r="Y20" s="111"/>
    </row>
    <row r="21" spans="1:27" x14ac:dyDescent="0.25">
      <c r="C21" s="99" t="s">
        <v>1220</v>
      </c>
      <c r="D21" s="161" t="s">
        <v>1221</v>
      </c>
      <c r="F21" s="161" t="s">
        <v>1222</v>
      </c>
      <c r="H21" s="161" t="s">
        <v>1222</v>
      </c>
      <c r="I21" s="161" t="s">
        <v>1222</v>
      </c>
      <c r="L21" s="161" t="s">
        <v>1222</v>
      </c>
      <c r="M21" s="161"/>
      <c r="N21" s="161" t="s">
        <v>1222</v>
      </c>
      <c r="O21" s="161" t="s">
        <v>1223</v>
      </c>
      <c r="P21" s="161" t="s">
        <v>1224</v>
      </c>
      <c r="Q21" s="161" t="s">
        <v>1225</v>
      </c>
      <c r="T21" s="118" t="s">
        <v>1213</v>
      </c>
      <c r="U21" s="111"/>
      <c r="V21" s="111"/>
      <c r="W21" s="111"/>
      <c r="X21" s="111"/>
      <c r="Y21" s="111"/>
    </row>
    <row r="22" spans="1:27" x14ac:dyDescent="0.25">
      <c r="D22" s="152" t="s">
        <v>1226</v>
      </c>
      <c r="F22" s="161" t="s">
        <v>1227</v>
      </c>
      <c r="H22" s="167">
        <v>-3</v>
      </c>
      <c r="I22" s="167">
        <v>-4</v>
      </c>
      <c r="L22" s="167">
        <v>-5</v>
      </c>
      <c r="M22" s="161"/>
      <c r="N22" s="161" t="s">
        <v>1228</v>
      </c>
      <c r="O22" s="161" t="s">
        <v>1229</v>
      </c>
      <c r="P22" s="161" t="s">
        <v>1230</v>
      </c>
      <c r="Q22" s="161" t="s">
        <v>1231</v>
      </c>
      <c r="T22" s="118" t="s">
        <v>1221</v>
      </c>
      <c r="U22" s="111"/>
      <c r="V22" s="111"/>
      <c r="W22" s="111"/>
      <c r="X22" s="111"/>
      <c r="Y22" s="111"/>
      <c r="Z22" s="111"/>
      <c r="AA22" s="111"/>
    </row>
    <row r="23" spans="1:27" x14ac:dyDescent="0.25">
      <c r="B23" s="118" t="s">
        <v>1232</v>
      </c>
      <c r="D23" s="13"/>
      <c r="E23" s="13"/>
      <c r="F23" s="13"/>
      <c r="G23" s="13"/>
      <c r="H23" s="13"/>
      <c r="I23" s="13"/>
      <c r="J23" s="13"/>
      <c r="K23" s="13"/>
      <c r="L23" s="13"/>
      <c r="M23" s="13"/>
      <c r="N23" s="13"/>
      <c r="O23" s="13"/>
      <c r="P23" s="13"/>
      <c r="Q23" s="13"/>
    </row>
    <row r="24" spans="1:27" x14ac:dyDescent="0.25">
      <c r="D24" s="13"/>
      <c r="E24" s="13"/>
      <c r="F24" s="13"/>
      <c r="G24" s="13"/>
      <c r="H24" s="13"/>
      <c r="I24" s="13"/>
      <c r="J24" s="13"/>
      <c r="K24" s="13"/>
      <c r="L24" s="13"/>
      <c r="M24" s="13"/>
      <c r="N24" s="13"/>
      <c r="O24" s="13"/>
      <c r="P24" s="13"/>
      <c r="Q24" s="13"/>
    </row>
    <row r="25" spans="1:27" x14ac:dyDescent="0.25">
      <c r="B25" s="118" t="s">
        <v>1233</v>
      </c>
      <c r="D25" s="105"/>
      <c r="E25" s="13"/>
      <c r="F25" s="105"/>
      <c r="G25" s="13"/>
      <c r="H25" s="105"/>
      <c r="I25" s="13"/>
      <c r="J25" s="105"/>
      <c r="K25" s="105"/>
      <c r="L25" s="13"/>
      <c r="M25" s="105"/>
      <c r="N25" s="105"/>
      <c r="O25" s="13"/>
      <c r="P25" s="13"/>
      <c r="Q25" s="13"/>
    </row>
    <row r="26" spans="1:27" x14ac:dyDescent="0.25">
      <c r="B26" s="110" t="s">
        <v>1234</v>
      </c>
      <c r="D26" s="13"/>
      <c r="E26" s="13"/>
      <c r="F26" s="13"/>
      <c r="G26" s="13"/>
      <c r="H26" s="13"/>
      <c r="I26" s="13"/>
      <c r="J26" s="13"/>
      <c r="K26" s="13"/>
      <c r="L26" s="13"/>
      <c r="M26" s="13"/>
      <c r="N26" s="13"/>
      <c r="O26" s="13"/>
      <c r="P26" s="13"/>
      <c r="Q26" s="13"/>
    </row>
    <row r="27" spans="1:27" x14ac:dyDescent="0.25">
      <c r="B27" s="118" t="s">
        <v>1235</v>
      </c>
      <c r="D27" s="13"/>
      <c r="E27" s="13"/>
      <c r="F27" s="103"/>
      <c r="G27" s="103"/>
      <c r="H27" s="103"/>
      <c r="I27" s="103"/>
      <c r="J27" s="103"/>
      <c r="K27" s="103"/>
      <c r="L27" s="103"/>
      <c r="M27" s="103"/>
      <c r="N27" s="104"/>
      <c r="O27" s="103"/>
      <c r="P27" s="103"/>
      <c r="Q27" s="103"/>
      <c r="R27" s="111"/>
      <c r="S27" s="111"/>
      <c r="T27" s="111"/>
    </row>
    <row r="28" spans="1:27" x14ac:dyDescent="0.25">
      <c r="A28" s="102">
        <v>1</v>
      </c>
      <c r="B28" s="99" t="s">
        <v>1236</v>
      </c>
      <c r="C28" s="192" t="s">
        <v>1237</v>
      </c>
      <c r="D28" s="164">
        <v>3323391</v>
      </c>
      <c r="E28" s="17"/>
      <c r="F28" s="168">
        <v>3115400</v>
      </c>
      <c r="G28" s="169"/>
      <c r="H28" s="168">
        <v>142658</v>
      </c>
      <c r="I28" s="164">
        <v>65333</v>
      </c>
      <c r="J28" s="17"/>
      <c r="K28" s="17"/>
      <c r="L28" s="168">
        <v>10</v>
      </c>
      <c r="M28" s="169"/>
      <c r="N28" s="164">
        <v>65323</v>
      </c>
      <c r="O28" s="168">
        <v>33130</v>
      </c>
      <c r="P28" s="168">
        <v>32193</v>
      </c>
      <c r="Q28" s="100">
        <v>0</v>
      </c>
    </row>
    <row r="29" spans="1:27" x14ac:dyDescent="0.25">
      <c r="A29" s="104">
        <v>2</v>
      </c>
      <c r="B29" s="193" t="s">
        <v>1238</v>
      </c>
      <c r="C29" s="194" t="s">
        <v>1239</v>
      </c>
      <c r="D29" s="139">
        <v>438000</v>
      </c>
      <c r="E29" s="14"/>
      <c r="F29" s="170">
        <v>230019</v>
      </c>
      <c r="G29" s="170"/>
      <c r="H29" s="170">
        <v>142658</v>
      </c>
      <c r="I29" s="139">
        <v>65323</v>
      </c>
      <c r="J29" s="14"/>
      <c r="K29" s="14"/>
      <c r="L29" s="170">
        <v>0</v>
      </c>
      <c r="M29" s="170"/>
      <c r="N29" s="139">
        <v>65323</v>
      </c>
      <c r="O29" s="170">
        <v>33130</v>
      </c>
      <c r="P29" s="170">
        <v>32193</v>
      </c>
      <c r="Q29" s="106">
        <v>0</v>
      </c>
    </row>
    <row r="30" spans="1:27" x14ac:dyDescent="0.25">
      <c r="A30" s="104">
        <v>3</v>
      </c>
      <c r="B30" s="193" t="s">
        <v>1240</v>
      </c>
      <c r="C30" s="194" t="s">
        <v>1241</v>
      </c>
      <c r="D30" s="139">
        <v>142658</v>
      </c>
      <c r="E30" s="14"/>
      <c r="F30" s="170">
        <v>0</v>
      </c>
      <c r="G30" s="170"/>
      <c r="H30" s="170">
        <v>142658</v>
      </c>
      <c r="I30" s="139">
        <v>0</v>
      </c>
      <c r="J30" s="14"/>
      <c r="K30" s="14"/>
      <c r="L30" s="170">
        <v>0</v>
      </c>
      <c r="M30" s="170"/>
      <c r="N30" s="139">
        <v>0</v>
      </c>
      <c r="O30" s="170">
        <v>0</v>
      </c>
      <c r="P30" s="170">
        <v>0</v>
      </c>
      <c r="Q30" s="106">
        <v>0</v>
      </c>
    </row>
    <row r="31" spans="1:27" x14ac:dyDescent="0.25">
      <c r="A31" s="104">
        <v>4</v>
      </c>
      <c r="B31" s="193" t="s">
        <v>1242</v>
      </c>
      <c r="C31" s="194" t="s">
        <v>1243</v>
      </c>
      <c r="D31" s="139">
        <v>3180723</v>
      </c>
      <c r="E31" s="14"/>
      <c r="F31" s="170">
        <v>3115400</v>
      </c>
      <c r="G31" s="170"/>
      <c r="H31" s="170">
        <v>0</v>
      </c>
      <c r="I31" s="139">
        <v>65323</v>
      </c>
      <c r="J31" s="14"/>
      <c r="K31" s="14"/>
      <c r="L31" s="170">
        <v>0</v>
      </c>
      <c r="M31" s="170"/>
      <c r="N31" s="139">
        <v>65323</v>
      </c>
      <c r="O31" s="170">
        <v>33130</v>
      </c>
      <c r="P31" s="170">
        <v>32193</v>
      </c>
      <c r="Q31" s="106">
        <v>0</v>
      </c>
    </row>
    <row r="32" spans="1:27" x14ac:dyDescent="0.25">
      <c r="A32" s="104">
        <v>5</v>
      </c>
      <c r="B32" s="193" t="s">
        <v>1244</v>
      </c>
      <c r="C32" s="194" t="s">
        <v>1245</v>
      </c>
      <c r="D32" s="139">
        <v>295342</v>
      </c>
      <c r="E32" s="14"/>
      <c r="F32" s="170">
        <v>230019</v>
      </c>
      <c r="G32" s="170"/>
      <c r="H32" s="170">
        <v>0</v>
      </c>
      <c r="I32" s="139">
        <v>65323</v>
      </c>
      <c r="J32" s="14"/>
      <c r="K32" s="14"/>
      <c r="L32" s="170">
        <v>0</v>
      </c>
      <c r="M32" s="170"/>
      <c r="N32" s="139">
        <v>65323</v>
      </c>
      <c r="O32" s="170">
        <v>33130</v>
      </c>
      <c r="P32" s="170">
        <v>32193</v>
      </c>
      <c r="Q32" s="106">
        <v>0</v>
      </c>
    </row>
    <row r="33" spans="1:20" x14ac:dyDescent="0.25">
      <c r="A33" s="104">
        <v>6</v>
      </c>
      <c r="B33" s="193" t="s">
        <v>1246</v>
      </c>
      <c r="C33" s="194" t="s">
        <v>1247</v>
      </c>
      <c r="D33" s="139">
        <v>3180733</v>
      </c>
      <c r="E33" s="14"/>
      <c r="F33" s="170">
        <v>3115400</v>
      </c>
      <c r="G33" s="170"/>
      <c r="H33" s="170">
        <v>0</v>
      </c>
      <c r="I33" s="139">
        <v>65333</v>
      </c>
      <c r="J33" s="14"/>
      <c r="K33" s="14"/>
      <c r="L33" s="170">
        <v>10</v>
      </c>
      <c r="M33" s="170"/>
      <c r="N33" s="139">
        <v>65323</v>
      </c>
      <c r="O33" s="170">
        <v>33130</v>
      </c>
      <c r="P33" s="170">
        <v>32193</v>
      </c>
      <c r="Q33" s="106">
        <v>0</v>
      </c>
    </row>
    <row r="34" spans="1:20" x14ac:dyDescent="0.25">
      <c r="A34" s="13"/>
      <c r="B34" s="195" t="s">
        <v>1248</v>
      </c>
      <c r="C34" s="13"/>
      <c r="D34" s="14"/>
      <c r="E34" s="14"/>
      <c r="F34" s="14"/>
      <c r="G34" s="14"/>
      <c r="H34" s="14"/>
      <c r="I34" s="14"/>
      <c r="J34" s="14"/>
      <c r="K34" s="14"/>
      <c r="L34" s="14"/>
      <c r="M34" s="14"/>
      <c r="N34" s="14"/>
      <c r="O34" s="14"/>
      <c r="P34" s="14"/>
      <c r="Q34" s="13"/>
    </row>
    <row r="35" spans="1:20" x14ac:dyDescent="0.25">
      <c r="A35" s="104">
        <v>7</v>
      </c>
      <c r="B35" s="193" t="s">
        <v>1249</v>
      </c>
      <c r="C35" s="194" t="s">
        <v>1250</v>
      </c>
      <c r="D35" s="139">
        <v>3323391</v>
      </c>
      <c r="E35" s="14"/>
      <c r="F35" s="170">
        <v>3115400</v>
      </c>
      <c r="G35" s="170"/>
      <c r="H35" s="170">
        <v>142658</v>
      </c>
      <c r="I35" s="139">
        <v>65333</v>
      </c>
      <c r="J35" s="14"/>
      <c r="K35" s="14"/>
      <c r="L35" s="170">
        <v>10</v>
      </c>
      <c r="M35" s="170"/>
      <c r="N35" s="139">
        <v>65323</v>
      </c>
      <c r="O35" s="170">
        <v>33130</v>
      </c>
      <c r="P35" s="170">
        <v>32193</v>
      </c>
      <c r="Q35" s="106">
        <v>0</v>
      </c>
    </row>
    <row r="36" spans="1:20" x14ac:dyDescent="0.25">
      <c r="A36" s="104">
        <v>8</v>
      </c>
      <c r="B36" s="193" t="s">
        <v>1251</v>
      </c>
      <c r="C36" s="194" t="s">
        <v>1252</v>
      </c>
      <c r="D36" s="139">
        <v>142658</v>
      </c>
      <c r="E36" s="14"/>
      <c r="F36" s="170">
        <v>0</v>
      </c>
      <c r="G36" s="170"/>
      <c r="H36" s="170">
        <v>142658</v>
      </c>
      <c r="I36" s="139">
        <v>0</v>
      </c>
      <c r="J36" s="14"/>
      <c r="K36" s="14"/>
      <c r="L36" s="170">
        <v>0</v>
      </c>
      <c r="M36" s="170"/>
      <c r="N36" s="139">
        <v>0</v>
      </c>
      <c r="O36" s="170">
        <v>0</v>
      </c>
      <c r="P36" s="170">
        <v>0</v>
      </c>
      <c r="Q36" s="106">
        <v>0</v>
      </c>
    </row>
    <row r="37" spans="1:20" x14ac:dyDescent="0.25">
      <c r="A37" s="104">
        <v>9</v>
      </c>
      <c r="B37" s="196" t="s">
        <v>1767</v>
      </c>
      <c r="C37" s="197" t="s">
        <v>1768</v>
      </c>
      <c r="D37" s="139">
        <v>3258068</v>
      </c>
      <c r="E37" s="14"/>
      <c r="F37" s="170">
        <v>3115400</v>
      </c>
      <c r="G37" s="170"/>
      <c r="H37" s="170">
        <v>142658</v>
      </c>
      <c r="I37" s="139">
        <v>10</v>
      </c>
      <c r="J37" s="14"/>
      <c r="K37" s="14"/>
      <c r="L37" s="170">
        <v>10</v>
      </c>
      <c r="M37" s="170"/>
      <c r="N37" s="139">
        <v>0</v>
      </c>
      <c r="O37" s="170">
        <v>0</v>
      </c>
      <c r="P37" s="170">
        <v>0</v>
      </c>
      <c r="Q37" s="106">
        <v>0</v>
      </c>
    </row>
    <row r="38" spans="1:20" x14ac:dyDescent="0.25">
      <c r="A38" s="104">
        <v>10</v>
      </c>
      <c r="B38" s="193" t="s">
        <v>1253</v>
      </c>
      <c r="C38" s="194" t="s">
        <v>1254</v>
      </c>
      <c r="D38" s="139">
        <v>207981</v>
      </c>
      <c r="E38" s="14"/>
      <c r="F38" s="170">
        <v>0</v>
      </c>
      <c r="G38" s="170"/>
      <c r="H38" s="170">
        <v>142658</v>
      </c>
      <c r="I38" s="139">
        <v>65323</v>
      </c>
      <c r="J38" s="14"/>
      <c r="K38" s="14"/>
      <c r="L38" s="170">
        <v>0</v>
      </c>
      <c r="M38" s="170"/>
      <c r="N38" s="139">
        <v>65323</v>
      </c>
      <c r="O38" s="170">
        <v>33130</v>
      </c>
      <c r="P38" s="170">
        <v>32193</v>
      </c>
      <c r="Q38" s="106">
        <v>0</v>
      </c>
    </row>
    <row r="39" spans="1:20" x14ac:dyDescent="0.25">
      <c r="A39" s="104">
        <v>11</v>
      </c>
      <c r="B39" s="196" t="s">
        <v>2018</v>
      </c>
      <c r="C39" s="197" t="s">
        <v>2019</v>
      </c>
      <c r="D39" s="139">
        <v>3115410</v>
      </c>
      <c r="E39" s="14"/>
      <c r="F39" s="170">
        <v>3115400</v>
      </c>
      <c r="G39" s="170"/>
      <c r="H39" s="170">
        <v>0</v>
      </c>
      <c r="I39" s="139">
        <v>10</v>
      </c>
      <c r="J39" s="14"/>
      <c r="K39" s="14"/>
      <c r="L39" s="170">
        <v>10</v>
      </c>
      <c r="M39" s="170"/>
      <c r="N39" s="139">
        <v>0</v>
      </c>
      <c r="O39" s="170">
        <v>0</v>
      </c>
      <c r="P39" s="170">
        <v>0</v>
      </c>
      <c r="Q39" s="106">
        <v>0</v>
      </c>
    </row>
    <row r="40" spans="1:20" x14ac:dyDescent="0.25">
      <c r="A40" s="104"/>
      <c r="B40" s="13"/>
      <c r="C40" s="13"/>
      <c r="D40" s="13"/>
      <c r="E40" s="13"/>
      <c r="F40" s="13"/>
      <c r="G40" s="13"/>
      <c r="H40" s="13"/>
      <c r="I40" s="13"/>
      <c r="J40" s="13"/>
      <c r="K40" s="13"/>
      <c r="L40" s="13"/>
      <c r="M40" s="13"/>
      <c r="N40" s="13"/>
      <c r="O40" s="13"/>
      <c r="P40" s="13"/>
      <c r="Q40" s="13"/>
    </row>
    <row r="41" spans="1:20" x14ac:dyDescent="0.25">
      <c r="A41" s="13"/>
      <c r="B41" s="195" t="s">
        <v>1255</v>
      </c>
      <c r="C41" s="13"/>
      <c r="D41" s="13"/>
      <c r="E41" s="13"/>
      <c r="F41" s="13"/>
      <c r="G41" s="13"/>
      <c r="H41" s="13"/>
      <c r="I41" s="13"/>
      <c r="J41" s="13"/>
      <c r="K41" s="13"/>
      <c r="L41" s="13"/>
      <c r="M41" s="13"/>
      <c r="N41" s="13"/>
      <c r="O41" s="13"/>
      <c r="P41" s="13"/>
      <c r="Q41" s="13"/>
    </row>
    <row r="42" spans="1:20" x14ac:dyDescent="0.25">
      <c r="A42" s="102">
        <v>12</v>
      </c>
      <c r="B42" s="107" t="s">
        <v>1769</v>
      </c>
      <c r="C42" s="198" t="s">
        <v>1770</v>
      </c>
      <c r="D42" s="164">
        <v>9294854.2499999888</v>
      </c>
      <c r="E42" s="17"/>
      <c r="F42" s="171">
        <v>9285697.2499999888</v>
      </c>
      <c r="G42" s="169"/>
      <c r="H42" s="169">
        <v>0</v>
      </c>
      <c r="I42" s="164">
        <v>9157</v>
      </c>
      <c r="J42" s="17"/>
      <c r="K42" s="17"/>
      <c r="L42" s="169">
        <v>0</v>
      </c>
      <c r="M42" s="169"/>
      <c r="N42" s="164">
        <v>9157</v>
      </c>
      <c r="O42" s="168">
        <v>9157</v>
      </c>
      <c r="P42" s="169">
        <v>0</v>
      </c>
      <c r="Q42" s="169">
        <v>0</v>
      </c>
      <c r="T42" s="108"/>
    </row>
    <row r="43" spans="1:20" x14ac:dyDescent="0.25">
      <c r="A43" s="102">
        <v>13</v>
      </c>
      <c r="B43" s="107" t="s">
        <v>1771</v>
      </c>
      <c r="C43" s="198" t="s">
        <v>1772</v>
      </c>
      <c r="D43" s="164">
        <v>28360265.465384614</v>
      </c>
      <c r="E43" s="17"/>
      <c r="F43" s="171">
        <v>28004853.465384614</v>
      </c>
      <c r="G43" s="169"/>
      <c r="H43" s="169">
        <v>0</v>
      </c>
      <c r="I43" s="164">
        <v>355412</v>
      </c>
      <c r="J43" s="17"/>
      <c r="K43" s="17"/>
      <c r="L43" s="169">
        <v>0</v>
      </c>
      <c r="M43" s="169"/>
      <c r="N43" s="164">
        <v>355412</v>
      </c>
      <c r="O43" s="168">
        <v>355412</v>
      </c>
      <c r="P43" s="169">
        <v>0</v>
      </c>
      <c r="Q43" s="169">
        <v>0</v>
      </c>
      <c r="T43" s="108"/>
    </row>
    <row r="44" spans="1:20" x14ac:dyDescent="0.25">
      <c r="A44" s="102">
        <v>14</v>
      </c>
      <c r="B44" s="107" t="s">
        <v>1773</v>
      </c>
      <c r="C44" s="198" t="s">
        <v>1774</v>
      </c>
      <c r="D44" s="164">
        <v>246271632.29076874</v>
      </c>
      <c r="E44" s="17"/>
      <c r="F44" s="171">
        <v>243018549.29076874</v>
      </c>
      <c r="G44" s="169"/>
      <c r="H44" s="169">
        <v>0</v>
      </c>
      <c r="I44" s="164">
        <v>3253083</v>
      </c>
      <c r="J44" s="17"/>
      <c r="K44" s="17"/>
      <c r="L44" s="169">
        <v>0</v>
      </c>
      <c r="M44" s="169"/>
      <c r="N44" s="164">
        <v>3253083</v>
      </c>
      <c r="O44" s="168">
        <v>3253083</v>
      </c>
      <c r="P44" s="169">
        <v>0</v>
      </c>
      <c r="Q44" s="169">
        <v>0</v>
      </c>
      <c r="T44" s="108"/>
    </row>
    <row r="45" spans="1:20" x14ac:dyDescent="0.25">
      <c r="A45" s="102">
        <v>15</v>
      </c>
      <c r="B45" s="107" t="s">
        <v>1775</v>
      </c>
      <c r="C45" s="198" t="s">
        <v>1776</v>
      </c>
      <c r="D45" s="164">
        <v>398398893.60384554</v>
      </c>
      <c r="E45" s="17"/>
      <c r="F45" s="171">
        <v>398398893.60384554</v>
      </c>
      <c r="G45" s="169"/>
      <c r="H45" s="169">
        <v>0</v>
      </c>
      <c r="I45" s="164">
        <v>0</v>
      </c>
      <c r="J45" s="17"/>
      <c r="K45" s="17"/>
      <c r="L45" s="169">
        <v>0</v>
      </c>
      <c r="M45" s="169"/>
      <c r="N45" s="164">
        <v>0</v>
      </c>
      <c r="O45" s="169">
        <v>0</v>
      </c>
      <c r="P45" s="169">
        <v>0</v>
      </c>
      <c r="Q45" s="169">
        <v>0</v>
      </c>
    </row>
    <row r="46" spans="1:20" x14ac:dyDescent="0.25">
      <c r="A46" s="102">
        <v>16</v>
      </c>
      <c r="B46" s="107" t="s">
        <v>1777</v>
      </c>
      <c r="C46" s="198" t="s">
        <v>1778</v>
      </c>
      <c r="D46" s="164">
        <v>400526272.49461544</v>
      </c>
      <c r="E46" s="17"/>
      <c r="F46" s="171">
        <v>400526272.49461544</v>
      </c>
      <c r="G46" s="169"/>
      <c r="H46" s="169">
        <v>0</v>
      </c>
      <c r="I46" s="164">
        <v>0</v>
      </c>
      <c r="J46" s="17"/>
      <c r="K46" s="17"/>
      <c r="L46" s="169">
        <v>0</v>
      </c>
      <c r="M46" s="169"/>
      <c r="N46" s="164">
        <v>0</v>
      </c>
      <c r="O46" s="169">
        <v>0</v>
      </c>
      <c r="P46" s="169">
        <v>0</v>
      </c>
      <c r="Q46" s="169">
        <v>0</v>
      </c>
    </row>
    <row r="47" spans="1:20" x14ac:dyDescent="0.25">
      <c r="A47" s="102">
        <v>17</v>
      </c>
      <c r="B47" s="107" t="s">
        <v>1779</v>
      </c>
      <c r="C47" s="198" t="s">
        <v>1780</v>
      </c>
      <c r="D47" s="164">
        <v>2390106.04</v>
      </c>
      <c r="E47" s="17"/>
      <c r="F47" s="171">
        <v>2390106.04</v>
      </c>
      <c r="G47" s="169"/>
      <c r="H47" s="169">
        <v>0</v>
      </c>
      <c r="I47" s="164">
        <v>0</v>
      </c>
      <c r="J47" s="17"/>
      <c r="K47" s="17"/>
      <c r="L47" s="169">
        <v>0</v>
      </c>
      <c r="M47" s="169"/>
      <c r="N47" s="164">
        <v>0</v>
      </c>
      <c r="O47" s="169">
        <v>0</v>
      </c>
      <c r="P47" s="169">
        <v>0</v>
      </c>
      <c r="Q47" s="169">
        <v>0</v>
      </c>
    </row>
    <row r="48" spans="1:20" x14ac:dyDescent="0.25">
      <c r="A48" s="102">
        <v>18</v>
      </c>
      <c r="B48" s="107" t="s">
        <v>1781</v>
      </c>
      <c r="C48" s="198" t="s">
        <v>1782</v>
      </c>
      <c r="D48" s="164">
        <v>217404135.46846145</v>
      </c>
      <c r="E48" s="17"/>
      <c r="F48" s="171">
        <v>217404135.46846145</v>
      </c>
      <c r="G48" s="169"/>
      <c r="H48" s="169">
        <v>0</v>
      </c>
      <c r="I48" s="164">
        <v>0</v>
      </c>
      <c r="J48" s="17"/>
      <c r="K48" s="17"/>
      <c r="L48" s="169">
        <v>0</v>
      </c>
      <c r="M48" s="169"/>
      <c r="N48" s="164">
        <v>0</v>
      </c>
      <c r="O48" s="169">
        <v>0</v>
      </c>
      <c r="P48" s="169">
        <v>0</v>
      </c>
      <c r="Q48" s="169">
        <v>0</v>
      </c>
    </row>
    <row r="49" spans="1:17" x14ac:dyDescent="0.25">
      <c r="A49" s="102">
        <v>19</v>
      </c>
      <c r="B49" s="107" t="s">
        <v>1783</v>
      </c>
      <c r="C49" s="198" t="s">
        <v>1329</v>
      </c>
      <c r="D49" s="164">
        <v>315974318.09076923</v>
      </c>
      <c r="E49" s="17"/>
      <c r="F49" s="171">
        <v>315974318.09076923</v>
      </c>
      <c r="G49" s="169"/>
      <c r="H49" s="169">
        <v>0</v>
      </c>
      <c r="I49" s="164">
        <v>0</v>
      </c>
      <c r="J49" s="17"/>
      <c r="K49" s="17"/>
      <c r="L49" s="169">
        <v>0</v>
      </c>
      <c r="M49" s="169"/>
      <c r="N49" s="164">
        <v>0</v>
      </c>
      <c r="O49" s="169">
        <v>0</v>
      </c>
      <c r="P49" s="169">
        <v>0</v>
      </c>
      <c r="Q49" s="169">
        <v>0</v>
      </c>
    </row>
    <row r="50" spans="1:17" x14ac:dyDescent="0.25">
      <c r="A50" s="102">
        <v>20</v>
      </c>
      <c r="B50" s="107" t="s">
        <v>1784</v>
      </c>
      <c r="C50" s="198" t="s">
        <v>1750</v>
      </c>
      <c r="D50" s="164">
        <v>658287.18999999994</v>
      </c>
      <c r="E50" s="17"/>
      <c r="F50" s="171">
        <v>658287.18999999994</v>
      </c>
      <c r="G50" s="169"/>
      <c r="H50" s="169">
        <v>0</v>
      </c>
      <c r="I50" s="164">
        <v>0</v>
      </c>
      <c r="J50" s="17"/>
      <c r="K50" s="17"/>
      <c r="L50" s="169">
        <v>0</v>
      </c>
      <c r="M50" s="169"/>
      <c r="N50" s="164">
        <v>0</v>
      </c>
      <c r="O50" s="169">
        <v>0</v>
      </c>
      <c r="P50" s="169">
        <v>0</v>
      </c>
      <c r="Q50" s="169">
        <v>0</v>
      </c>
    </row>
    <row r="51" spans="1:17" x14ac:dyDescent="0.25">
      <c r="A51" s="102">
        <v>21</v>
      </c>
      <c r="B51" s="107" t="s">
        <v>1785</v>
      </c>
      <c r="C51" s="198" t="s">
        <v>1786</v>
      </c>
      <c r="D51" s="164">
        <v>318250.43999999989</v>
      </c>
      <c r="E51" s="17"/>
      <c r="F51" s="169">
        <v>0</v>
      </c>
      <c r="G51" s="169"/>
      <c r="H51" s="171">
        <v>318250.43999999989</v>
      </c>
      <c r="I51" s="164">
        <v>0</v>
      </c>
      <c r="J51" s="17"/>
      <c r="K51" s="17"/>
      <c r="L51" s="169">
        <v>0</v>
      </c>
      <c r="M51" s="169"/>
      <c r="N51" s="164">
        <v>0</v>
      </c>
      <c r="O51" s="169">
        <v>0</v>
      </c>
      <c r="P51" s="169">
        <v>0</v>
      </c>
      <c r="Q51" s="169">
        <v>0</v>
      </c>
    </row>
    <row r="52" spans="1:17" x14ac:dyDescent="0.25">
      <c r="A52" s="102">
        <v>22</v>
      </c>
      <c r="B52" s="107" t="s">
        <v>1787</v>
      </c>
      <c r="C52" s="198" t="s">
        <v>1788</v>
      </c>
      <c r="D52" s="164">
        <v>774879.02999999991</v>
      </c>
      <c r="E52" s="17"/>
      <c r="F52" s="169">
        <v>0</v>
      </c>
      <c r="G52" s="169"/>
      <c r="H52" s="171">
        <v>774879.02999999991</v>
      </c>
      <c r="I52" s="164">
        <v>0</v>
      </c>
      <c r="J52" s="17"/>
      <c r="K52" s="17"/>
      <c r="L52" s="169">
        <v>0</v>
      </c>
      <c r="M52" s="169"/>
      <c r="N52" s="164">
        <v>0</v>
      </c>
      <c r="O52" s="169">
        <v>0</v>
      </c>
      <c r="P52" s="169">
        <v>0</v>
      </c>
      <c r="Q52" s="169">
        <v>0</v>
      </c>
    </row>
    <row r="53" spans="1:17" x14ac:dyDescent="0.25">
      <c r="A53" s="102">
        <v>23</v>
      </c>
      <c r="B53" s="107" t="s">
        <v>1789</v>
      </c>
      <c r="C53" s="198" t="s">
        <v>1790</v>
      </c>
      <c r="D53" s="164">
        <v>8513231.9299999978</v>
      </c>
      <c r="E53" s="17"/>
      <c r="F53" s="169">
        <v>0</v>
      </c>
      <c r="G53" s="169"/>
      <c r="H53" s="171">
        <v>8513231.9299999978</v>
      </c>
      <c r="I53" s="164">
        <v>0</v>
      </c>
      <c r="J53" s="17"/>
      <c r="K53" s="17"/>
      <c r="L53" s="169">
        <v>0</v>
      </c>
      <c r="M53" s="169"/>
      <c r="N53" s="164">
        <v>0</v>
      </c>
      <c r="O53" s="169">
        <v>0</v>
      </c>
      <c r="P53" s="169">
        <v>0</v>
      </c>
      <c r="Q53" s="169">
        <v>0</v>
      </c>
    </row>
    <row r="54" spans="1:17" x14ac:dyDescent="0.25">
      <c r="A54" s="102">
        <v>24</v>
      </c>
      <c r="B54" s="107" t="s">
        <v>2065</v>
      </c>
      <c r="C54" s="192" t="s">
        <v>2066</v>
      </c>
      <c r="D54" s="164">
        <v>1471422.59</v>
      </c>
      <c r="E54" s="17"/>
      <c r="F54" s="171">
        <v>1147334.75</v>
      </c>
      <c r="G54" s="171"/>
      <c r="H54" s="171">
        <v>324087.84000000003</v>
      </c>
      <c r="I54" s="164">
        <v>0</v>
      </c>
      <c r="J54" s="17"/>
      <c r="K54" s="17"/>
      <c r="L54" s="169">
        <v>0</v>
      </c>
      <c r="M54" s="169"/>
      <c r="N54" s="164">
        <v>0</v>
      </c>
      <c r="O54" s="169">
        <v>0</v>
      </c>
      <c r="P54" s="169">
        <v>0</v>
      </c>
      <c r="Q54" s="169">
        <v>0</v>
      </c>
    </row>
    <row r="55" spans="1:17" x14ac:dyDescent="0.25">
      <c r="A55" s="102">
        <v>25</v>
      </c>
      <c r="B55" s="107" t="s">
        <v>1791</v>
      </c>
      <c r="C55" s="198" t="s">
        <v>1792</v>
      </c>
      <c r="D55" s="164">
        <v>30732362.571538366</v>
      </c>
      <c r="E55" s="17"/>
      <c r="F55" s="169">
        <v>0</v>
      </c>
      <c r="G55" s="169"/>
      <c r="H55" s="171">
        <v>30732362.571538366</v>
      </c>
      <c r="I55" s="164">
        <v>0</v>
      </c>
      <c r="J55" s="17"/>
      <c r="K55" s="17"/>
      <c r="L55" s="169">
        <v>0</v>
      </c>
      <c r="M55" s="169"/>
      <c r="N55" s="164">
        <v>0</v>
      </c>
      <c r="O55" s="169">
        <v>0</v>
      </c>
      <c r="P55" s="169">
        <v>0</v>
      </c>
      <c r="Q55" s="169">
        <v>0</v>
      </c>
    </row>
    <row r="56" spans="1:17" x14ac:dyDescent="0.25">
      <c r="A56" s="102">
        <v>26</v>
      </c>
      <c r="B56" s="107" t="s">
        <v>1793</v>
      </c>
      <c r="C56" s="198" t="s">
        <v>1794</v>
      </c>
      <c r="D56" s="164">
        <v>29359960.575384516</v>
      </c>
      <c r="E56" s="17"/>
      <c r="F56" s="169">
        <v>0</v>
      </c>
      <c r="G56" s="169"/>
      <c r="H56" s="171">
        <v>29359960.575384516</v>
      </c>
      <c r="I56" s="164">
        <v>0</v>
      </c>
      <c r="J56" s="17"/>
      <c r="K56" s="17"/>
      <c r="L56" s="169">
        <v>0</v>
      </c>
      <c r="M56" s="169"/>
      <c r="N56" s="164">
        <v>0</v>
      </c>
      <c r="O56" s="169">
        <v>0</v>
      </c>
      <c r="P56" s="169">
        <v>0</v>
      </c>
      <c r="Q56" s="169">
        <v>0</v>
      </c>
    </row>
    <row r="57" spans="1:17" x14ac:dyDescent="0.25">
      <c r="A57" s="102">
        <v>27</v>
      </c>
      <c r="B57" s="107" t="s">
        <v>1795</v>
      </c>
      <c r="C57" s="198" t="s">
        <v>1796</v>
      </c>
      <c r="D57" s="164">
        <v>5148669.6176923076</v>
      </c>
      <c r="E57" s="17"/>
      <c r="F57" s="169">
        <v>0</v>
      </c>
      <c r="G57" s="169"/>
      <c r="H57" s="171">
        <v>5148669.6176923076</v>
      </c>
      <c r="I57" s="164">
        <v>0</v>
      </c>
      <c r="J57" s="17"/>
      <c r="K57" s="17"/>
      <c r="L57" s="169">
        <v>0</v>
      </c>
      <c r="M57" s="169"/>
      <c r="N57" s="164">
        <v>0</v>
      </c>
      <c r="O57" s="169">
        <v>0</v>
      </c>
      <c r="P57" s="169">
        <v>0</v>
      </c>
      <c r="Q57" s="169">
        <v>0</v>
      </c>
    </row>
    <row r="58" spans="1:17" x14ac:dyDescent="0.25">
      <c r="A58" s="102">
        <v>28</v>
      </c>
      <c r="B58" s="107" t="s">
        <v>1797</v>
      </c>
      <c r="C58" s="192" t="s">
        <v>1330</v>
      </c>
      <c r="D58" s="164">
        <v>11179114.279230768</v>
      </c>
      <c r="E58" s="17"/>
      <c r="F58" s="169">
        <v>0</v>
      </c>
      <c r="G58" s="169"/>
      <c r="H58" s="171">
        <v>11179114.279230768</v>
      </c>
      <c r="I58" s="164">
        <v>0</v>
      </c>
      <c r="J58" s="17"/>
      <c r="K58" s="17"/>
      <c r="L58" s="169">
        <v>0</v>
      </c>
      <c r="M58" s="169"/>
      <c r="N58" s="164">
        <v>0</v>
      </c>
      <c r="O58" s="169">
        <v>0</v>
      </c>
      <c r="P58" s="169">
        <v>0</v>
      </c>
      <c r="Q58" s="169">
        <v>0</v>
      </c>
    </row>
    <row r="59" spans="1:17" x14ac:dyDescent="0.25">
      <c r="A59" s="102">
        <v>29</v>
      </c>
      <c r="B59" s="107" t="s">
        <v>1798</v>
      </c>
      <c r="C59" s="198" t="s">
        <v>1799</v>
      </c>
      <c r="D59" s="164">
        <v>495040.22999999992</v>
      </c>
      <c r="E59" s="17"/>
      <c r="F59" s="169">
        <v>0</v>
      </c>
      <c r="G59" s="169"/>
      <c r="H59" s="169">
        <v>0</v>
      </c>
      <c r="I59" s="164">
        <v>495040.22999999992</v>
      </c>
      <c r="J59" s="17"/>
      <c r="K59" s="17"/>
      <c r="L59" s="171">
        <v>495040.22999999992</v>
      </c>
      <c r="M59" s="169"/>
      <c r="N59" s="164">
        <v>0</v>
      </c>
      <c r="O59" s="169">
        <v>0</v>
      </c>
      <c r="P59" s="169">
        <v>0</v>
      </c>
      <c r="Q59" s="169">
        <v>0</v>
      </c>
    </row>
    <row r="60" spans="1:17" x14ac:dyDescent="0.25">
      <c r="A60" s="102">
        <v>30</v>
      </c>
      <c r="B60" s="107" t="s">
        <v>1800</v>
      </c>
      <c r="C60" s="198" t="s">
        <v>1801</v>
      </c>
      <c r="D60" s="164">
        <v>2545.13</v>
      </c>
      <c r="E60" s="17"/>
      <c r="F60" s="169">
        <v>0</v>
      </c>
      <c r="G60" s="169"/>
      <c r="H60" s="169">
        <v>0</v>
      </c>
      <c r="I60" s="164">
        <v>2545.13</v>
      </c>
      <c r="J60" s="17"/>
      <c r="K60" s="17"/>
      <c r="L60" s="171">
        <v>2545.13</v>
      </c>
      <c r="M60" s="169"/>
      <c r="N60" s="164">
        <v>0</v>
      </c>
      <c r="O60" s="169">
        <v>0</v>
      </c>
      <c r="P60" s="169">
        <v>0</v>
      </c>
      <c r="Q60" s="169">
        <v>0</v>
      </c>
    </row>
    <row r="61" spans="1:17" x14ac:dyDescent="0.25">
      <c r="A61" s="102">
        <v>31</v>
      </c>
      <c r="B61" s="107" t="s">
        <v>1802</v>
      </c>
      <c r="C61" s="198" t="s">
        <v>1803</v>
      </c>
      <c r="D61" s="164">
        <v>66880.14999999998</v>
      </c>
      <c r="E61" s="17"/>
      <c r="F61" s="169">
        <v>0</v>
      </c>
      <c r="G61" s="169"/>
      <c r="H61" s="169">
        <v>0</v>
      </c>
      <c r="I61" s="164">
        <v>66880.14999999998</v>
      </c>
      <c r="J61" s="17"/>
      <c r="K61" s="17"/>
      <c r="L61" s="171">
        <v>66880.14999999998</v>
      </c>
      <c r="M61" s="169"/>
      <c r="N61" s="164">
        <v>0</v>
      </c>
      <c r="O61" s="169">
        <v>0</v>
      </c>
      <c r="P61" s="169">
        <v>0</v>
      </c>
      <c r="Q61" s="169">
        <v>0</v>
      </c>
    </row>
    <row r="62" spans="1:17" x14ac:dyDescent="0.25">
      <c r="A62" s="102">
        <v>32</v>
      </c>
      <c r="B62" s="107" t="s">
        <v>1804</v>
      </c>
      <c r="C62" s="198" t="s">
        <v>1805</v>
      </c>
      <c r="D62" s="164">
        <v>47785.56</v>
      </c>
      <c r="E62" s="17"/>
      <c r="F62" s="169">
        <v>0</v>
      </c>
      <c r="G62" s="169"/>
      <c r="H62" s="169">
        <v>0</v>
      </c>
      <c r="I62" s="164">
        <v>47785.56</v>
      </c>
      <c r="J62" s="17"/>
      <c r="K62" s="17"/>
      <c r="L62" s="171">
        <v>47785.56</v>
      </c>
      <c r="M62" s="169"/>
      <c r="N62" s="164">
        <v>0</v>
      </c>
      <c r="O62" s="169">
        <v>0</v>
      </c>
      <c r="P62" s="169">
        <v>0</v>
      </c>
      <c r="Q62" s="169">
        <v>0</v>
      </c>
    </row>
    <row r="63" spans="1:17" x14ac:dyDescent="0.25">
      <c r="A63" s="102">
        <v>33</v>
      </c>
      <c r="B63" s="107" t="s">
        <v>1806</v>
      </c>
      <c r="C63" s="198" t="s">
        <v>1807</v>
      </c>
      <c r="D63" s="164">
        <v>46763.22</v>
      </c>
      <c r="E63" s="17"/>
      <c r="F63" s="169">
        <v>0</v>
      </c>
      <c r="G63" s="169"/>
      <c r="H63" s="169">
        <v>0</v>
      </c>
      <c r="I63" s="164">
        <v>46763.22</v>
      </c>
      <c r="J63" s="17"/>
      <c r="K63" s="17"/>
      <c r="L63" s="171">
        <v>46763.22</v>
      </c>
      <c r="M63" s="169"/>
      <c r="N63" s="164">
        <v>0</v>
      </c>
      <c r="O63" s="169">
        <v>0</v>
      </c>
      <c r="P63" s="169">
        <v>0</v>
      </c>
      <c r="Q63" s="169">
        <v>0</v>
      </c>
    </row>
    <row r="64" spans="1:17" x14ac:dyDescent="0.25">
      <c r="A64" s="102">
        <v>34</v>
      </c>
      <c r="B64" s="107" t="s">
        <v>1808</v>
      </c>
      <c r="C64" s="198" t="s">
        <v>1809</v>
      </c>
      <c r="D64" s="164">
        <v>3118.2799999999988</v>
      </c>
      <c r="E64" s="17"/>
      <c r="F64" s="169">
        <v>0</v>
      </c>
      <c r="G64" s="169"/>
      <c r="H64" s="169">
        <v>0</v>
      </c>
      <c r="I64" s="164">
        <v>3118.2799999999988</v>
      </c>
      <c r="J64" s="17"/>
      <c r="K64" s="17"/>
      <c r="L64" s="171">
        <v>3118.2799999999988</v>
      </c>
      <c r="M64" s="169"/>
      <c r="N64" s="164">
        <v>0</v>
      </c>
      <c r="O64" s="169">
        <v>0</v>
      </c>
      <c r="P64" s="169">
        <v>0</v>
      </c>
      <c r="Q64" s="169">
        <v>0</v>
      </c>
    </row>
    <row r="65" spans="1:25" x14ac:dyDescent="0.25">
      <c r="A65" s="102">
        <v>35</v>
      </c>
      <c r="B65" s="107" t="s">
        <v>1810</v>
      </c>
      <c r="C65" s="198" t="s">
        <v>1811</v>
      </c>
      <c r="D65" s="164">
        <v>254.62</v>
      </c>
      <c r="E65" s="17"/>
      <c r="F65" s="169">
        <v>0</v>
      </c>
      <c r="G65" s="169"/>
      <c r="H65" s="169">
        <v>0</v>
      </c>
      <c r="I65" s="164">
        <v>254.62</v>
      </c>
      <c r="J65" s="17"/>
      <c r="K65" s="17"/>
      <c r="L65" s="171">
        <v>254.62</v>
      </c>
      <c r="M65" s="169"/>
      <c r="N65" s="164">
        <v>0</v>
      </c>
      <c r="O65" s="169">
        <v>0</v>
      </c>
      <c r="P65" s="169">
        <v>0</v>
      </c>
      <c r="Q65" s="169">
        <v>0</v>
      </c>
    </row>
    <row r="66" spans="1:25" x14ac:dyDescent="0.25">
      <c r="A66" s="102">
        <v>36</v>
      </c>
      <c r="B66" s="107" t="s">
        <v>1812</v>
      </c>
      <c r="C66" s="198" t="s">
        <v>1813</v>
      </c>
      <c r="D66" s="164">
        <v>4199.21</v>
      </c>
      <c r="E66" s="17"/>
      <c r="F66" s="169">
        <v>0</v>
      </c>
      <c r="G66" s="169"/>
      <c r="H66" s="169">
        <v>0</v>
      </c>
      <c r="I66" s="164">
        <v>4199.21</v>
      </c>
      <c r="J66" s="17"/>
      <c r="K66" s="17"/>
      <c r="L66" s="171">
        <v>4199.21</v>
      </c>
      <c r="M66" s="169"/>
      <c r="N66" s="164">
        <v>0</v>
      </c>
      <c r="O66" s="169">
        <v>0</v>
      </c>
      <c r="P66" s="169">
        <v>0</v>
      </c>
      <c r="Q66" s="169">
        <v>0</v>
      </c>
    </row>
    <row r="67" spans="1:25" x14ac:dyDescent="0.25">
      <c r="A67" s="102">
        <v>37</v>
      </c>
      <c r="B67" s="107" t="s">
        <v>1814</v>
      </c>
      <c r="C67" s="198" t="s">
        <v>1815</v>
      </c>
      <c r="D67" s="164">
        <v>0</v>
      </c>
      <c r="E67" s="17"/>
      <c r="F67" s="169">
        <v>0</v>
      </c>
      <c r="G67" s="169"/>
      <c r="H67" s="169">
        <v>0</v>
      </c>
      <c r="I67" s="164">
        <v>0</v>
      </c>
      <c r="J67" s="17"/>
      <c r="K67" s="17"/>
      <c r="L67" s="171">
        <v>0</v>
      </c>
      <c r="M67" s="169"/>
      <c r="N67" s="164">
        <v>0</v>
      </c>
      <c r="O67" s="169">
        <v>0</v>
      </c>
      <c r="P67" s="169">
        <v>0</v>
      </c>
      <c r="Q67" s="169">
        <v>0</v>
      </c>
    </row>
    <row r="68" spans="1:25" x14ac:dyDescent="0.25">
      <c r="A68" s="102">
        <v>38</v>
      </c>
      <c r="B68" s="99" t="s">
        <v>1331</v>
      </c>
      <c r="C68" s="192" t="s">
        <v>1332</v>
      </c>
      <c r="D68" s="164">
        <v>42400580.030656733</v>
      </c>
      <c r="E68" s="17"/>
      <c r="F68" s="169">
        <v>0</v>
      </c>
      <c r="G68" s="169"/>
      <c r="H68" s="171">
        <v>42246290.245874397</v>
      </c>
      <c r="I68" s="164">
        <v>154289.7847823358</v>
      </c>
      <c r="J68" s="17"/>
      <c r="K68" s="17"/>
      <c r="L68" s="171">
        <v>154289.7847823358</v>
      </c>
      <c r="M68" s="169"/>
      <c r="N68" s="164">
        <v>0</v>
      </c>
      <c r="O68" s="169">
        <v>0</v>
      </c>
      <c r="P68" s="169">
        <v>0</v>
      </c>
      <c r="Q68" s="169">
        <v>0</v>
      </c>
    </row>
    <row r="69" spans="1:25" x14ac:dyDescent="0.25">
      <c r="A69" s="102">
        <v>39</v>
      </c>
      <c r="B69" s="99" t="s">
        <v>1333</v>
      </c>
      <c r="C69" s="192" t="s">
        <v>1334</v>
      </c>
      <c r="D69" s="164">
        <v>9122.9692307694077</v>
      </c>
      <c r="E69" s="17"/>
      <c r="F69" s="169">
        <v>0</v>
      </c>
      <c r="G69" s="169"/>
      <c r="H69" s="171">
        <v>9122.9692307694077</v>
      </c>
      <c r="I69" s="164">
        <v>0</v>
      </c>
      <c r="J69" s="17"/>
      <c r="K69" s="17"/>
      <c r="L69" s="171">
        <v>0</v>
      </c>
      <c r="M69" s="169"/>
      <c r="N69" s="164">
        <v>0</v>
      </c>
      <c r="O69" s="169">
        <v>0</v>
      </c>
      <c r="P69" s="169">
        <v>0</v>
      </c>
      <c r="Q69" s="169">
        <v>0</v>
      </c>
    </row>
    <row r="70" spans="1:25" x14ac:dyDescent="0.25">
      <c r="A70" s="102">
        <v>40</v>
      </c>
      <c r="B70" s="99" t="s">
        <v>2067</v>
      </c>
      <c r="C70" s="192" t="s">
        <v>1335</v>
      </c>
      <c r="D70" s="164">
        <v>10084233</v>
      </c>
      <c r="E70" s="17"/>
      <c r="F70" s="169">
        <v>0</v>
      </c>
      <c r="G70" s="169"/>
      <c r="H70" s="168">
        <v>10084233</v>
      </c>
      <c r="I70" s="164">
        <v>0</v>
      </c>
      <c r="J70" s="17"/>
      <c r="K70" s="17"/>
      <c r="L70" s="169">
        <v>0</v>
      </c>
      <c r="M70" s="169"/>
      <c r="N70" s="164">
        <v>0</v>
      </c>
      <c r="O70" s="169">
        <v>0</v>
      </c>
      <c r="P70" s="169">
        <v>0</v>
      </c>
      <c r="Q70" s="169">
        <v>0</v>
      </c>
    </row>
    <row r="71" spans="1:25" x14ac:dyDescent="0.25">
      <c r="A71" s="102">
        <v>41</v>
      </c>
      <c r="B71" s="99" t="s">
        <v>2068</v>
      </c>
      <c r="C71" s="192" t="s">
        <v>1336</v>
      </c>
      <c r="D71" s="164">
        <v>0</v>
      </c>
      <c r="E71" s="17"/>
      <c r="F71" s="169">
        <v>0</v>
      </c>
      <c r="G71" s="169"/>
      <c r="H71" s="169">
        <v>0</v>
      </c>
      <c r="I71" s="164">
        <v>0</v>
      </c>
      <c r="J71" s="17"/>
      <c r="K71" s="17"/>
      <c r="L71" s="169">
        <v>0</v>
      </c>
      <c r="M71" s="169"/>
      <c r="N71" s="164">
        <v>0</v>
      </c>
      <c r="O71" s="169">
        <v>0</v>
      </c>
      <c r="P71" s="169">
        <v>0</v>
      </c>
      <c r="Q71" s="169">
        <v>0</v>
      </c>
      <c r="V71" s="15" t="s">
        <v>2099</v>
      </c>
      <c r="W71" s="15" t="s">
        <v>1223</v>
      </c>
      <c r="X71" s="15" t="s">
        <v>1224</v>
      </c>
    </row>
    <row r="72" spans="1:25" x14ac:dyDescent="0.25">
      <c r="A72" s="102">
        <v>42</v>
      </c>
      <c r="B72" s="107" t="s">
        <v>1816</v>
      </c>
      <c r="C72" s="198" t="s">
        <v>1817</v>
      </c>
      <c r="D72" s="164">
        <v>3695780.1399999964</v>
      </c>
      <c r="E72" s="17"/>
      <c r="F72" s="168">
        <v>3139768.4099999964</v>
      </c>
      <c r="G72" s="169"/>
      <c r="H72" s="168">
        <v>387734.87</v>
      </c>
      <c r="I72" s="164">
        <v>168276.86000000002</v>
      </c>
      <c r="J72" s="17"/>
      <c r="K72" s="17"/>
      <c r="L72" s="168">
        <v>57.5</v>
      </c>
      <c r="M72" s="169"/>
      <c r="N72" s="164">
        <v>168219.36000000002</v>
      </c>
      <c r="O72" s="168">
        <v>168219.36000000002</v>
      </c>
      <c r="P72" s="168">
        <v>0</v>
      </c>
      <c r="Q72" s="169">
        <v>0</v>
      </c>
      <c r="U72" s="109"/>
      <c r="V72" s="111"/>
    </row>
    <row r="73" spans="1:25" x14ac:dyDescent="0.25">
      <c r="A73" s="102">
        <v>43</v>
      </c>
      <c r="B73" s="107" t="s">
        <v>1818</v>
      </c>
      <c r="C73" s="198" t="s">
        <v>1819</v>
      </c>
      <c r="D73" s="164">
        <v>36813.089999999997</v>
      </c>
      <c r="E73" s="17"/>
      <c r="F73" s="168">
        <v>35268.839999999997</v>
      </c>
      <c r="G73" s="169"/>
      <c r="H73" s="168">
        <v>1544.25</v>
      </c>
      <c r="I73" s="164">
        <v>0</v>
      </c>
      <c r="J73" s="17"/>
      <c r="K73" s="17"/>
      <c r="L73" s="169">
        <v>0</v>
      </c>
      <c r="M73" s="169"/>
      <c r="N73" s="164">
        <v>0</v>
      </c>
      <c r="O73" s="169">
        <v>0</v>
      </c>
      <c r="P73" s="169">
        <v>0</v>
      </c>
      <c r="Q73" s="169">
        <v>0</v>
      </c>
      <c r="U73" s="109" t="s">
        <v>2138</v>
      </c>
      <c r="V73" s="111">
        <v>168219.36000000002</v>
      </c>
      <c r="W73" s="15">
        <v>168219.36000000002</v>
      </c>
      <c r="X73" s="15">
        <v>0</v>
      </c>
      <c r="Y73" s="15" t="s">
        <v>2100</v>
      </c>
    </row>
    <row r="74" spans="1:25" x14ac:dyDescent="0.25">
      <c r="A74" s="102">
        <v>44</v>
      </c>
      <c r="B74" s="107" t="s">
        <v>1820</v>
      </c>
      <c r="C74" s="198" t="s">
        <v>1821</v>
      </c>
      <c r="D74" s="164">
        <v>72900.206666669401</v>
      </c>
      <c r="E74" s="17"/>
      <c r="F74" s="168">
        <v>72900.206666669401</v>
      </c>
      <c r="G74" s="169"/>
      <c r="H74" s="168">
        <v>0</v>
      </c>
      <c r="I74" s="164">
        <v>0</v>
      </c>
      <c r="J74" s="17"/>
      <c r="K74" s="17"/>
      <c r="L74" s="169">
        <v>0</v>
      </c>
      <c r="M74" s="169"/>
      <c r="N74" s="164">
        <v>0</v>
      </c>
      <c r="O74" s="164">
        <v>0</v>
      </c>
      <c r="P74" s="164">
        <v>0</v>
      </c>
      <c r="Q74" s="169">
        <v>0</v>
      </c>
      <c r="U74" s="109"/>
      <c r="V74" s="111"/>
    </row>
    <row r="75" spans="1:25" x14ac:dyDescent="0.25">
      <c r="A75" s="102">
        <v>45</v>
      </c>
      <c r="B75" s="107" t="s">
        <v>1822</v>
      </c>
      <c r="C75" s="198" t="s">
        <v>1823</v>
      </c>
      <c r="D75" s="164">
        <v>2409014.85</v>
      </c>
      <c r="E75" s="17"/>
      <c r="F75" s="168">
        <v>2256048.35</v>
      </c>
      <c r="G75" s="169"/>
      <c r="H75" s="168">
        <v>152966.5</v>
      </c>
      <c r="I75" s="164">
        <v>0</v>
      </c>
      <c r="J75" s="17"/>
      <c r="K75" s="17"/>
      <c r="L75" s="169">
        <v>0</v>
      </c>
      <c r="M75" s="169"/>
      <c r="N75" s="164">
        <v>0</v>
      </c>
      <c r="O75" s="169">
        <v>0</v>
      </c>
      <c r="P75" s="169">
        <v>0</v>
      </c>
      <c r="Q75" s="169">
        <v>0</v>
      </c>
    </row>
    <row r="76" spans="1:25" x14ac:dyDescent="0.25">
      <c r="A76" s="102">
        <v>46</v>
      </c>
      <c r="B76" s="107" t="s">
        <v>1824</v>
      </c>
      <c r="C76" s="198" t="s">
        <v>1825</v>
      </c>
      <c r="D76" s="164">
        <v>60477.13</v>
      </c>
      <c r="E76" s="17"/>
      <c r="F76" s="168">
        <v>60017.13</v>
      </c>
      <c r="G76" s="169"/>
      <c r="H76" s="168">
        <v>460</v>
      </c>
      <c r="I76" s="164">
        <v>0</v>
      </c>
      <c r="J76" s="17"/>
      <c r="K76" s="17"/>
      <c r="L76" s="169">
        <v>0</v>
      </c>
      <c r="M76" s="169"/>
      <c r="N76" s="164">
        <v>0</v>
      </c>
      <c r="O76" s="169">
        <v>0</v>
      </c>
      <c r="P76" s="169">
        <v>0</v>
      </c>
      <c r="Q76" s="169">
        <v>0</v>
      </c>
    </row>
    <row r="77" spans="1:25" x14ac:dyDescent="0.25">
      <c r="A77" s="102">
        <v>47</v>
      </c>
      <c r="B77" s="107" t="s">
        <v>1826</v>
      </c>
      <c r="C77" s="198" t="s">
        <v>1827</v>
      </c>
      <c r="D77" s="164">
        <v>187268</v>
      </c>
      <c r="E77" s="17"/>
      <c r="F77" s="168">
        <v>187268</v>
      </c>
      <c r="G77" s="169"/>
      <c r="H77" s="168">
        <v>0</v>
      </c>
      <c r="I77" s="164">
        <v>0</v>
      </c>
      <c r="J77" s="17"/>
      <c r="K77" s="17"/>
      <c r="L77" s="169">
        <v>0</v>
      </c>
      <c r="M77" s="169"/>
      <c r="N77" s="164">
        <v>0</v>
      </c>
      <c r="O77" s="169">
        <v>0</v>
      </c>
      <c r="P77" s="169">
        <v>0</v>
      </c>
      <c r="Q77" s="169">
        <v>0</v>
      </c>
    </row>
    <row r="78" spans="1:25" x14ac:dyDescent="0.25">
      <c r="A78" s="102">
        <v>48</v>
      </c>
      <c r="B78" s="99" t="s">
        <v>1337</v>
      </c>
      <c r="C78" s="192" t="s">
        <v>1338</v>
      </c>
      <c r="D78" s="164">
        <v>17920</v>
      </c>
      <c r="E78" s="17"/>
      <c r="F78" s="168">
        <v>0</v>
      </c>
      <c r="G78" s="171"/>
      <c r="H78" s="172">
        <v>17920</v>
      </c>
      <c r="I78" s="164">
        <v>0</v>
      </c>
      <c r="J78" s="17"/>
      <c r="K78" s="17"/>
      <c r="L78" s="169">
        <v>0</v>
      </c>
      <c r="M78" s="169"/>
      <c r="N78" s="164">
        <v>0</v>
      </c>
      <c r="O78" s="169">
        <v>0</v>
      </c>
      <c r="P78" s="169">
        <v>0</v>
      </c>
      <c r="Q78" s="169">
        <v>0</v>
      </c>
    </row>
    <row r="79" spans="1:25" x14ac:dyDescent="0.25">
      <c r="A79" s="102">
        <v>49</v>
      </c>
      <c r="B79" s="99" t="s">
        <v>1339</v>
      </c>
      <c r="C79" s="192" t="s">
        <v>1340</v>
      </c>
      <c r="D79" s="164">
        <v>0</v>
      </c>
      <c r="E79" s="17"/>
      <c r="F79" s="169">
        <v>0</v>
      </c>
      <c r="G79" s="171"/>
      <c r="H79" s="169">
        <v>0</v>
      </c>
      <c r="I79" s="164">
        <v>0</v>
      </c>
      <c r="J79" s="17"/>
      <c r="K79" s="17"/>
      <c r="L79" s="169">
        <v>0</v>
      </c>
      <c r="M79" s="169"/>
      <c r="N79" s="164">
        <v>0</v>
      </c>
      <c r="O79" s="169">
        <v>0</v>
      </c>
      <c r="P79" s="169">
        <v>0</v>
      </c>
      <c r="Q79" s="169">
        <v>0</v>
      </c>
    </row>
    <row r="80" spans="1:25" x14ac:dyDescent="0.25">
      <c r="A80" s="102">
        <v>50</v>
      </c>
      <c r="B80" s="99" t="s">
        <v>1341</v>
      </c>
      <c r="C80" s="192" t="s">
        <v>1342</v>
      </c>
      <c r="D80" s="164">
        <v>-91173</v>
      </c>
      <c r="E80" s="17"/>
      <c r="F80" s="169">
        <v>0</v>
      </c>
      <c r="G80" s="171"/>
      <c r="H80" s="168">
        <v>-91173</v>
      </c>
      <c r="I80" s="164">
        <v>0</v>
      </c>
      <c r="J80" s="17"/>
      <c r="K80" s="17"/>
      <c r="L80" s="169">
        <v>0</v>
      </c>
      <c r="M80" s="164"/>
      <c r="N80" s="164">
        <v>0</v>
      </c>
      <c r="O80" s="169">
        <v>0</v>
      </c>
      <c r="P80" s="169">
        <v>0</v>
      </c>
      <c r="Q80" s="169">
        <v>0</v>
      </c>
    </row>
    <row r="81" spans="1:20" x14ac:dyDescent="0.25">
      <c r="A81" s="102"/>
      <c r="C81" s="100"/>
      <c r="D81" s="17"/>
      <c r="E81" s="17"/>
      <c r="F81" s="169"/>
      <c r="G81" s="169"/>
      <c r="H81" s="169"/>
      <c r="I81" s="169"/>
      <c r="J81" s="17"/>
      <c r="K81" s="17"/>
      <c r="L81" s="169"/>
      <c r="M81" s="169"/>
      <c r="N81" s="17"/>
      <c r="O81" s="169"/>
      <c r="P81" s="169"/>
      <c r="Q81" s="169"/>
    </row>
    <row r="82" spans="1:20" x14ac:dyDescent="0.25">
      <c r="D82" s="17"/>
      <c r="E82" s="17"/>
      <c r="F82" s="17"/>
      <c r="G82" s="17"/>
      <c r="H82" s="17"/>
      <c r="I82" s="17"/>
      <c r="J82" s="17"/>
      <c r="K82" s="17"/>
      <c r="L82" s="17"/>
      <c r="M82" s="17"/>
      <c r="N82" s="17"/>
      <c r="O82" s="17"/>
      <c r="P82" s="17"/>
      <c r="Q82" s="17"/>
    </row>
    <row r="83" spans="1:20" x14ac:dyDescent="0.25">
      <c r="B83" s="199" t="s">
        <v>1343</v>
      </c>
      <c r="C83" s="100"/>
      <c r="D83" s="17"/>
      <c r="E83" s="17"/>
      <c r="F83" s="17"/>
      <c r="G83" s="17"/>
      <c r="H83" s="17"/>
      <c r="I83" s="17"/>
      <c r="J83" s="17"/>
      <c r="K83" s="17"/>
      <c r="L83" s="17"/>
      <c r="M83" s="17"/>
      <c r="N83" s="17"/>
      <c r="O83" s="17"/>
      <c r="P83" s="17"/>
      <c r="Q83" s="17"/>
    </row>
    <row r="84" spans="1:20" x14ac:dyDescent="0.25">
      <c r="B84" s="110" t="s">
        <v>1234</v>
      </c>
      <c r="C84" s="100"/>
      <c r="D84" s="169"/>
      <c r="E84" s="17"/>
      <c r="F84" s="169"/>
      <c r="G84" s="169"/>
      <c r="H84" s="169"/>
      <c r="I84" s="164"/>
      <c r="J84" s="169"/>
      <c r="K84" s="169"/>
      <c r="L84" s="169"/>
      <c r="M84" s="169"/>
      <c r="N84" s="164"/>
      <c r="O84" s="169"/>
      <c r="P84" s="169"/>
      <c r="Q84" s="169"/>
      <c r="R84" s="111"/>
      <c r="S84" s="111"/>
      <c r="T84" s="111"/>
    </row>
    <row r="85" spans="1:20" x14ac:dyDescent="0.25">
      <c r="A85" s="102">
        <v>1</v>
      </c>
      <c r="B85" s="99" t="s">
        <v>1344</v>
      </c>
      <c r="C85" s="192" t="s">
        <v>1343</v>
      </c>
      <c r="D85" s="164">
        <v>19849967.070999999</v>
      </c>
      <c r="E85" s="17"/>
      <c r="F85" s="168">
        <v>18679000.831</v>
      </c>
      <c r="G85" s="171"/>
      <c r="H85" s="168">
        <v>762018.04</v>
      </c>
      <c r="I85" s="164">
        <v>408948.2</v>
      </c>
      <c r="J85" s="17"/>
      <c r="K85" s="17"/>
      <c r="L85" s="168">
        <v>83.596999999999994</v>
      </c>
      <c r="M85" s="164"/>
      <c r="N85" s="164">
        <v>408864.603</v>
      </c>
      <c r="O85" s="168">
        <v>207052.166</v>
      </c>
      <c r="P85" s="168">
        <v>201812.43700000001</v>
      </c>
      <c r="Q85" s="17">
        <v>0</v>
      </c>
    </row>
    <row r="86" spans="1:20" ht="12.75" customHeight="1" x14ac:dyDescent="0.25">
      <c r="A86" s="102">
        <v>2</v>
      </c>
      <c r="B86" s="99" t="s">
        <v>1345</v>
      </c>
      <c r="C86" s="192" t="s">
        <v>1346</v>
      </c>
      <c r="D86" s="164">
        <v>19441102.467999998</v>
      </c>
      <c r="E86" s="17"/>
      <c r="F86" s="173">
        <v>18679000.831</v>
      </c>
      <c r="G86" s="169"/>
      <c r="H86" s="173">
        <v>762018.04</v>
      </c>
      <c r="I86" s="164">
        <v>83.596999999999994</v>
      </c>
      <c r="J86" s="17"/>
      <c r="K86" s="17"/>
      <c r="L86" s="169">
        <v>83.596999999999994</v>
      </c>
      <c r="M86" s="169"/>
      <c r="N86" s="164">
        <v>0</v>
      </c>
      <c r="O86" s="169">
        <v>0</v>
      </c>
      <c r="P86" s="169">
        <v>0</v>
      </c>
      <c r="Q86" s="169">
        <v>0</v>
      </c>
    </row>
    <row r="87" spans="1:20" x14ac:dyDescent="0.25">
      <c r="A87" s="104">
        <v>3</v>
      </c>
      <c r="B87" s="13"/>
      <c r="C87" s="103"/>
      <c r="D87" s="14"/>
      <c r="E87" s="14"/>
      <c r="F87" s="174"/>
      <c r="G87" s="174"/>
      <c r="H87" s="174"/>
      <c r="I87" s="174"/>
      <c r="J87" s="14"/>
      <c r="K87" s="14"/>
      <c r="L87" s="174"/>
      <c r="M87" s="174"/>
      <c r="N87" s="14"/>
      <c r="O87" s="174"/>
      <c r="P87" s="174"/>
      <c r="Q87" s="174"/>
    </row>
    <row r="88" spans="1:20" x14ac:dyDescent="0.25">
      <c r="A88" s="104">
        <v>4</v>
      </c>
      <c r="B88" s="13"/>
      <c r="C88" s="103"/>
      <c r="D88" s="14"/>
      <c r="E88" s="14"/>
      <c r="F88" s="14"/>
      <c r="G88" s="14"/>
      <c r="H88" s="14"/>
      <c r="I88" s="14"/>
      <c r="J88" s="14"/>
      <c r="K88" s="14"/>
      <c r="L88" s="14"/>
      <c r="M88" s="14"/>
      <c r="N88" s="14"/>
      <c r="O88" s="14"/>
      <c r="P88" s="14"/>
      <c r="Q88" s="14"/>
    </row>
    <row r="89" spans="1:20" x14ac:dyDescent="0.25">
      <c r="A89" s="13"/>
      <c r="B89" s="13"/>
      <c r="C89" s="103"/>
      <c r="D89" s="14"/>
      <c r="E89" s="14"/>
      <c r="F89" s="14"/>
      <c r="G89" s="14"/>
      <c r="H89" s="14"/>
      <c r="I89" s="14"/>
      <c r="J89" s="14"/>
      <c r="K89" s="14"/>
      <c r="L89" s="14"/>
      <c r="M89" s="14"/>
      <c r="N89" s="14"/>
      <c r="O89" s="14"/>
      <c r="P89" s="14"/>
      <c r="Q89" s="14"/>
    </row>
    <row r="90" spans="1:20" x14ac:dyDescent="0.25">
      <c r="A90" s="13"/>
      <c r="B90" s="195" t="s">
        <v>1347</v>
      </c>
      <c r="C90" s="103"/>
      <c r="D90" s="14"/>
      <c r="E90" s="14"/>
      <c r="F90" s="14"/>
      <c r="G90" s="14"/>
      <c r="H90" s="14"/>
      <c r="I90" s="14"/>
      <c r="J90" s="14"/>
      <c r="K90" s="14"/>
      <c r="L90" s="14"/>
      <c r="M90" s="14"/>
      <c r="N90" s="14"/>
      <c r="O90" s="14"/>
      <c r="P90" s="14"/>
      <c r="Q90" s="14"/>
    </row>
    <row r="91" spans="1:20" x14ac:dyDescent="0.25">
      <c r="A91" s="13"/>
      <c r="B91" s="200" t="s">
        <v>1234</v>
      </c>
      <c r="C91" s="103"/>
      <c r="D91" s="14"/>
      <c r="E91" s="14"/>
      <c r="F91" s="14"/>
      <c r="G91" s="14"/>
      <c r="H91" s="14"/>
      <c r="I91" s="14"/>
      <c r="J91" s="14"/>
      <c r="K91" s="14"/>
      <c r="L91" s="14"/>
      <c r="M91" s="14"/>
      <c r="N91" s="14"/>
      <c r="O91" s="14"/>
      <c r="P91" s="139"/>
      <c r="Q91" s="14"/>
    </row>
    <row r="92" spans="1:20" x14ac:dyDescent="0.25">
      <c r="A92" s="102">
        <v>1</v>
      </c>
      <c r="B92" s="107" t="s">
        <v>1828</v>
      </c>
      <c r="C92" s="192" t="s">
        <v>1349</v>
      </c>
      <c r="D92" s="164">
        <v>108672088.16153848</v>
      </c>
      <c r="E92" s="17"/>
      <c r="F92" s="175">
        <v>108672088.16153848</v>
      </c>
      <c r="G92" s="169"/>
      <c r="H92" s="176">
        <v>0</v>
      </c>
      <c r="I92" s="164">
        <v>0</v>
      </c>
      <c r="J92" s="17"/>
      <c r="K92" s="17"/>
      <c r="L92" s="169">
        <v>0</v>
      </c>
      <c r="M92" s="164"/>
      <c r="N92" s="164">
        <v>0</v>
      </c>
      <c r="O92" s="177">
        <v>0</v>
      </c>
      <c r="P92" s="177">
        <v>0</v>
      </c>
      <c r="Q92" s="177">
        <v>0</v>
      </c>
    </row>
    <row r="93" spans="1:20" x14ac:dyDescent="0.25">
      <c r="A93" s="102">
        <v>2</v>
      </c>
      <c r="B93" s="107" t="s">
        <v>1829</v>
      </c>
      <c r="C93" s="192" t="s">
        <v>1351</v>
      </c>
      <c r="D93" s="164">
        <v>78879628.828461438</v>
      </c>
      <c r="E93" s="17"/>
      <c r="F93" s="175">
        <v>78832320.828461438</v>
      </c>
      <c r="G93" s="169"/>
      <c r="H93" s="176">
        <v>0</v>
      </c>
      <c r="I93" s="164">
        <v>47308</v>
      </c>
      <c r="J93" s="17"/>
      <c r="K93" s="17"/>
      <c r="L93" s="169">
        <v>0</v>
      </c>
      <c r="M93" s="164"/>
      <c r="N93" s="164">
        <v>47308</v>
      </c>
      <c r="O93" s="168">
        <v>20456</v>
      </c>
      <c r="P93" s="168">
        <v>26852</v>
      </c>
      <c r="Q93" s="177">
        <v>0</v>
      </c>
    </row>
    <row r="94" spans="1:20" x14ac:dyDescent="0.25">
      <c r="A94" s="102">
        <v>3</v>
      </c>
      <c r="B94" s="107" t="s">
        <v>1830</v>
      </c>
      <c r="C94" s="192" t="s">
        <v>1353</v>
      </c>
      <c r="D94" s="164">
        <v>148818.36999999903</v>
      </c>
      <c r="E94" s="17"/>
      <c r="F94" s="175">
        <v>148818.36999999903</v>
      </c>
      <c r="G94" s="169"/>
      <c r="H94" s="176">
        <v>0</v>
      </c>
      <c r="I94" s="164">
        <v>0</v>
      </c>
      <c r="J94" s="17"/>
      <c r="K94" s="17"/>
      <c r="L94" s="169">
        <v>0</v>
      </c>
      <c r="M94" s="164"/>
      <c r="N94" s="164">
        <v>0</v>
      </c>
      <c r="O94" s="177">
        <v>0</v>
      </c>
      <c r="P94" s="177">
        <v>0</v>
      </c>
      <c r="Q94" s="177">
        <v>0</v>
      </c>
    </row>
    <row r="95" spans="1:20" x14ac:dyDescent="0.25">
      <c r="A95" s="102">
        <v>4</v>
      </c>
      <c r="B95" s="107" t="s">
        <v>1831</v>
      </c>
      <c r="C95" s="192" t="s">
        <v>1355</v>
      </c>
      <c r="D95" s="164">
        <v>127240903.38000001</v>
      </c>
      <c r="E95" s="17"/>
      <c r="F95" s="175">
        <v>127240903.38000001</v>
      </c>
      <c r="G95" s="169"/>
      <c r="H95" s="176">
        <v>0</v>
      </c>
      <c r="I95" s="164">
        <v>0</v>
      </c>
      <c r="J95" s="17"/>
      <c r="K95" s="17"/>
      <c r="L95" s="169">
        <v>0</v>
      </c>
      <c r="M95" s="164"/>
      <c r="N95" s="164">
        <v>0</v>
      </c>
      <c r="O95" s="177">
        <v>0</v>
      </c>
      <c r="P95" s="177">
        <v>0</v>
      </c>
      <c r="Q95" s="177">
        <v>0</v>
      </c>
    </row>
    <row r="96" spans="1:20" x14ac:dyDescent="0.25">
      <c r="A96" s="102">
        <v>5</v>
      </c>
      <c r="B96" s="99" t="s">
        <v>1356</v>
      </c>
      <c r="C96" s="192" t="s">
        <v>1357</v>
      </c>
      <c r="D96" s="164">
        <v>842195.92</v>
      </c>
      <c r="E96" s="17"/>
      <c r="F96" s="168">
        <v>817011.28</v>
      </c>
      <c r="G96" s="169"/>
      <c r="H96" s="168">
        <v>25184.639999999999</v>
      </c>
      <c r="I96" s="164">
        <v>0</v>
      </c>
      <c r="J96" s="17"/>
      <c r="K96" s="17"/>
      <c r="L96" s="169">
        <v>0</v>
      </c>
      <c r="M96" s="164"/>
      <c r="N96" s="164">
        <v>0</v>
      </c>
      <c r="O96" s="177">
        <v>0</v>
      </c>
      <c r="P96" s="177">
        <v>0</v>
      </c>
      <c r="Q96" s="177">
        <v>0</v>
      </c>
    </row>
    <row r="97" spans="1:17" x14ac:dyDescent="0.25">
      <c r="A97" s="102">
        <v>6</v>
      </c>
      <c r="B97" s="99" t="s">
        <v>1358</v>
      </c>
      <c r="C97" s="192" t="s">
        <v>1359</v>
      </c>
      <c r="D97" s="164">
        <v>30584515.170000002</v>
      </c>
      <c r="E97" s="17"/>
      <c r="F97" s="168">
        <v>28891349.09</v>
      </c>
      <c r="G97" s="169"/>
      <c r="H97" s="168">
        <v>1693166.07</v>
      </c>
      <c r="I97" s="164">
        <v>0.01</v>
      </c>
      <c r="J97" s="17"/>
      <c r="K97" s="17"/>
      <c r="L97" s="169">
        <v>0</v>
      </c>
      <c r="M97" s="164"/>
      <c r="N97" s="164">
        <v>0.01</v>
      </c>
      <c r="O97" s="168">
        <v>0.01</v>
      </c>
      <c r="P97" s="177">
        <v>0</v>
      </c>
      <c r="Q97" s="177">
        <v>0</v>
      </c>
    </row>
    <row r="98" spans="1:17" x14ac:dyDescent="0.25">
      <c r="A98" s="102">
        <v>7</v>
      </c>
      <c r="B98" s="99" t="s">
        <v>1360</v>
      </c>
      <c r="C98" s="192" t="s">
        <v>1361</v>
      </c>
      <c r="D98" s="164">
        <v>758905</v>
      </c>
      <c r="E98" s="17"/>
      <c r="F98" s="168">
        <v>720984</v>
      </c>
      <c r="G98" s="169"/>
      <c r="H98" s="168">
        <v>37704</v>
      </c>
      <c r="I98" s="164">
        <v>217</v>
      </c>
      <c r="J98" s="17"/>
      <c r="K98" s="17"/>
      <c r="L98" s="168">
        <v>5</v>
      </c>
      <c r="M98" s="164"/>
      <c r="N98" s="164">
        <v>212</v>
      </c>
      <c r="O98" s="168">
        <v>85</v>
      </c>
      <c r="P98" s="168">
        <v>127</v>
      </c>
      <c r="Q98" s="177">
        <v>0</v>
      </c>
    </row>
    <row r="99" spans="1:17" x14ac:dyDescent="0.25">
      <c r="A99" s="102">
        <v>8</v>
      </c>
      <c r="B99" s="99" t="s">
        <v>1362</v>
      </c>
      <c r="C99" s="192" t="s">
        <v>1363</v>
      </c>
      <c r="D99" s="164">
        <v>758905</v>
      </c>
      <c r="E99" s="17"/>
      <c r="F99" s="17">
        <v>720984</v>
      </c>
      <c r="G99" s="169"/>
      <c r="H99" s="164">
        <v>37704</v>
      </c>
      <c r="I99" s="164">
        <v>217</v>
      </c>
      <c r="J99" s="17"/>
      <c r="K99" s="17"/>
      <c r="L99" s="173">
        <v>5</v>
      </c>
      <c r="M99" s="164"/>
      <c r="N99" s="164">
        <v>212</v>
      </c>
      <c r="O99" s="17">
        <v>85</v>
      </c>
      <c r="P99" s="17">
        <v>127</v>
      </c>
      <c r="Q99" s="17">
        <v>0</v>
      </c>
    </row>
    <row r="100" spans="1:17" x14ac:dyDescent="0.25">
      <c r="A100" s="102">
        <v>9</v>
      </c>
      <c r="B100" s="99" t="s">
        <v>1364</v>
      </c>
      <c r="C100" s="192" t="s">
        <v>1365</v>
      </c>
      <c r="D100" s="164">
        <v>758905</v>
      </c>
      <c r="E100" s="17"/>
      <c r="F100" s="17">
        <v>720984</v>
      </c>
      <c r="G100" s="169"/>
      <c r="H100" s="164">
        <v>37704</v>
      </c>
      <c r="I100" s="164">
        <v>217</v>
      </c>
      <c r="J100" s="17"/>
      <c r="K100" s="17"/>
      <c r="L100" s="173">
        <v>5</v>
      </c>
      <c r="M100" s="164"/>
      <c r="N100" s="164">
        <v>212</v>
      </c>
      <c r="O100" s="17">
        <v>85</v>
      </c>
      <c r="P100" s="17">
        <v>127</v>
      </c>
      <c r="Q100" s="17">
        <v>0</v>
      </c>
    </row>
    <row r="101" spans="1:17" x14ac:dyDescent="0.25">
      <c r="A101" s="102">
        <v>10</v>
      </c>
      <c r="B101" s="99" t="s">
        <v>1366</v>
      </c>
      <c r="C101" s="192" t="s">
        <v>1367</v>
      </c>
      <c r="D101" s="164">
        <v>5852947.5299999993</v>
      </c>
      <c r="E101" s="17"/>
      <c r="F101" s="177">
        <v>0</v>
      </c>
      <c r="G101" s="169"/>
      <c r="H101" s="178">
        <v>5852947.5299999993</v>
      </c>
      <c r="I101" s="164">
        <v>0</v>
      </c>
      <c r="J101" s="17"/>
      <c r="K101" s="17"/>
      <c r="L101" s="169">
        <v>0</v>
      </c>
      <c r="M101" s="164"/>
      <c r="N101" s="164">
        <v>0</v>
      </c>
      <c r="O101" s="177">
        <v>0</v>
      </c>
      <c r="P101" s="177">
        <v>0</v>
      </c>
      <c r="Q101" s="177">
        <v>0</v>
      </c>
    </row>
    <row r="102" spans="1:17" x14ac:dyDescent="0.25">
      <c r="A102" s="102">
        <v>11</v>
      </c>
      <c r="B102" s="99" t="s">
        <v>1368</v>
      </c>
      <c r="C102" s="192" t="s">
        <v>1369</v>
      </c>
      <c r="D102" s="164">
        <v>3783545.2</v>
      </c>
      <c r="E102" s="17"/>
      <c r="F102" s="177">
        <v>0</v>
      </c>
      <c r="G102" s="169"/>
      <c r="H102" s="178">
        <v>3783545.2</v>
      </c>
      <c r="I102" s="164">
        <v>0</v>
      </c>
      <c r="J102" s="17"/>
      <c r="K102" s="17"/>
      <c r="L102" s="169">
        <v>0</v>
      </c>
      <c r="M102" s="164"/>
      <c r="N102" s="164">
        <v>0</v>
      </c>
      <c r="O102" s="177">
        <v>0</v>
      </c>
      <c r="P102" s="177">
        <v>0</v>
      </c>
      <c r="Q102" s="177">
        <v>0</v>
      </c>
    </row>
    <row r="103" spans="1:17" x14ac:dyDescent="0.25">
      <c r="A103" s="102">
        <v>12</v>
      </c>
      <c r="B103" s="107" t="s">
        <v>1832</v>
      </c>
      <c r="C103" s="192" t="s">
        <v>1371</v>
      </c>
      <c r="D103" s="164">
        <v>0</v>
      </c>
      <c r="E103" s="17"/>
      <c r="F103" s="177">
        <v>0</v>
      </c>
      <c r="G103" s="169"/>
      <c r="H103" s="178">
        <v>0</v>
      </c>
      <c r="I103" s="164">
        <v>0</v>
      </c>
      <c r="J103" s="17"/>
      <c r="K103" s="17"/>
      <c r="L103" s="169">
        <v>0</v>
      </c>
      <c r="M103" s="164"/>
      <c r="N103" s="164">
        <v>0</v>
      </c>
      <c r="O103" s="177">
        <v>0</v>
      </c>
      <c r="P103" s="177">
        <v>0</v>
      </c>
      <c r="Q103" s="177">
        <v>0</v>
      </c>
    </row>
    <row r="104" spans="1:17" x14ac:dyDescent="0.25">
      <c r="A104" s="102">
        <v>13</v>
      </c>
      <c r="B104" s="99" t="s">
        <v>1372</v>
      </c>
      <c r="C104" s="192" t="s">
        <v>1373</v>
      </c>
      <c r="D104" s="164">
        <v>4004097.9446153841</v>
      </c>
      <c r="E104" s="17"/>
      <c r="F104" s="177">
        <v>0</v>
      </c>
      <c r="G104" s="169"/>
      <c r="H104" s="178">
        <v>4004097.9446153841</v>
      </c>
      <c r="I104" s="164">
        <v>0</v>
      </c>
      <c r="J104" s="17"/>
      <c r="K104" s="17"/>
      <c r="L104" s="169">
        <v>0</v>
      </c>
      <c r="M104" s="164"/>
      <c r="N104" s="164">
        <v>0</v>
      </c>
      <c r="O104" s="177">
        <v>0</v>
      </c>
      <c r="P104" s="177">
        <v>0</v>
      </c>
      <c r="Q104" s="177">
        <v>0</v>
      </c>
    </row>
    <row r="105" spans="1:17" x14ac:dyDescent="0.25">
      <c r="A105" s="102">
        <v>14</v>
      </c>
      <c r="B105" s="99" t="s">
        <v>1374</v>
      </c>
      <c r="C105" s="192" t="s">
        <v>1375</v>
      </c>
      <c r="D105" s="164">
        <v>522514</v>
      </c>
      <c r="E105" s="17"/>
      <c r="F105" s="168">
        <v>522514</v>
      </c>
      <c r="G105" s="176"/>
      <c r="H105" s="176">
        <v>0</v>
      </c>
      <c r="I105" s="164">
        <v>0</v>
      </c>
      <c r="J105" s="17"/>
      <c r="K105" s="17"/>
      <c r="L105" s="176">
        <v>0</v>
      </c>
      <c r="M105" s="164"/>
      <c r="N105" s="164">
        <v>0</v>
      </c>
      <c r="O105" s="177">
        <v>0</v>
      </c>
      <c r="P105" s="177">
        <v>0</v>
      </c>
      <c r="Q105" s="177">
        <v>0</v>
      </c>
    </row>
    <row r="106" spans="1:17" x14ac:dyDescent="0.25">
      <c r="A106" s="102">
        <v>15</v>
      </c>
      <c r="B106" s="99" t="s">
        <v>1376</v>
      </c>
      <c r="C106" s="192" t="s">
        <v>1377</v>
      </c>
      <c r="D106" s="164">
        <v>550637</v>
      </c>
      <c r="E106" s="17"/>
      <c r="F106" s="168">
        <v>522511</v>
      </c>
      <c r="G106" s="176"/>
      <c r="H106" s="168">
        <v>28123</v>
      </c>
      <c r="I106" s="164">
        <v>3</v>
      </c>
      <c r="J106" s="17"/>
      <c r="K106" s="17"/>
      <c r="L106" s="179">
        <v>3</v>
      </c>
      <c r="M106" s="164"/>
      <c r="N106" s="164">
        <v>0</v>
      </c>
      <c r="O106" s="177">
        <v>0</v>
      </c>
      <c r="P106" s="177">
        <v>0</v>
      </c>
      <c r="Q106" s="177">
        <v>0</v>
      </c>
    </row>
    <row r="107" spans="1:17" x14ac:dyDescent="0.25">
      <c r="A107" s="102">
        <v>16</v>
      </c>
      <c r="B107" s="99" t="s">
        <v>1378</v>
      </c>
      <c r="C107" s="192" t="s">
        <v>1379</v>
      </c>
      <c r="D107" s="164">
        <v>550637</v>
      </c>
      <c r="E107" s="17"/>
      <c r="F107" s="17">
        <v>522511</v>
      </c>
      <c r="G107" s="169"/>
      <c r="H107" s="164">
        <v>28123</v>
      </c>
      <c r="I107" s="164">
        <v>3</v>
      </c>
      <c r="J107" s="17"/>
      <c r="K107" s="17"/>
      <c r="L107" s="173">
        <v>3</v>
      </c>
      <c r="M107" s="164"/>
      <c r="N107" s="164">
        <v>0</v>
      </c>
      <c r="O107" s="177">
        <v>0</v>
      </c>
      <c r="P107" s="177">
        <v>0</v>
      </c>
      <c r="Q107" s="177">
        <v>0</v>
      </c>
    </row>
    <row r="108" spans="1:17" x14ac:dyDescent="0.25">
      <c r="A108" s="102">
        <v>17</v>
      </c>
      <c r="B108" s="99" t="s">
        <v>1380</v>
      </c>
      <c r="C108" s="192" t="s">
        <v>1381</v>
      </c>
      <c r="D108" s="164">
        <v>550637</v>
      </c>
      <c r="E108" s="17"/>
      <c r="F108" s="17">
        <v>522511</v>
      </c>
      <c r="G108" s="169"/>
      <c r="H108" s="164">
        <v>28123</v>
      </c>
      <c r="I108" s="164">
        <v>3</v>
      </c>
      <c r="J108" s="17"/>
      <c r="K108" s="17"/>
      <c r="L108" s="173">
        <v>3</v>
      </c>
      <c r="M108" s="164"/>
      <c r="N108" s="164">
        <v>0</v>
      </c>
      <c r="O108" s="177">
        <v>0</v>
      </c>
      <c r="P108" s="177">
        <v>0</v>
      </c>
      <c r="Q108" s="177">
        <v>0</v>
      </c>
    </row>
    <row r="109" spans="1:17" x14ac:dyDescent="0.25">
      <c r="A109" s="102">
        <v>18</v>
      </c>
      <c r="B109" s="99" t="s">
        <v>1382</v>
      </c>
      <c r="C109" s="192" t="s">
        <v>1383</v>
      </c>
      <c r="D109" s="164">
        <v>0</v>
      </c>
      <c r="E109" s="17"/>
      <c r="F109" s="177">
        <v>0</v>
      </c>
      <c r="G109" s="169"/>
      <c r="H109" s="176">
        <v>0</v>
      </c>
      <c r="I109" s="164">
        <v>0</v>
      </c>
      <c r="J109" s="17"/>
      <c r="K109" s="17"/>
      <c r="L109" s="169">
        <v>0</v>
      </c>
      <c r="M109" s="164"/>
      <c r="N109" s="164">
        <v>0</v>
      </c>
      <c r="O109" s="177">
        <v>0</v>
      </c>
      <c r="P109" s="177">
        <v>0</v>
      </c>
      <c r="Q109" s="177">
        <v>0</v>
      </c>
    </row>
    <row r="110" spans="1:17" x14ac:dyDescent="0.25">
      <c r="A110" s="102">
        <v>19</v>
      </c>
      <c r="B110" s="99" t="s">
        <v>1384</v>
      </c>
      <c r="C110" s="192" t="s">
        <v>1385</v>
      </c>
      <c r="D110" s="164">
        <v>435510.91000000003</v>
      </c>
      <c r="E110" s="17"/>
      <c r="F110" s="168">
        <v>413608.63</v>
      </c>
      <c r="G110" s="169"/>
      <c r="H110" s="168">
        <v>21902.28</v>
      </c>
      <c r="I110" s="164">
        <v>0</v>
      </c>
      <c r="J110" s="17"/>
      <c r="K110" s="17"/>
      <c r="L110" s="169">
        <v>0</v>
      </c>
      <c r="M110" s="164"/>
      <c r="N110" s="164">
        <v>0</v>
      </c>
      <c r="O110" s="177">
        <v>0</v>
      </c>
      <c r="P110" s="177">
        <v>0</v>
      </c>
      <c r="Q110" s="177">
        <v>0</v>
      </c>
    </row>
    <row r="111" spans="1:17" x14ac:dyDescent="0.25">
      <c r="A111" s="102">
        <v>20</v>
      </c>
      <c r="B111" s="99" t="s">
        <v>1728</v>
      </c>
      <c r="C111" s="198" t="s">
        <v>1833</v>
      </c>
      <c r="D111" s="164">
        <v>4283361.5500000007</v>
      </c>
      <c r="E111" s="17"/>
      <c r="F111" s="168">
        <v>4111497.58</v>
      </c>
      <c r="G111" s="169"/>
      <c r="H111" s="168">
        <v>171764.07</v>
      </c>
      <c r="I111" s="164">
        <v>99.9</v>
      </c>
      <c r="J111" s="17"/>
      <c r="K111" s="17"/>
      <c r="L111" s="168">
        <v>0</v>
      </c>
      <c r="M111" s="169"/>
      <c r="N111" s="164">
        <v>99.9</v>
      </c>
      <c r="O111" s="168">
        <v>6.23</v>
      </c>
      <c r="P111" s="168">
        <v>93.67</v>
      </c>
      <c r="Q111" s="169">
        <v>0</v>
      </c>
    </row>
    <row r="112" spans="1:17" x14ac:dyDescent="0.25">
      <c r="A112" s="104">
        <v>21</v>
      </c>
      <c r="B112" s="13"/>
      <c r="C112" s="13"/>
      <c r="D112" s="14"/>
      <c r="E112" s="14"/>
      <c r="F112" s="14"/>
      <c r="G112" s="14"/>
      <c r="H112" s="14"/>
      <c r="I112" s="14"/>
      <c r="J112" s="14"/>
      <c r="K112" s="14"/>
      <c r="L112" s="14"/>
      <c r="M112" s="14"/>
      <c r="N112" s="14"/>
      <c r="O112" s="14"/>
      <c r="P112" s="14"/>
      <c r="Q112" s="14"/>
    </row>
    <row r="113" spans="1:17" x14ac:dyDescent="0.25">
      <c r="A113" s="104">
        <v>22</v>
      </c>
      <c r="B113" s="13"/>
      <c r="C113" s="13"/>
      <c r="D113" s="14"/>
      <c r="E113" s="14"/>
      <c r="F113" s="14"/>
      <c r="G113" s="14"/>
      <c r="H113" s="14"/>
      <c r="I113" s="14"/>
      <c r="J113" s="14"/>
      <c r="K113" s="14"/>
      <c r="L113" s="14"/>
      <c r="M113" s="14"/>
      <c r="N113" s="14"/>
      <c r="O113" s="14"/>
      <c r="P113" s="14"/>
      <c r="Q113" s="14"/>
    </row>
    <row r="114" spans="1:17" x14ac:dyDescent="0.25">
      <c r="A114" s="104">
        <v>23</v>
      </c>
      <c r="B114" s="13"/>
      <c r="C114" s="13"/>
      <c r="D114" s="14"/>
      <c r="E114" s="14"/>
      <c r="F114" s="14"/>
      <c r="G114" s="14"/>
      <c r="H114" s="14"/>
      <c r="I114" s="14"/>
      <c r="J114" s="14"/>
      <c r="K114" s="14"/>
      <c r="L114" s="14"/>
      <c r="M114" s="14"/>
      <c r="N114" s="14"/>
      <c r="O114" s="14"/>
      <c r="P114" s="14"/>
      <c r="Q114" s="14"/>
    </row>
    <row r="115" spans="1:17" x14ac:dyDescent="0.25">
      <c r="A115" s="104">
        <v>24</v>
      </c>
      <c r="B115" s="13"/>
      <c r="C115" s="13"/>
      <c r="D115" s="14"/>
      <c r="E115" s="14"/>
      <c r="F115" s="14"/>
      <c r="G115" s="14"/>
      <c r="H115" s="14"/>
      <c r="I115" s="14"/>
      <c r="J115" s="14"/>
      <c r="K115" s="14"/>
      <c r="L115" s="14"/>
      <c r="M115" s="14"/>
      <c r="N115" s="14"/>
      <c r="O115" s="14"/>
      <c r="P115" s="14"/>
      <c r="Q115" s="14"/>
    </row>
    <row r="116" spans="1:17" x14ac:dyDescent="0.25">
      <c r="A116" s="104">
        <v>25</v>
      </c>
      <c r="B116" s="13"/>
      <c r="C116" s="13"/>
      <c r="D116" s="14"/>
      <c r="E116" s="14"/>
      <c r="F116" s="14"/>
      <c r="G116" s="14"/>
      <c r="H116" s="14"/>
      <c r="I116" s="14"/>
      <c r="J116" s="14"/>
      <c r="K116" s="14"/>
      <c r="L116" s="14"/>
      <c r="M116" s="14"/>
      <c r="N116" s="14"/>
      <c r="O116" s="14"/>
      <c r="P116" s="14"/>
      <c r="Q116" s="14"/>
    </row>
    <row r="117" spans="1:17" x14ac:dyDescent="0.25">
      <c r="A117" s="13"/>
      <c r="B117" s="13"/>
      <c r="C117" s="103"/>
      <c r="D117" s="14"/>
      <c r="E117" s="14"/>
      <c r="F117" s="14"/>
      <c r="G117" s="14"/>
      <c r="H117" s="14"/>
      <c r="I117" s="14"/>
      <c r="J117" s="14"/>
      <c r="K117" s="14"/>
      <c r="L117" s="14"/>
      <c r="M117" s="14"/>
      <c r="N117" s="14"/>
      <c r="O117" s="14"/>
      <c r="P117" s="14"/>
      <c r="Q117" s="14"/>
    </row>
    <row r="118" spans="1:17" x14ac:dyDescent="0.25">
      <c r="A118" s="13"/>
      <c r="B118" s="201" t="s">
        <v>1386</v>
      </c>
      <c r="C118" s="103"/>
      <c r="D118" s="14"/>
      <c r="E118" s="14"/>
      <c r="F118" s="14"/>
      <c r="G118" s="14"/>
      <c r="H118" s="14"/>
      <c r="I118" s="14"/>
      <c r="J118" s="14"/>
      <c r="K118" s="14"/>
      <c r="L118" s="14"/>
      <c r="M118" s="14"/>
      <c r="N118" s="14"/>
      <c r="O118" s="14"/>
      <c r="P118" s="14"/>
      <c r="Q118" s="14"/>
    </row>
    <row r="119" spans="1:17" x14ac:dyDescent="0.25">
      <c r="A119" s="13"/>
      <c r="B119" s="200" t="s">
        <v>1234</v>
      </c>
      <c r="C119" s="103"/>
      <c r="D119" s="14"/>
      <c r="E119" s="14"/>
      <c r="F119" s="14"/>
      <c r="G119" s="14"/>
      <c r="H119" s="14"/>
      <c r="I119" s="14"/>
      <c r="J119" s="14"/>
      <c r="K119" s="14"/>
      <c r="L119" s="14"/>
      <c r="M119" s="14"/>
      <c r="N119" s="14"/>
      <c r="O119" s="14"/>
      <c r="P119" s="14"/>
      <c r="Q119" s="14"/>
    </row>
    <row r="120" spans="1:17" x14ac:dyDescent="0.25">
      <c r="A120" s="104">
        <v>1</v>
      </c>
      <c r="B120" s="193" t="s">
        <v>1387</v>
      </c>
      <c r="C120" s="194" t="s">
        <v>1388</v>
      </c>
      <c r="D120" s="139">
        <v>9982691481.2630672</v>
      </c>
      <c r="E120" s="14"/>
      <c r="F120" s="139">
        <v>9333832346.8574429</v>
      </c>
      <c r="G120" s="14"/>
      <c r="H120" s="139">
        <v>503717794.94163316</v>
      </c>
      <c r="I120" s="139">
        <v>145141339.46399072</v>
      </c>
      <c r="J120" s="14"/>
      <c r="K120" s="14"/>
      <c r="L120" s="139">
        <v>704779.63610872708</v>
      </c>
      <c r="M120" s="139"/>
      <c r="N120" s="139">
        <v>144436559.82788199</v>
      </c>
      <c r="O120" s="139">
        <v>75070448.282067373</v>
      </c>
      <c r="P120" s="139">
        <v>69366111.545814604</v>
      </c>
      <c r="Q120" s="139">
        <v>1.492857646873528E-11</v>
      </c>
    </row>
    <row r="121" spans="1:17" x14ac:dyDescent="0.25">
      <c r="A121" s="104">
        <v>2</v>
      </c>
      <c r="B121" s="193" t="s">
        <v>1389</v>
      </c>
      <c r="C121" s="194" t="s">
        <v>1390</v>
      </c>
      <c r="D121" s="139">
        <v>9333832346.8574429</v>
      </c>
      <c r="E121" s="14"/>
      <c r="F121" s="139">
        <v>9333832346.8574429</v>
      </c>
      <c r="G121" s="170"/>
      <c r="H121" s="170">
        <v>0</v>
      </c>
      <c r="I121" s="139">
        <v>0</v>
      </c>
      <c r="J121" s="14"/>
      <c r="K121" s="14"/>
      <c r="L121" s="170">
        <v>0</v>
      </c>
      <c r="M121" s="170"/>
      <c r="N121" s="139">
        <v>0</v>
      </c>
      <c r="O121" s="170">
        <v>0</v>
      </c>
      <c r="P121" s="170">
        <v>0</v>
      </c>
      <c r="Q121" s="170">
        <v>0</v>
      </c>
    </row>
    <row r="122" spans="1:17" x14ac:dyDescent="0.25">
      <c r="A122" s="104">
        <v>3</v>
      </c>
      <c r="B122" s="193" t="s">
        <v>1391</v>
      </c>
      <c r="C122" s="194" t="s">
        <v>1392</v>
      </c>
      <c r="D122" s="139">
        <v>178867174.00000003</v>
      </c>
      <c r="E122" s="14"/>
      <c r="F122" s="139">
        <v>168260109.9768514</v>
      </c>
      <c r="G122" s="14"/>
      <c r="H122" s="139">
        <v>8464821.4795001671</v>
      </c>
      <c r="I122" s="139">
        <v>2142242.5436484446</v>
      </c>
      <c r="J122" s="14"/>
      <c r="K122" s="14"/>
      <c r="L122" s="139">
        <v>12359.583518376177</v>
      </c>
      <c r="M122" s="139"/>
      <c r="N122" s="139">
        <v>2129882.9601300685</v>
      </c>
      <c r="O122" s="139">
        <v>1110167.0878836387</v>
      </c>
      <c r="P122" s="139">
        <v>1019715.8722464296</v>
      </c>
      <c r="Q122" s="139">
        <v>9.533895433979988E-12</v>
      </c>
    </row>
    <row r="123" spans="1:17" x14ac:dyDescent="0.25">
      <c r="A123" s="104">
        <v>4</v>
      </c>
      <c r="B123" s="193" t="s">
        <v>1393</v>
      </c>
      <c r="C123" s="194" t="s">
        <v>1394</v>
      </c>
      <c r="D123" s="139">
        <v>5421398465.8176842</v>
      </c>
      <c r="E123" s="14"/>
      <c r="F123" s="139">
        <v>5082105831.1851997</v>
      </c>
      <c r="G123" s="14"/>
      <c r="H123" s="139">
        <v>232715880.35732752</v>
      </c>
      <c r="I123" s="139">
        <v>106576754.27515653</v>
      </c>
      <c r="J123" s="14"/>
      <c r="K123" s="14"/>
      <c r="L123" s="139">
        <v>16312.851740338956</v>
      </c>
      <c r="M123" s="139"/>
      <c r="N123" s="139">
        <v>106560441.42341618</v>
      </c>
      <c r="O123" s="139">
        <v>54044477.815742977</v>
      </c>
      <c r="P123" s="139">
        <v>52515963.607673205</v>
      </c>
      <c r="Q123" s="139">
        <v>0</v>
      </c>
    </row>
    <row r="124" spans="1:17" x14ac:dyDescent="0.25">
      <c r="A124" s="104">
        <v>5</v>
      </c>
      <c r="B124" s="196" t="s">
        <v>1395</v>
      </c>
      <c r="C124" s="197" t="s">
        <v>1396</v>
      </c>
      <c r="D124" s="139">
        <v>113366614.00000001</v>
      </c>
      <c r="E124" s="14"/>
      <c r="F124" s="139">
        <v>106643821.29357767</v>
      </c>
      <c r="G124" s="14"/>
      <c r="H124" s="139">
        <v>5365032.2067782236</v>
      </c>
      <c r="I124" s="139">
        <v>1357760.4996441177</v>
      </c>
      <c r="J124" s="14"/>
      <c r="K124" s="14"/>
      <c r="L124" s="139">
        <v>7833.5454325929823</v>
      </c>
      <c r="M124" s="139"/>
      <c r="N124" s="139">
        <v>1349926.9542115247</v>
      </c>
      <c r="O124" s="139">
        <v>703627.61882517661</v>
      </c>
      <c r="P124" s="139">
        <v>646299.33538634819</v>
      </c>
      <c r="Q124" s="139">
        <v>0</v>
      </c>
    </row>
    <row r="125" spans="1:17" x14ac:dyDescent="0.25">
      <c r="A125" s="104">
        <v>6</v>
      </c>
      <c r="B125" s="193" t="s">
        <v>1397</v>
      </c>
      <c r="C125" s="194" t="s">
        <v>1398</v>
      </c>
      <c r="D125" s="139">
        <v>43765641.354615375</v>
      </c>
      <c r="E125" s="14"/>
      <c r="F125" s="139">
        <v>41026613.803843349</v>
      </c>
      <c r="G125" s="14"/>
      <c r="H125" s="139">
        <v>1878659.1359147087</v>
      </c>
      <c r="I125" s="139">
        <v>860368.41485732084</v>
      </c>
      <c r="J125" s="14"/>
      <c r="K125" s="14"/>
      <c r="L125" s="139">
        <v>131.68971497670719</v>
      </c>
      <c r="M125" s="139"/>
      <c r="N125" s="139">
        <v>860236.72514234413</v>
      </c>
      <c r="O125" s="139">
        <v>436288.02571783081</v>
      </c>
      <c r="P125" s="139">
        <v>423948.69942451332</v>
      </c>
      <c r="Q125" s="139">
        <v>0</v>
      </c>
    </row>
    <row r="126" spans="1:17" x14ac:dyDescent="0.25">
      <c r="A126" s="104">
        <v>7</v>
      </c>
      <c r="B126" s="193" t="s">
        <v>1399</v>
      </c>
      <c r="C126" s="194" t="s">
        <v>1400</v>
      </c>
      <c r="D126" s="139">
        <v>1064371425.4423062</v>
      </c>
      <c r="E126" s="14"/>
      <c r="F126" s="139">
        <v>997758836.92979872</v>
      </c>
      <c r="G126" s="14"/>
      <c r="H126" s="139">
        <v>45688605.045493744</v>
      </c>
      <c r="I126" s="139">
        <v>20923983.46701372</v>
      </c>
      <c r="J126" s="14"/>
      <c r="K126" s="14"/>
      <c r="L126" s="139">
        <v>3202.6668708024608</v>
      </c>
      <c r="M126" s="139"/>
      <c r="N126" s="139">
        <v>20920780.800142918</v>
      </c>
      <c r="O126" s="139">
        <v>10610435.342968555</v>
      </c>
      <c r="P126" s="139">
        <v>10310345.457174363</v>
      </c>
      <c r="Q126" s="139">
        <v>0</v>
      </c>
    </row>
    <row r="127" spans="1:17" x14ac:dyDescent="0.25">
      <c r="A127" s="104">
        <v>8</v>
      </c>
      <c r="B127" s="193" t="s">
        <v>1401</v>
      </c>
      <c r="C127" s="194" t="s">
        <v>1402</v>
      </c>
      <c r="D127" s="139">
        <v>1073901674.299999</v>
      </c>
      <c r="E127" s="14"/>
      <c r="F127" s="139">
        <v>1025412885.8886671</v>
      </c>
      <c r="G127" s="14"/>
      <c r="H127" s="139">
        <v>47752174.953126453</v>
      </c>
      <c r="I127" s="139">
        <v>736613.45820547431</v>
      </c>
      <c r="J127" s="14"/>
      <c r="K127" s="14"/>
      <c r="L127" s="139">
        <v>3283.1438729639744</v>
      </c>
      <c r="M127" s="139"/>
      <c r="N127" s="139">
        <v>733330.31433251034</v>
      </c>
      <c r="O127" s="139">
        <v>371924.64084374672</v>
      </c>
      <c r="P127" s="139">
        <v>361405.67348876363</v>
      </c>
      <c r="Q127" s="139">
        <v>0</v>
      </c>
    </row>
    <row r="128" spans="1:17" x14ac:dyDescent="0.25">
      <c r="A128" s="104">
        <v>9</v>
      </c>
      <c r="B128" s="193" t="s">
        <v>1403</v>
      </c>
      <c r="C128" s="194" t="s">
        <v>1404</v>
      </c>
      <c r="D128" s="139">
        <v>59776474.179230765</v>
      </c>
      <c r="E128" s="14"/>
      <c r="F128" s="139">
        <v>0</v>
      </c>
      <c r="G128" s="14"/>
      <c r="H128" s="139">
        <v>59776474.179230765</v>
      </c>
      <c r="I128" s="139">
        <v>0</v>
      </c>
      <c r="J128" s="14"/>
      <c r="K128" s="14"/>
      <c r="L128" s="139">
        <v>0</v>
      </c>
      <c r="M128" s="139"/>
      <c r="N128" s="139">
        <v>0</v>
      </c>
      <c r="O128" s="139">
        <v>0</v>
      </c>
      <c r="P128" s="139">
        <v>0</v>
      </c>
      <c r="Q128" s="139">
        <v>0</v>
      </c>
    </row>
    <row r="129" spans="1:17" x14ac:dyDescent="0.25">
      <c r="A129" s="104">
        <v>10</v>
      </c>
      <c r="B129" s="193" t="s">
        <v>1405</v>
      </c>
      <c r="C129" s="194" t="s">
        <v>1406</v>
      </c>
      <c r="D129" s="139">
        <v>68006903.589230776</v>
      </c>
      <c r="E129" s="14"/>
      <c r="F129" s="139">
        <v>8230402.9915529564</v>
      </c>
      <c r="G129" s="14"/>
      <c r="H129" s="139">
        <v>59776474.179230765</v>
      </c>
      <c r="I129" s="139">
        <v>26.418447042283358</v>
      </c>
      <c r="J129" s="14"/>
      <c r="K129" s="14"/>
      <c r="L129" s="139">
        <v>26.418447042283358</v>
      </c>
      <c r="M129" s="139"/>
      <c r="N129" s="139">
        <v>0</v>
      </c>
      <c r="O129" s="139">
        <v>0</v>
      </c>
      <c r="P129" s="139">
        <v>0</v>
      </c>
      <c r="Q129" s="139">
        <v>0</v>
      </c>
    </row>
    <row r="130" spans="1:17" x14ac:dyDescent="0.25">
      <c r="A130" s="104">
        <v>11</v>
      </c>
      <c r="B130" s="193" t="s">
        <v>1407</v>
      </c>
      <c r="C130" s="194" t="s">
        <v>1408</v>
      </c>
      <c r="D130" s="139">
        <v>2034553849.1523063</v>
      </c>
      <c r="E130" s="14"/>
      <c r="F130" s="139">
        <v>1930555243.6338449</v>
      </c>
      <c r="G130" s="14"/>
      <c r="H130" s="139">
        <v>99667059.118461341</v>
      </c>
      <c r="I130" s="139">
        <v>4331546.3999999994</v>
      </c>
      <c r="J130" s="14"/>
      <c r="K130" s="14"/>
      <c r="L130" s="139">
        <v>666586.39999999979</v>
      </c>
      <c r="M130" s="139"/>
      <c r="N130" s="139">
        <v>3664960</v>
      </c>
      <c r="O130" s="139">
        <v>3638108</v>
      </c>
      <c r="P130" s="139">
        <v>26852</v>
      </c>
      <c r="Q130" s="139">
        <v>0</v>
      </c>
    </row>
    <row r="131" spans="1:17" x14ac:dyDescent="0.25">
      <c r="A131" s="104">
        <v>12</v>
      </c>
      <c r="B131" s="193" t="s">
        <v>1409</v>
      </c>
      <c r="C131" s="194" t="s">
        <v>1410</v>
      </c>
      <c r="D131" s="139">
        <v>1934220203.6338449</v>
      </c>
      <c r="E131" s="14"/>
      <c r="F131" s="139">
        <v>1930555243.6338449</v>
      </c>
      <c r="G131" s="14"/>
      <c r="H131" s="139">
        <v>0</v>
      </c>
      <c r="I131" s="139">
        <v>3664960</v>
      </c>
      <c r="J131" s="14"/>
      <c r="K131" s="14"/>
      <c r="L131" s="139">
        <v>0</v>
      </c>
      <c r="M131" s="139"/>
      <c r="N131" s="139">
        <v>3664960</v>
      </c>
      <c r="O131" s="139">
        <v>3638108</v>
      </c>
      <c r="P131" s="139">
        <v>26852</v>
      </c>
      <c r="Q131" s="139">
        <v>0</v>
      </c>
    </row>
    <row r="132" spans="1:17" x14ac:dyDescent="0.25">
      <c r="A132" s="104">
        <v>13</v>
      </c>
      <c r="B132" s="193" t="s">
        <v>1411</v>
      </c>
      <c r="C132" s="194" t="s">
        <v>1412</v>
      </c>
      <c r="D132" s="139">
        <v>228327259.87692291</v>
      </c>
      <c r="E132" s="14"/>
      <c r="F132" s="139">
        <v>215259864.1241774</v>
      </c>
      <c r="G132" s="14"/>
      <c r="H132" s="139">
        <v>10428255.359595247</v>
      </c>
      <c r="I132" s="139">
        <v>2639140.3931502611</v>
      </c>
      <c r="J132" s="14"/>
      <c r="K132" s="14"/>
      <c r="L132" s="139">
        <v>15226.415982901759</v>
      </c>
      <c r="M132" s="139"/>
      <c r="N132" s="139">
        <v>2623913.9771673596</v>
      </c>
      <c r="O132" s="139">
        <v>1367672.7751797088</v>
      </c>
      <c r="P132" s="139">
        <v>1256241.2019876505</v>
      </c>
      <c r="Q132" s="139">
        <v>1.4921542994491459E-11</v>
      </c>
    </row>
    <row r="133" spans="1:17" x14ac:dyDescent="0.25">
      <c r="A133" s="104">
        <v>14</v>
      </c>
      <c r="B133" s="193" t="s">
        <v>1413</v>
      </c>
      <c r="C133" s="197" t="s">
        <v>1834</v>
      </c>
      <c r="D133" s="139">
        <v>55918.829999999994</v>
      </c>
      <c r="E133" s="14"/>
      <c r="F133" s="139">
        <v>55918.829999999994</v>
      </c>
      <c r="G133" s="14"/>
      <c r="H133" s="139">
        <v>0</v>
      </c>
      <c r="I133" s="139">
        <v>0</v>
      </c>
      <c r="J133" s="14"/>
      <c r="K133" s="14"/>
      <c r="L133" s="139">
        <v>0</v>
      </c>
      <c r="M133" s="139"/>
      <c r="N133" s="139">
        <v>0</v>
      </c>
      <c r="O133" s="139">
        <v>0</v>
      </c>
      <c r="P133" s="139">
        <v>0</v>
      </c>
      <c r="Q133" s="139">
        <v>0</v>
      </c>
    </row>
    <row r="134" spans="1:17" x14ac:dyDescent="0.25">
      <c r="A134" s="104">
        <v>15</v>
      </c>
      <c r="B134" s="193" t="s">
        <v>470</v>
      </c>
      <c r="C134" s="197" t="s">
        <v>1835</v>
      </c>
      <c r="D134" s="139">
        <v>97903191.244615391</v>
      </c>
      <c r="E134" s="14"/>
      <c r="F134" s="139">
        <v>91539638.885438219</v>
      </c>
      <c r="G134" s="14"/>
      <c r="H134" s="139">
        <v>4940108.5573013201</v>
      </c>
      <c r="I134" s="139">
        <v>1423443.8018758465</v>
      </c>
      <c r="J134" s="14"/>
      <c r="K134" s="14"/>
      <c r="L134" s="139">
        <v>6911.9811654775149</v>
      </c>
      <c r="M134" s="139"/>
      <c r="N134" s="139">
        <v>1416531.8207103689</v>
      </c>
      <c r="O134" s="139">
        <v>736237.96435791813</v>
      </c>
      <c r="P134" s="139">
        <v>680293.85635245068</v>
      </c>
      <c r="Q134" s="139">
        <v>1.4640893989078093E-13</v>
      </c>
    </row>
    <row r="135" spans="1:17" x14ac:dyDescent="0.25">
      <c r="A135" s="104">
        <v>16</v>
      </c>
      <c r="B135" s="193" t="s">
        <v>471</v>
      </c>
      <c r="C135" s="194" t="s">
        <v>472</v>
      </c>
      <c r="D135" s="139">
        <v>6529535532.6146069</v>
      </c>
      <c r="E135" s="14"/>
      <c r="F135" s="139">
        <v>6120891281.9188433</v>
      </c>
      <c r="G135" s="14"/>
      <c r="H135" s="139">
        <v>280283144.53873599</v>
      </c>
      <c r="I135" s="139">
        <v>128361106.15702759</v>
      </c>
      <c r="J135" s="14"/>
      <c r="K135" s="14"/>
      <c r="L135" s="139">
        <v>19647.208326118118</v>
      </c>
      <c r="M135" s="139"/>
      <c r="N135" s="139">
        <v>128341458.94870147</v>
      </c>
      <c r="O135" s="139">
        <v>65091201.184429377</v>
      </c>
      <c r="P135" s="139">
        <v>63250257.764272094</v>
      </c>
      <c r="Q135" s="139">
        <v>0</v>
      </c>
    </row>
    <row r="136" spans="1:17" x14ac:dyDescent="0.25">
      <c r="A136" s="104">
        <v>17</v>
      </c>
      <c r="B136" s="193" t="s">
        <v>879</v>
      </c>
      <c r="C136" s="194" t="s">
        <v>880</v>
      </c>
      <c r="D136" s="139">
        <v>6576298415.4446049</v>
      </c>
      <c r="E136" s="14"/>
      <c r="F136" s="139">
        <v>6153102484.3458834</v>
      </c>
      <c r="G136" s="14"/>
      <c r="H136" s="139">
        <v>285763498.70866781</v>
      </c>
      <c r="I136" s="139">
        <v>137432432.39005417</v>
      </c>
      <c r="J136" s="14"/>
      <c r="K136" s="14"/>
      <c r="L136" s="139">
        <v>19648.13972675681</v>
      </c>
      <c r="M136" s="139"/>
      <c r="N136" s="139">
        <v>137412784.25032741</v>
      </c>
      <c r="O136" s="139">
        <v>69691923.858569682</v>
      </c>
      <c r="P136" s="139">
        <v>67720860.391757712</v>
      </c>
      <c r="Q136" s="139">
        <v>0</v>
      </c>
    </row>
    <row r="137" spans="1:17" x14ac:dyDescent="0.25">
      <c r="A137" s="104">
        <v>18</v>
      </c>
      <c r="B137" s="193" t="s">
        <v>881</v>
      </c>
      <c r="C137" s="194" t="s">
        <v>882</v>
      </c>
      <c r="D137" s="139">
        <v>1141908577.8892298</v>
      </c>
      <c r="E137" s="14"/>
      <c r="F137" s="139">
        <v>1033643288.8802201</v>
      </c>
      <c r="G137" s="14"/>
      <c r="H137" s="139">
        <v>107528649.13235721</v>
      </c>
      <c r="I137" s="139">
        <v>736639.87665251666</v>
      </c>
      <c r="J137" s="14"/>
      <c r="K137" s="14"/>
      <c r="L137" s="139">
        <v>3309.5623200062578</v>
      </c>
      <c r="M137" s="139"/>
      <c r="N137" s="139">
        <v>733330.31433251034</v>
      </c>
      <c r="O137" s="139">
        <v>371924.64084374672</v>
      </c>
      <c r="P137" s="139">
        <v>361405.67348876363</v>
      </c>
      <c r="Q137" s="139">
        <v>0</v>
      </c>
    </row>
    <row r="138" spans="1:17" x14ac:dyDescent="0.25">
      <c r="A138" s="104">
        <v>19</v>
      </c>
      <c r="B138" s="193" t="s">
        <v>2020</v>
      </c>
      <c r="C138" s="194" t="s">
        <v>2021</v>
      </c>
      <c r="D138" s="139">
        <v>1141175247.5748973</v>
      </c>
      <c r="E138" s="14"/>
      <c r="F138" s="139">
        <v>1033643288.8802201</v>
      </c>
      <c r="G138" s="14"/>
      <c r="H138" s="139">
        <v>107528649.13235721</v>
      </c>
      <c r="I138" s="139">
        <v>3309.5623200062578</v>
      </c>
      <c r="J138" s="14"/>
      <c r="K138" s="14"/>
      <c r="L138" s="139">
        <v>3309.5623200062578</v>
      </c>
      <c r="M138" s="139"/>
      <c r="N138" s="139">
        <v>0</v>
      </c>
      <c r="O138" s="139">
        <v>0</v>
      </c>
      <c r="P138" s="139">
        <v>0</v>
      </c>
      <c r="Q138" s="139">
        <v>0</v>
      </c>
    </row>
    <row r="139" spans="1:17" x14ac:dyDescent="0.25">
      <c r="A139" s="104">
        <v>20</v>
      </c>
      <c r="B139" s="193" t="s">
        <v>883</v>
      </c>
      <c r="C139" s="197" t="s">
        <v>884</v>
      </c>
      <c r="D139" s="139">
        <v>48204764</v>
      </c>
      <c r="E139" s="14"/>
      <c r="F139" s="139">
        <v>44905721.635822654</v>
      </c>
      <c r="G139" s="14"/>
      <c r="H139" s="139">
        <v>2626049.5785848303</v>
      </c>
      <c r="I139" s="139">
        <v>672992.78559251607</v>
      </c>
      <c r="J139" s="14"/>
      <c r="K139" s="14"/>
      <c r="L139" s="139">
        <v>2420.9479772302179</v>
      </c>
      <c r="M139" s="139"/>
      <c r="N139" s="139">
        <v>670571.83761528588</v>
      </c>
      <c r="O139" s="139">
        <v>346231.39760484872</v>
      </c>
      <c r="P139" s="139">
        <v>324340.44001043716</v>
      </c>
      <c r="Q139" s="139">
        <v>0</v>
      </c>
    </row>
    <row r="140" spans="1:17" x14ac:dyDescent="0.25">
      <c r="A140" s="112">
        <v>21</v>
      </c>
      <c r="B140" s="193" t="s">
        <v>885</v>
      </c>
      <c r="C140" s="197" t="s">
        <v>1836</v>
      </c>
      <c r="D140" s="139">
        <v>11206095</v>
      </c>
      <c r="E140" s="14"/>
      <c r="F140" s="139">
        <v>10506252.161633004</v>
      </c>
      <c r="G140" s="14"/>
      <c r="H140" s="139">
        <v>549749.04159777961</v>
      </c>
      <c r="I140" s="139">
        <v>150093.7967692168</v>
      </c>
      <c r="J140" s="14"/>
      <c r="K140" s="14"/>
      <c r="L140" s="139">
        <v>783.6323767001644</v>
      </c>
      <c r="M140" s="139"/>
      <c r="N140" s="139">
        <v>149310.16439251663</v>
      </c>
      <c r="O140" s="139">
        <v>77692.170564480504</v>
      </c>
      <c r="P140" s="139">
        <v>71617.993828036124</v>
      </c>
      <c r="Q140" s="139">
        <v>2.7622498405716757E-13</v>
      </c>
    </row>
    <row r="141" spans="1:17" x14ac:dyDescent="0.25">
      <c r="A141" s="105">
        <v>22</v>
      </c>
      <c r="B141" s="99" t="s">
        <v>886</v>
      </c>
      <c r="C141" s="198" t="s">
        <v>1837</v>
      </c>
      <c r="D141" s="164">
        <v>1598186093.1887257</v>
      </c>
      <c r="E141" s="17"/>
      <c r="F141" s="164">
        <v>1598186093.1887257</v>
      </c>
      <c r="G141" s="173"/>
      <c r="H141" s="173">
        <v>0</v>
      </c>
      <c r="I141" s="164">
        <v>0</v>
      </c>
      <c r="J141" s="17"/>
      <c r="K141" s="17"/>
      <c r="L141" s="173">
        <v>0</v>
      </c>
      <c r="M141" s="173"/>
      <c r="N141" s="164">
        <v>0</v>
      </c>
      <c r="O141" s="173">
        <v>0</v>
      </c>
      <c r="P141" s="173">
        <v>0</v>
      </c>
      <c r="Q141" s="173">
        <v>0</v>
      </c>
    </row>
    <row r="142" spans="1:17" x14ac:dyDescent="0.25">
      <c r="A142" s="104">
        <v>23</v>
      </c>
      <c r="B142" s="193" t="s">
        <v>887</v>
      </c>
      <c r="C142" s="194" t="s">
        <v>2324</v>
      </c>
      <c r="D142" s="139">
        <v>2510238.925502535</v>
      </c>
      <c r="E142" s="14"/>
      <c r="F142" s="170">
        <v>0</v>
      </c>
      <c r="G142" s="170"/>
      <c r="H142" s="170">
        <v>0</v>
      </c>
      <c r="I142" s="139">
        <v>2510238.925502535</v>
      </c>
      <c r="J142" s="14"/>
      <c r="K142" s="14"/>
      <c r="L142" s="170">
        <v>0</v>
      </c>
      <c r="M142" s="170"/>
      <c r="N142" s="139">
        <v>2510238.925502535</v>
      </c>
      <c r="O142" s="139">
        <v>1273123.0286713562</v>
      </c>
      <c r="P142" s="139">
        <v>1237115.8968311788</v>
      </c>
      <c r="Q142" s="139">
        <v>0</v>
      </c>
    </row>
    <row r="143" spans="1:17" x14ac:dyDescent="0.25">
      <c r="A143" s="104">
        <v>24</v>
      </c>
      <c r="B143" s="193" t="s">
        <v>888</v>
      </c>
      <c r="C143" s="194" t="s">
        <v>889</v>
      </c>
      <c r="D143" s="139">
        <v>0</v>
      </c>
      <c r="E143" s="14"/>
      <c r="F143" s="170">
        <v>0</v>
      </c>
      <c r="G143" s="170"/>
      <c r="H143" s="170">
        <v>0</v>
      </c>
      <c r="I143" s="139">
        <v>0</v>
      </c>
      <c r="J143" s="14"/>
      <c r="K143" s="14"/>
      <c r="L143" s="170">
        <v>0</v>
      </c>
      <c r="M143" s="170"/>
      <c r="N143" s="139">
        <v>0</v>
      </c>
      <c r="O143" s="139">
        <v>0</v>
      </c>
      <c r="P143" s="139">
        <v>0</v>
      </c>
      <c r="Q143" s="139">
        <v>0</v>
      </c>
    </row>
    <row r="144" spans="1:17" x14ac:dyDescent="0.25">
      <c r="A144" s="104">
        <v>25</v>
      </c>
      <c r="B144" s="193" t="s">
        <v>890</v>
      </c>
      <c r="C144" s="194" t="s">
        <v>1726</v>
      </c>
      <c r="D144" s="139">
        <v>421019.48910862638</v>
      </c>
      <c r="E144" s="14"/>
      <c r="F144" s="170">
        <v>0</v>
      </c>
      <c r="G144" s="170"/>
      <c r="H144" s="170">
        <v>0</v>
      </c>
      <c r="I144" s="139">
        <v>421019.48910862638</v>
      </c>
      <c r="J144" s="14"/>
      <c r="K144" s="14"/>
      <c r="L144" s="170">
        <v>0</v>
      </c>
      <c r="M144" s="170"/>
      <c r="N144" s="139">
        <v>421019.48910862638</v>
      </c>
      <c r="O144" s="139">
        <v>213529.31852745268</v>
      </c>
      <c r="P144" s="139">
        <v>207490.1705811737</v>
      </c>
      <c r="Q144" s="139">
        <v>0</v>
      </c>
    </row>
    <row r="145" spans="1:17" x14ac:dyDescent="0.25">
      <c r="A145" s="104">
        <v>26</v>
      </c>
      <c r="B145" s="193" t="s">
        <v>891</v>
      </c>
      <c r="C145" s="194" t="s">
        <v>1727</v>
      </c>
      <c r="D145" s="139">
        <v>468.59558447488581</v>
      </c>
      <c r="E145" s="14"/>
      <c r="F145" s="170">
        <v>0</v>
      </c>
      <c r="G145" s="170"/>
      <c r="H145" s="170">
        <v>0</v>
      </c>
      <c r="I145" s="139">
        <v>468.59558447488581</v>
      </c>
      <c r="J145" s="14"/>
      <c r="K145" s="14"/>
      <c r="L145" s="170">
        <v>0</v>
      </c>
      <c r="M145" s="170"/>
      <c r="N145" s="139">
        <v>468.59558447488581</v>
      </c>
      <c r="O145" s="139">
        <v>237.65858447488583</v>
      </c>
      <c r="P145" s="139">
        <v>230.93699999999998</v>
      </c>
      <c r="Q145" s="139">
        <v>0</v>
      </c>
    </row>
    <row r="146" spans="1:17" x14ac:dyDescent="0.25">
      <c r="A146" s="104">
        <v>27</v>
      </c>
      <c r="B146" s="193" t="s">
        <v>892</v>
      </c>
      <c r="C146" s="194" t="s">
        <v>893</v>
      </c>
      <c r="D146" s="139">
        <v>1073901674.299999</v>
      </c>
      <c r="E146" s="14"/>
      <c r="F146" s="139">
        <v>1025412885.8886671</v>
      </c>
      <c r="G146" s="14"/>
      <c r="H146" s="139">
        <v>47752174.953126453</v>
      </c>
      <c r="I146" s="139">
        <v>736613.45820547431</v>
      </c>
      <c r="J146" s="14"/>
      <c r="K146" s="14"/>
      <c r="L146" s="139">
        <v>3283.1438729639744</v>
      </c>
      <c r="M146" s="139"/>
      <c r="N146" s="139">
        <v>733330.31433251034</v>
      </c>
      <c r="O146" s="139">
        <v>371924.64084374672</v>
      </c>
      <c r="P146" s="139">
        <v>361405.67348876363</v>
      </c>
      <c r="Q146" s="139">
        <v>0</v>
      </c>
    </row>
    <row r="147" spans="1:17" x14ac:dyDescent="0.25">
      <c r="A147" s="104">
        <v>28</v>
      </c>
      <c r="B147" s="193" t="s">
        <v>1312</v>
      </c>
      <c r="C147" s="194" t="s">
        <v>1313</v>
      </c>
      <c r="D147" s="139">
        <v>68006903.589230776</v>
      </c>
      <c r="E147" s="14"/>
      <c r="F147" s="139">
        <v>8230402.9915529564</v>
      </c>
      <c r="G147" s="14"/>
      <c r="H147" s="139">
        <v>59776474.179230765</v>
      </c>
      <c r="I147" s="139">
        <v>26.418447042283358</v>
      </c>
      <c r="J147" s="14"/>
      <c r="K147" s="14"/>
      <c r="L147" s="139">
        <v>26.418447042283358</v>
      </c>
      <c r="M147" s="139"/>
      <c r="N147" s="139">
        <v>0</v>
      </c>
      <c r="O147" s="139">
        <v>0</v>
      </c>
      <c r="P147" s="139">
        <v>0</v>
      </c>
      <c r="Q147" s="139">
        <v>0</v>
      </c>
    </row>
    <row r="148" spans="1:17" x14ac:dyDescent="0.25">
      <c r="A148" s="104">
        <v>29</v>
      </c>
      <c r="B148" s="193" t="s">
        <v>1314</v>
      </c>
      <c r="C148" s="197" t="s">
        <v>1838</v>
      </c>
      <c r="D148" s="139">
        <v>859112038.02538371</v>
      </c>
      <c r="E148" s="14"/>
      <c r="F148" s="139">
        <v>798925166.09846091</v>
      </c>
      <c r="G148" s="14"/>
      <c r="H148" s="139">
        <v>60092323.146922886</v>
      </c>
      <c r="I148" s="139">
        <v>94548.78</v>
      </c>
      <c r="J148" s="14"/>
      <c r="K148" s="14"/>
      <c r="L148" s="139">
        <v>94548.78</v>
      </c>
      <c r="M148" s="139"/>
      <c r="N148" s="139">
        <v>0</v>
      </c>
      <c r="O148" s="139">
        <v>0</v>
      </c>
      <c r="P148" s="139">
        <v>0</v>
      </c>
      <c r="Q148" s="139">
        <v>0</v>
      </c>
    </row>
    <row r="149" spans="1:17" x14ac:dyDescent="0.25">
      <c r="A149" s="104">
        <v>30</v>
      </c>
      <c r="B149" s="193" t="s">
        <v>1315</v>
      </c>
      <c r="C149" s="194" t="s">
        <v>1316</v>
      </c>
      <c r="D149" s="139">
        <v>10080695046.917683</v>
      </c>
      <c r="E149" s="14"/>
      <c r="F149" s="139">
        <v>9425469470.6105957</v>
      </c>
      <c r="G149" s="14"/>
      <c r="H149" s="139">
        <v>508660146.68823594</v>
      </c>
      <c r="I149" s="139">
        <v>146565429.61885062</v>
      </c>
      <c r="J149" s="14"/>
      <c r="K149" s="14"/>
      <c r="L149" s="139">
        <v>711694.75584535592</v>
      </c>
      <c r="M149" s="139"/>
      <c r="N149" s="139">
        <v>145853734.86300525</v>
      </c>
      <c r="O149" s="139">
        <v>75807020.555096</v>
      </c>
      <c r="P149" s="139">
        <v>70046714.30790925</v>
      </c>
      <c r="Q149" s="139">
        <v>1.5075051889547236E-11</v>
      </c>
    </row>
    <row r="150" spans="1:17" x14ac:dyDescent="0.25">
      <c r="A150" s="104">
        <v>31</v>
      </c>
      <c r="B150" s="193" t="s">
        <v>1317</v>
      </c>
      <c r="C150" s="194" t="s">
        <v>1318</v>
      </c>
      <c r="D150" s="139">
        <v>9425469470.6105957</v>
      </c>
      <c r="E150" s="14"/>
      <c r="F150" s="139">
        <v>9425469470.6105957</v>
      </c>
      <c r="G150" s="170"/>
      <c r="H150" s="170">
        <v>0</v>
      </c>
      <c r="I150" s="139">
        <v>0</v>
      </c>
      <c r="J150" s="14"/>
      <c r="K150" s="14"/>
      <c r="L150" s="170">
        <v>0</v>
      </c>
      <c r="M150" s="170"/>
      <c r="N150" s="139">
        <v>0</v>
      </c>
      <c r="O150" s="170">
        <v>0</v>
      </c>
      <c r="P150" s="170">
        <v>0</v>
      </c>
      <c r="Q150" s="170">
        <v>0</v>
      </c>
    </row>
    <row r="151" spans="1:17" x14ac:dyDescent="0.25">
      <c r="A151" s="104">
        <v>32</v>
      </c>
      <c r="B151" s="193" t="s">
        <v>1319</v>
      </c>
      <c r="C151" s="194" t="s">
        <v>1320</v>
      </c>
      <c r="D151" s="139">
        <v>9572034900.2294464</v>
      </c>
      <c r="E151" s="14"/>
      <c r="F151" s="139">
        <v>9425469470.6105957</v>
      </c>
      <c r="G151" s="170"/>
      <c r="H151" s="170">
        <v>0</v>
      </c>
      <c r="I151" s="139">
        <v>146565429.61885062</v>
      </c>
      <c r="J151" s="14"/>
      <c r="K151" s="14"/>
      <c r="L151" s="170">
        <v>711694.75584535592</v>
      </c>
      <c r="M151" s="170"/>
      <c r="N151" s="139">
        <v>145853734.86300525</v>
      </c>
      <c r="O151" s="139">
        <v>75807020.555096</v>
      </c>
      <c r="P151" s="139">
        <v>70046714.30790925</v>
      </c>
      <c r="Q151" s="139">
        <v>1.5075051889547236E-11</v>
      </c>
    </row>
    <row r="152" spans="1:17" x14ac:dyDescent="0.25">
      <c r="A152" s="104">
        <v>33</v>
      </c>
      <c r="B152" s="193" t="s">
        <v>1321</v>
      </c>
      <c r="C152" s="194" t="s">
        <v>1322</v>
      </c>
      <c r="D152" s="139">
        <v>508660146.68823594</v>
      </c>
      <c r="E152" s="14"/>
      <c r="F152" s="170">
        <v>0</v>
      </c>
      <c r="G152" s="170"/>
      <c r="H152" s="139">
        <v>508660146.68823594</v>
      </c>
      <c r="I152" s="139">
        <v>0</v>
      </c>
      <c r="J152" s="14"/>
      <c r="K152" s="14"/>
      <c r="L152" s="170">
        <v>0</v>
      </c>
      <c r="M152" s="139"/>
      <c r="N152" s="139">
        <v>0</v>
      </c>
      <c r="O152" s="170">
        <v>0</v>
      </c>
      <c r="P152" s="170">
        <v>0</v>
      </c>
      <c r="Q152" s="170">
        <v>0</v>
      </c>
    </row>
    <row r="153" spans="1:17" x14ac:dyDescent="0.25">
      <c r="A153" s="104">
        <v>34</v>
      </c>
      <c r="B153" s="193" t="s">
        <v>1323</v>
      </c>
      <c r="C153" s="194" t="s">
        <v>1324</v>
      </c>
      <c r="D153" s="139">
        <v>5462761443.1976843</v>
      </c>
      <c r="E153" s="14"/>
      <c r="F153" s="139">
        <v>5110063073.1431885</v>
      </c>
      <c r="G153" s="14"/>
      <c r="H153" s="139">
        <v>238182050.28074247</v>
      </c>
      <c r="I153" s="139">
        <v>114516319.77375309</v>
      </c>
      <c r="J153" s="14"/>
      <c r="K153" s="14"/>
      <c r="L153" s="139">
        <v>16312.851740338956</v>
      </c>
      <c r="M153" s="139"/>
      <c r="N153" s="139">
        <v>114500006.92201275</v>
      </c>
      <c r="O153" s="139">
        <v>58071203.547391921</v>
      </c>
      <c r="P153" s="139">
        <v>56428803.374620818</v>
      </c>
      <c r="Q153" s="139">
        <v>0</v>
      </c>
    </row>
    <row r="154" spans="1:17" x14ac:dyDescent="0.25">
      <c r="A154" s="104">
        <v>35</v>
      </c>
      <c r="B154" s="193" t="s">
        <v>1325</v>
      </c>
      <c r="C154" s="194" t="s">
        <v>1326</v>
      </c>
      <c r="D154" s="139">
        <v>43871798.114615381</v>
      </c>
      <c r="E154" s="14"/>
      <c r="F154" s="139">
        <v>41109083.073642947</v>
      </c>
      <c r="G154" s="14"/>
      <c r="H154" s="139">
        <v>1878926.2125357133</v>
      </c>
      <c r="I154" s="139">
        <v>883788.82843671739</v>
      </c>
      <c r="J154" s="14"/>
      <c r="K154" s="14"/>
      <c r="L154" s="139">
        <v>131.68971497670719</v>
      </c>
      <c r="M154" s="139"/>
      <c r="N154" s="139">
        <v>883657.13872174069</v>
      </c>
      <c r="O154" s="139">
        <v>448166.2049485062</v>
      </c>
      <c r="P154" s="139">
        <v>435490.93377323449</v>
      </c>
      <c r="Q154" s="139">
        <v>0</v>
      </c>
    </row>
    <row r="155" spans="1:17" x14ac:dyDescent="0.25">
      <c r="A155" s="104">
        <v>36</v>
      </c>
      <c r="B155" s="193" t="s">
        <v>1327</v>
      </c>
      <c r="C155" s="194" t="s">
        <v>1328</v>
      </c>
      <c r="D155" s="139">
        <v>1069355633.2823062</v>
      </c>
      <c r="E155" s="14"/>
      <c r="F155" s="139">
        <v>1001640159.5740763</v>
      </c>
      <c r="G155" s="14"/>
      <c r="H155" s="139">
        <v>45689235.040158309</v>
      </c>
      <c r="I155" s="139">
        <v>22026238.668071635</v>
      </c>
      <c r="J155" s="14"/>
      <c r="K155" s="14"/>
      <c r="L155" s="139">
        <v>3202.6668708024608</v>
      </c>
      <c r="M155" s="139"/>
      <c r="N155" s="139">
        <v>22023036.001200832</v>
      </c>
      <c r="O155" s="139">
        <v>11169468.375913287</v>
      </c>
      <c r="P155" s="139">
        <v>10853567.625287546</v>
      </c>
      <c r="Q155" s="139">
        <v>0</v>
      </c>
    </row>
    <row r="156" spans="1:17" x14ac:dyDescent="0.25">
      <c r="A156" s="104">
        <v>37</v>
      </c>
      <c r="B156" s="193" t="s">
        <v>826</v>
      </c>
      <c r="C156" s="197" t="s">
        <v>1839</v>
      </c>
      <c r="D156" s="139">
        <v>294097578.91615331</v>
      </c>
      <c r="E156" s="14"/>
      <c r="F156" s="139">
        <v>280309100.00615335</v>
      </c>
      <c r="G156" s="14"/>
      <c r="H156" s="139">
        <v>9606361.3999999985</v>
      </c>
      <c r="I156" s="139">
        <v>4182117.51</v>
      </c>
      <c r="J156" s="14"/>
      <c r="K156" s="14"/>
      <c r="L156" s="139">
        <v>564465.50999999989</v>
      </c>
      <c r="M156" s="139"/>
      <c r="N156" s="139">
        <v>3617652</v>
      </c>
      <c r="O156" s="139">
        <v>3617652</v>
      </c>
      <c r="P156" s="139">
        <v>0</v>
      </c>
      <c r="Q156" s="139">
        <v>0</v>
      </c>
    </row>
    <row r="157" spans="1:17" x14ac:dyDescent="0.25">
      <c r="A157" s="104">
        <v>38</v>
      </c>
      <c r="B157" s="193" t="s">
        <v>827</v>
      </c>
      <c r="C157" s="197" t="s">
        <v>1840</v>
      </c>
      <c r="D157" s="139">
        <v>224942911.12615377</v>
      </c>
      <c r="E157" s="14"/>
      <c r="F157" s="139">
        <v>219794241.50846145</v>
      </c>
      <c r="G157" s="14"/>
      <c r="H157" s="139">
        <v>5148669.6176923076</v>
      </c>
      <c r="I157" s="139">
        <v>0</v>
      </c>
      <c r="J157" s="14"/>
      <c r="K157" s="14"/>
      <c r="L157" s="139">
        <v>0</v>
      </c>
      <c r="M157" s="139"/>
      <c r="N157" s="139">
        <v>0</v>
      </c>
      <c r="O157" s="139">
        <v>0</v>
      </c>
      <c r="P157" s="139">
        <v>0</v>
      </c>
      <c r="Q157" s="139">
        <v>0</v>
      </c>
    </row>
    <row r="158" spans="1:17" x14ac:dyDescent="0.25">
      <c r="A158" s="104">
        <v>39</v>
      </c>
      <c r="B158" s="193" t="s">
        <v>828</v>
      </c>
      <c r="C158" s="197" t="s">
        <v>1841</v>
      </c>
      <c r="D158" s="139">
        <v>131245001.32461539</v>
      </c>
      <c r="E158" s="14"/>
      <c r="F158" s="139">
        <v>127240903.38000001</v>
      </c>
      <c r="G158" s="14"/>
      <c r="H158" s="139">
        <v>4004097.9446153841</v>
      </c>
      <c r="I158" s="139">
        <v>0</v>
      </c>
      <c r="J158" s="14"/>
      <c r="K158" s="14"/>
      <c r="L158" s="139">
        <v>0</v>
      </c>
      <c r="M158" s="139"/>
      <c r="N158" s="139">
        <v>0</v>
      </c>
      <c r="O158" s="139">
        <v>0</v>
      </c>
      <c r="P158" s="139">
        <v>0</v>
      </c>
      <c r="Q158" s="139">
        <v>0</v>
      </c>
    </row>
    <row r="159" spans="1:17" x14ac:dyDescent="0.25">
      <c r="A159" s="104">
        <v>40</v>
      </c>
      <c r="B159" s="193" t="s">
        <v>829</v>
      </c>
      <c r="C159" s="197" t="s">
        <v>1842</v>
      </c>
      <c r="D159" s="139">
        <v>82667373.238461435</v>
      </c>
      <c r="E159" s="14"/>
      <c r="F159" s="139">
        <v>78832320.828461438</v>
      </c>
      <c r="G159" s="14"/>
      <c r="H159" s="139">
        <v>3783545.2</v>
      </c>
      <c r="I159" s="139">
        <v>51507.21</v>
      </c>
      <c r="J159" s="14"/>
      <c r="K159" s="14"/>
      <c r="L159" s="139">
        <v>4199.21</v>
      </c>
      <c r="M159" s="139"/>
      <c r="N159" s="139">
        <v>47308</v>
      </c>
      <c r="O159" s="139">
        <v>20456</v>
      </c>
      <c r="P159" s="139">
        <v>26852</v>
      </c>
      <c r="Q159" s="139">
        <v>0</v>
      </c>
    </row>
    <row r="160" spans="1:17" x14ac:dyDescent="0.25">
      <c r="A160" s="104">
        <v>41</v>
      </c>
      <c r="B160" s="193" t="s">
        <v>830</v>
      </c>
      <c r="C160" s="197" t="s">
        <v>1843</v>
      </c>
      <c r="D160" s="139">
        <v>148818.36999999903</v>
      </c>
      <c r="E160" s="14"/>
      <c r="F160" s="139">
        <v>148818.36999999903</v>
      </c>
      <c r="G160" s="14"/>
      <c r="H160" s="139">
        <v>0</v>
      </c>
      <c r="I160" s="139">
        <v>0</v>
      </c>
      <c r="J160" s="14"/>
      <c r="K160" s="14"/>
      <c r="L160" s="139">
        <v>0</v>
      </c>
      <c r="M160" s="139"/>
      <c r="N160" s="139">
        <v>0</v>
      </c>
      <c r="O160" s="139">
        <v>0</v>
      </c>
      <c r="P160" s="139">
        <v>0</v>
      </c>
      <c r="Q160" s="139">
        <v>0</v>
      </c>
    </row>
    <row r="161" spans="1:17" x14ac:dyDescent="0.25">
      <c r="A161" s="104">
        <v>42</v>
      </c>
      <c r="B161" s="193" t="s">
        <v>831</v>
      </c>
      <c r="C161" s="197" t="s">
        <v>1844</v>
      </c>
      <c r="D161" s="139">
        <v>327156550.64999998</v>
      </c>
      <c r="E161" s="14"/>
      <c r="F161" s="139">
        <v>315974318.09076923</v>
      </c>
      <c r="G161" s="14"/>
      <c r="H161" s="139">
        <v>11179114.279230768</v>
      </c>
      <c r="I161" s="139">
        <v>3118.2799999999988</v>
      </c>
      <c r="J161" s="14"/>
      <c r="K161" s="14"/>
      <c r="L161" s="139">
        <v>3118.2799999999988</v>
      </c>
      <c r="M161" s="139"/>
      <c r="N161" s="139">
        <v>0</v>
      </c>
      <c r="O161" s="139">
        <v>0</v>
      </c>
      <c r="P161" s="139">
        <v>0</v>
      </c>
      <c r="Q161" s="139">
        <v>0</v>
      </c>
    </row>
    <row r="162" spans="1:17" x14ac:dyDescent="0.25">
      <c r="A162" s="104">
        <v>43</v>
      </c>
      <c r="B162" s="193" t="s">
        <v>832</v>
      </c>
      <c r="C162" s="197" t="s">
        <v>1845</v>
      </c>
      <c r="D162" s="139">
        <v>35444542.129999995</v>
      </c>
      <c r="E162" s="14"/>
      <c r="F162" s="139">
        <v>33673447.616046697</v>
      </c>
      <c r="G162" s="14"/>
      <c r="H162" s="139">
        <v>1760959.5620921196</v>
      </c>
      <c r="I162" s="139">
        <v>10134.951861181571</v>
      </c>
      <c r="J162" s="14"/>
      <c r="K162" s="14"/>
      <c r="L162" s="139">
        <v>233.52423643275509</v>
      </c>
      <c r="M162" s="139"/>
      <c r="N162" s="139">
        <v>9901.427624748816</v>
      </c>
      <c r="O162" s="139">
        <v>3969.9120193568365</v>
      </c>
      <c r="P162" s="139">
        <v>5931.5156053919791</v>
      </c>
      <c r="Q162" s="139">
        <v>0</v>
      </c>
    </row>
    <row r="163" spans="1:17" x14ac:dyDescent="0.25">
      <c r="A163" s="104">
        <v>44</v>
      </c>
      <c r="B163" s="193" t="s">
        <v>833</v>
      </c>
      <c r="C163" s="197" t="s">
        <v>1846</v>
      </c>
      <c r="D163" s="139">
        <v>10205363.999999998</v>
      </c>
      <c r="E163" s="14"/>
      <c r="F163" s="139">
        <v>10110400.332189808</v>
      </c>
      <c r="G163" s="14"/>
      <c r="H163" s="139">
        <v>94953.538712436683</v>
      </c>
      <c r="I163" s="139">
        <v>10.129097754055758</v>
      </c>
      <c r="J163" s="14"/>
      <c r="K163" s="14"/>
      <c r="L163" s="139">
        <v>10.129097754055758</v>
      </c>
      <c r="M163" s="139"/>
      <c r="N163" s="139">
        <v>0</v>
      </c>
      <c r="O163" s="139">
        <v>0</v>
      </c>
      <c r="P163" s="139">
        <v>0</v>
      </c>
      <c r="Q163" s="139">
        <v>0</v>
      </c>
    </row>
    <row r="164" spans="1:17" x14ac:dyDescent="0.25">
      <c r="A164" s="104">
        <v>45</v>
      </c>
      <c r="B164" s="193" t="s">
        <v>834</v>
      </c>
      <c r="C164" s="194" t="s">
        <v>835</v>
      </c>
      <c r="D164" s="139">
        <v>3176462427.0415359</v>
      </c>
      <c r="E164" s="14"/>
      <c r="F164" s="139">
        <v>2964198532.5140648</v>
      </c>
      <c r="G164" s="14"/>
      <c r="H164" s="139">
        <v>207195708.25081855</v>
      </c>
      <c r="I164" s="139">
        <v>5068186.2766525168</v>
      </c>
      <c r="J164" s="14"/>
      <c r="K164" s="14"/>
      <c r="L164" s="139">
        <v>669895.9623200061</v>
      </c>
      <c r="M164" s="139"/>
      <c r="N164" s="139">
        <v>4398290.3143325103</v>
      </c>
      <c r="O164" s="139">
        <v>4010032.6408437467</v>
      </c>
      <c r="P164" s="139">
        <v>388257.67348876363</v>
      </c>
      <c r="Q164" s="139">
        <v>0</v>
      </c>
    </row>
    <row r="165" spans="1:17" x14ac:dyDescent="0.25">
      <c r="A165" s="13"/>
      <c r="B165" s="13"/>
      <c r="C165" s="103"/>
      <c r="D165" s="13"/>
      <c r="E165" s="13"/>
      <c r="F165" s="13"/>
      <c r="G165" s="13"/>
      <c r="H165" s="13"/>
      <c r="I165" s="13"/>
      <c r="J165" s="13"/>
      <c r="K165" s="13"/>
      <c r="L165" s="13"/>
      <c r="M165" s="13"/>
      <c r="N165" s="13"/>
      <c r="O165" s="13"/>
      <c r="P165" s="13"/>
      <c r="Q165" s="13"/>
    </row>
    <row r="166" spans="1:17" x14ac:dyDescent="0.25">
      <c r="A166" s="13"/>
      <c r="B166" s="201" t="s">
        <v>836</v>
      </c>
      <c r="C166" s="103"/>
      <c r="D166" s="13"/>
      <c r="E166" s="13"/>
      <c r="F166" s="13"/>
      <c r="G166" s="13"/>
      <c r="H166" s="13"/>
      <c r="I166" s="13"/>
      <c r="J166" s="13"/>
      <c r="K166" s="13"/>
      <c r="L166" s="13"/>
      <c r="M166" s="13"/>
      <c r="N166" s="13"/>
      <c r="O166" s="13"/>
      <c r="P166" s="13"/>
      <c r="Q166" s="13"/>
    </row>
    <row r="167" spans="1:17" x14ac:dyDescent="0.25">
      <c r="A167" s="13"/>
      <c r="B167" s="200" t="s">
        <v>1234</v>
      </c>
      <c r="C167" s="103"/>
      <c r="D167" s="13"/>
      <c r="E167" s="13"/>
      <c r="F167" s="13"/>
      <c r="G167" s="13"/>
      <c r="H167" s="13"/>
      <c r="I167" s="13"/>
      <c r="J167" s="13"/>
      <c r="K167" s="13"/>
      <c r="L167" s="13"/>
      <c r="M167" s="13"/>
      <c r="N167" s="13"/>
      <c r="O167" s="13"/>
      <c r="P167" s="13"/>
      <c r="Q167" s="13"/>
    </row>
    <row r="168" spans="1:17" x14ac:dyDescent="0.25">
      <c r="A168" s="104">
        <v>1</v>
      </c>
      <c r="B168" s="193" t="s">
        <v>837</v>
      </c>
      <c r="C168" s="197" t="s">
        <v>1847</v>
      </c>
      <c r="D168" s="139">
        <v>1044482.0000000001</v>
      </c>
      <c r="E168" s="14"/>
      <c r="F168" s="139">
        <v>991130.87987548974</v>
      </c>
      <c r="G168" s="14"/>
      <c r="H168" s="139">
        <v>53345.429540695593</v>
      </c>
      <c r="I168" s="139">
        <v>5.6905838147454677</v>
      </c>
      <c r="J168" s="14"/>
      <c r="K168" s="14"/>
      <c r="L168" s="139">
        <v>5.6905838147454677</v>
      </c>
      <c r="M168" s="139"/>
      <c r="N168" s="139">
        <v>0</v>
      </c>
      <c r="O168" s="139">
        <v>0</v>
      </c>
      <c r="P168" s="139">
        <v>0</v>
      </c>
      <c r="Q168" s="139">
        <v>0</v>
      </c>
    </row>
    <row r="169" spans="1:17" x14ac:dyDescent="0.25">
      <c r="A169" s="104">
        <v>2</v>
      </c>
      <c r="B169" s="193" t="s">
        <v>838</v>
      </c>
      <c r="C169" s="194" t="s">
        <v>839</v>
      </c>
      <c r="D169" s="139">
        <v>25065995.426900454</v>
      </c>
      <c r="E169" s="14"/>
      <c r="F169" s="170">
        <v>0</v>
      </c>
      <c r="G169" s="170"/>
      <c r="H169" s="170">
        <v>0</v>
      </c>
      <c r="I169" s="139">
        <v>25065995.426900454</v>
      </c>
      <c r="J169" s="14"/>
      <c r="K169" s="14"/>
      <c r="L169" s="170">
        <v>0</v>
      </c>
      <c r="M169" s="170"/>
      <c r="N169" s="139">
        <v>25065995.426900454</v>
      </c>
      <c r="O169" s="139">
        <v>12691491.179060366</v>
      </c>
      <c r="P169" s="139">
        <v>12374504.247840088</v>
      </c>
      <c r="Q169" s="139">
        <v>0</v>
      </c>
    </row>
    <row r="170" spans="1:17" x14ac:dyDescent="0.25">
      <c r="A170" s="102">
        <v>3</v>
      </c>
      <c r="B170" s="99" t="s">
        <v>840</v>
      </c>
      <c r="C170" s="192" t="s">
        <v>841</v>
      </c>
      <c r="D170" s="164">
        <v>71559280.30532819</v>
      </c>
      <c r="E170" s="17"/>
      <c r="F170" s="173">
        <v>0</v>
      </c>
      <c r="G170" s="173"/>
      <c r="H170" s="164">
        <v>71559280.30532819</v>
      </c>
      <c r="I170" s="164">
        <v>0</v>
      </c>
      <c r="J170" s="17"/>
      <c r="K170" s="17"/>
      <c r="L170" s="173">
        <v>0</v>
      </c>
      <c r="M170" s="164"/>
      <c r="N170" s="164">
        <v>0</v>
      </c>
      <c r="O170" s="173">
        <v>0</v>
      </c>
      <c r="P170" s="173">
        <v>0</v>
      </c>
      <c r="Q170" s="173">
        <v>0</v>
      </c>
    </row>
    <row r="171" spans="1:17" x14ac:dyDescent="0.25">
      <c r="A171" s="102">
        <v>4</v>
      </c>
      <c r="B171" s="99" t="s">
        <v>842</v>
      </c>
      <c r="C171" s="192" t="s">
        <v>843</v>
      </c>
      <c r="D171" s="164">
        <v>1694811411.6079164</v>
      </c>
      <c r="E171" s="17"/>
      <c r="F171" s="164">
        <v>1598186093.1887257</v>
      </c>
      <c r="G171" s="17"/>
      <c r="H171" s="164">
        <v>71559280.30532819</v>
      </c>
      <c r="I171" s="164">
        <v>25066038.1138625</v>
      </c>
      <c r="J171" s="17"/>
      <c r="K171" s="17"/>
      <c r="L171" s="164">
        <v>42.686962046929459</v>
      </c>
      <c r="M171" s="164"/>
      <c r="N171" s="164">
        <v>25065995.426900454</v>
      </c>
      <c r="O171" s="164">
        <v>12691491.179060366</v>
      </c>
      <c r="P171" s="164">
        <v>12374504.247840088</v>
      </c>
      <c r="Q171" s="164">
        <v>0</v>
      </c>
    </row>
    <row r="172" spans="1:17" x14ac:dyDescent="0.25">
      <c r="A172" s="102">
        <v>5</v>
      </c>
      <c r="B172" s="99" t="s">
        <v>844</v>
      </c>
      <c r="C172" s="192" t="s">
        <v>845</v>
      </c>
      <c r="D172" s="164">
        <v>1</v>
      </c>
      <c r="E172" s="17"/>
      <c r="F172" s="173">
        <v>0</v>
      </c>
      <c r="G172" s="173"/>
      <c r="H172" s="173">
        <v>1</v>
      </c>
      <c r="I172" s="164">
        <v>0</v>
      </c>
      <c r="J172" s="17"/>
      <c r="K172" s="17"/>
      <c r="L172" s="173">
        <v>0</v>
      </c>
      <c r="M172" s="173"/>
      <c r="N172" s="164">
        <v>0</v>
      </c>
      <c r="O172" s="173">
        <v>0</v>
      </c>
      <c r="P172" s="173">
        <v>0</v>
      </c>
      <c r="Q172" s="173">
        <v>0</v>
      </c>
    </row>
    <row r="173" spans="1:17" x14ac:dyDescent="0.25">
      <c r="A173" s="102">
        <v>6</v>
      </c>
      <c r="B173" s="99" t="s">
        <v>846</v>
      </c>
      <c r="C173" s="192" t="s">
        <v>847</v>
      </c>
      <c r="D173" s="164">
        <v>1669745416.181016</v>
      </c>
      <c r="E173" s="17"/>
      <c r="F173" s="164">
        <v>1598186093.1887257</v>
      </c>
      <c r="G173" s="17"/>
      <c r="H173" s="164">
        <v>71559280.30532819</v>
      </c>
      <c r="I173" s="164">
        <v>42.686962046929459</v>
      </c>
      <c r="J173" s="17"/>
      <c r="K173" s="17"/>
      <c r="L173" s="164">
        <v>42.686962046929459</v>
      </c>
      <c r="M173" s="164"/>
      <c r="N173" s="164">
        <v>0</v>
      </c>
      <c r="O173" s="173">
        <v>0</v>
      </c>
      <c r="P173" s="173">
        <v>0</v>
      </c>
      <c r="Q173" s="173">
        <v>0</v>
      </c>
    </row>
    <row r="174" spans="1:17" x14ac:dyDescent="0.25">
      <c r="A174" s="104">
        <v>7</v>
      </c>
      <c r="B174" s="193" t="s">
        <v>894</v>
      </c>
      <c r="C174" s="194" t="s">
        <v>895</v>
      </c>
      <c r="D174" s="139">
        <v>1934220203.6338449</v>
      </c>
      <c r="E174" s="14"/>
      <c r="F174" s="139">
        <v>1930555243.6338449</v>
      </c>
      <c r="G174" s="14"/>
      <c r="H174" s="139">
        <v>0</v>
      </c>
      <c r="I174" s="139">
        <v>3664960</v>
      </c>
      <c r="J174" s="14"/>
      <c r="K174" s="14"/>
      <c r="L174" s="139">
        <v>0</v>
      </c>
      <c r="M174" s="139"/>
      <c r="N174" s="139">
        <v>3664960</v>
      </c>
      <c r="O174" s="139">
        <v>3638108</v>
      </c>
      <c r="P174" s="139">
        <v>26852</v>
      </c>
      <c r="Q174" s="139">
        <v>0</v>
      </c>
    </row>
    <row r="175" spans="1:17" x14ac:dyDescent="0.25">
      <c r="A175" s="104">
        <v>8</v>
      </c>
      <c r="B175" s="193" t="s">
        <v>27</v>
      </c>
      <c r="C175" s="194" t="s">
        <v>28</v>
      </c>
      <c r="D175" s="139">
        <v>99667059.118461341</v>
      </c>
      <c r="E175" s="14"/>
      <c r="F175" s="139">
        <v>0</v>
      </c>
      <c r="G175" s="14"/>
      <c r="H175" s="139">
        <v>99667059.118461341</v>
      </c>
      <c r="I175" s="139">
        <v>0</v>
      </c>
      <c r="J175" s="14"/>
      <c r="K175" s="14"/>
      <c r="L175" s="139">
        <v>0</v>
      </c>
      <c r="M175" s="139"/>
      <c r="N175" s="139">
        <v>0</v>
      </c>
      <c r="O175" s="139">
        <v>0</v>
      </c>
      <c r="P175" s="139">
        <v>0</v>
      </c>
      <c r="Q175" s="139">
        <v>0</v>
      </c>
    </row>
    <row r="176" spans="1:17" x14ac:dyDescent="0.25">
      <c r="A176" s="104">
        <v>9</v>
      </c>
      <c r="B176" s="193" t="s">
        <v>29</v>
      </c>
      <c r="C176" s="194" t="s">
        <v>30</v>
      </c>
      <c r="D176" s="139">
        <v>666586.39999999979</v>
      </c>
      <c r="E176" s="14"/>
      <c r="F176" s="139">
        <v>0</v>
      </c>
      <c r="G176" s="14"/>
      <c r="H176" s="139">
        <v>0</v>
      </c>
      <c r="I176" s="139">
        <v>666586.39999999979</v>
      </c>
      <c r="J176" s="14"/>
      <c r="K176" s="14"/>
      <c r="L176" s="139">
        <v>666586.39999999979</v>
      </c>
      <c r="M176" s="139"/>
      <c r="N176" s="139">
        <v>0</v>
      </c>
      <c r="O176" s="139">
        <v>0</v>
      </c>
      <c r="P176" s="139">
        <v>0</v>
      </c>
      <c r="Q176" s="139">
        <v>0</v>
      </c>
    </row>
    <row r="177" spans="1:17" x14ac:dyDescent="0.25">
      <c r="A177" s="104">
        <v>10</v>
      </c>
      <c r="B177" s="193" t="s">
        <v>31</v>
      </c>
      <c r="C177" s="194" t="s">
        <v>32</v>
      </c>
      <c r="D177" s="139">
        <v>6583506598.6909037</v>
      </c>
      <c r="E177" s="14"/>
      <c r="F177" s="139">
        <v>6176080356.5448399</v>
      </c>
      <c r="G177" s="14"/>
      <c r="H177" s="139">
        <v>313513581.85950136</v>
      </c>
      <c r="I177" s="139">
        <v>93912660.286563247</v>
      </c>
      <c r="J177" s="14"/>
      <c r="K177" s="14"/>
      <c r="L177" s="139">
        <v>541446.03718470759</v>
      </c>
      <c r="M177" s="139"/>
      <c r="N177" s="139">
        <v>93371214.249378547</v>
      </c>
      <c r="O177" s="139">
        <v>48543417.172433108</v>
      </c>
      <c r="P177" s="139">
        <v>44827797.076945439</v>
      </c>
      <c r="Q177" s="139">
        <v>9.8405646652797123E-12</v>
      </c>
    </row>
    <row r="178" spans="1:17" x14ac:dyDescent="0.25">
      <c r="A178" s="104">
        <v>11</v>
      </c>
      <c r="B178" s="193" t="s">
        <v>33</v>
      </c>
      <c r="C178" s="194" t="s">
        <v>34</v>
      </c>
      <c r="D178" s="139">
        <v>5670667054.7712746</v>
      </c>
      <c r="E178" s="14"/>
      <c r="F178" s="139">
        <v>5320147419.2916718</v>
      </c>
      <c r="G178" s="14"/>
      <c r="H178" s="139">
        <v>268576867.75356632</v>
      </c>
      <c r="I178" s="139">
        <v>81942767.72603628</v>
      </c>
      <c r="J178" s="14"/>
      <c r="K178" s="14"/>
      <c r="L178" s="139">
        <v>450774.30744953413</v>
      </c>
      <c r="M178" s="139"/>
      <c r="N178" s="139">
        <v>81491993.418586746</v>
      </c>
      <c r="O178" s="139">
        <v>42275518.893805005</v>
      </c>
      <c r="P178" s="139">
        <v>39216474.524781741</v>
      </c>
      <c r="Q178" s="139">
        <v>8.589298353960229E-12</v>
      </c>
    </row>
    <row r="179" spans="1:17" x14ac:dyDescent="0.25">
      <c r="A179" s="104">
        <v>12</v>
      </c>
      <c r="B179" s="193" t="s">
        <v>35</v>
      </c>
      <c r="C179" s="194" t="s">
        <v>502</v>
      </c>
      <c r="D179" s="139">
        <v>961676.92</v>
      </c>
      <c r="E179" s="14"/>
      <c r="F179" s="139">
        <v>748975.63997494429</v>
      </c>
      <c r="G179" s="14"/>
      <c r="H179" s="139">
        <v>0</v>
      </c>
      <c r="I179" s="139">
        <v>212701.28002505572</v>
      </c>
      <c r="J179" s="14"/>
      <c r="K179" s="14"/>
      <c r="L179" s="139">
        <v>0</v>
      </c>
      <c r="M179" s="139"/>
      <c r="N179" s="139">
        <v>212701.28002505572</v>
      </c>
      <c r="O179" s="139">
        <v>107876.14480703727</v>
      </c>
      <c r="P179" s="139">
        <v>104825.13521801845</v>
      </c>
      <c r="Q179" s="139">
        <v>0</v>
      </c>
    </row>
    <row r="180" spans="1:17" x14ac:dyDescent="0.25">
      <c r="A180" s="104">
        <v>13</v>
      </c>
      <c r="B180" s="193" t="s">
        <v>36</v>
      </c>
      <c r="C180" s="194" t="s">
        <v>2022</v>
      </c>
      <c r="D180" s="139">
        <v>-17139455</v>
      </c>
      <c r="E180" s="14"/>
      <c r="F180" s="139">
        <v>-16101723</v>
      </c>
      <c r="G180" s="14"/>
      <c r="H180" s="139">
        <v>-787350</v>
      </c>
      <c r="I180" s="139">
        <v>-250382</v>
      </c>
      <c r="J180" s="14"/>
      <c r="K180" s="14"/>
      <c r="L180" s="139">
        <v>-1216</v>
      </c>
      <c r="M180" s="139"/>
      <c r="N180" s="139">
        <v>-249166</v>
      </c>
      <c r="O180" s="139">
        <v>-129503</v>
      </c>
      <c r="P180" s="139">
        <v>-119663</v>
      </c>
      <c r="Q180" s="139"/>
    </row>
    <row r="181" spans="1:17" x14ac:dyDescent="0.25">
      <c r="A181" s="104">
        <v>14</v>
      </c>
      <c r="B181" s="193" t="s">
        <v>37</v>
      </c>
      <c r="C181" s="197" t="s">
        <v>1848</v>
      </c>
      <c r="D181" s="139">
        <v>360402687.23587352</v>
      </c>
      <c r="E181" s="14"/>
      <c r="F181" s="139">
        <v>338847360.15148407</v>
      </c>
      <c r="G181" s="14"/>
      <c r="H181" s="139">
        <v>14104644.622330945</v>
      </c>
      <c r="I181" s="139">
        <v>7450682.4620584622</v>
      </c>
      <c r="J181" s="14"/>
      <c r="K181" s="14"/>
      <c r="L181" s="139">
        <v>1460.0950251092997</v>
      </c>
      <c r="M181" s="139"/>
      <c r="N181" s="139">
        <v>7449222.3670333531</v>
      </c>
      <c r="O181" s="139">
        <v>3773277.3332253089</v>
      </c>
      <c r="P181" s="139">
        <v>3675945.0338080446</v>
      </c>
      <c r="Q181" s="139">
        <v>0</v>
      </c>
    </row>
    <row r="182" spans="1:17" x14ac:dyDescent="0.25">
      <c r="A182" s="104">
        <v>15</v>
      </c>
      <c r="B182" s="193" t="s">
        <v>38</v>
      </c>
      <c r="C182" s="197" t="s">
        <v>1849</v>
      </c>
      <c r="D182" s="139">
        <v>70228787.999999985</v>
      </c>
      <c r="E182" s="14"/>
      <c r="F182" s="139">
        <v>65122841.734478846</v>
      </c>
      <c r="G182" s="14"/>
      <c r="H182" s="139">
        <v>3337322.9566006172</v>
      </c>
      <c r="I182" s="139">
        <v>1768623.3089205232</v>
      </c>
      <c r="J182" s="14"/>
      <c r="K182" s="14"/>
      <c r="L182" s="139">
        <v>191.18060826738329</v>
      </c>
      <c r="M182" s="139"/>
      <c r="N182" s="139">
        <v>1768432.1283122557</v>
      </c>
      <c r="O182" s="139">
        <v>895693.85433684115</v>
      </c>
      <c r="P182" s="139">
        <v>872738.27397541446</v>
      </c>
      <c r="Q182" s="139">
        <v>0</v>
      </c>
    </row>
    <row r="183" spans="1:17" x14ac:dyDescent="0.25">
      <c r="A183" s="104">
        <v>16</v>
      </c>
      <c r="B183" s="193" t="s">
        <v>39</v>
      </c>
      <c r="C183" s="197" t="s">
        <v>1850</v>
      </c>
      <c r="D183" s="139">
        <v>10111.9999999999</v>
      </c>
      <c r="E183" s="14"/>
      <c r="F183" s="139">
        <v>9475.2224869987585</v>
      </c>
      <c r="G183" s="14"/>
      <c r="H183" s="139">
        <v>433.07324243980361</v>
      </c>
      <c r="I183" s="139">
        <v>203.70427056133772</v>
      </c>
      <c r="J183" s="14"/>
      <c r="K183" s="14"/>
      <c r="L183" s="139">
        <v>3.0353130144461241E-2</v>
      </c>
      <c r="M183" s="139"/>
      <c r="N183" s="139">
        <v>203.67391743119327</v>
      </c>
      <c r="O183" s="139">
        <v>103.29771878963662</v>
      </c>
      <c r="P183" s="139">
        <v>100.37619864155664</v>
      </c>
      <c r="Q183" s="139">
        <v>0</v>
      </c>
    </row>
    <row r="184" spans="1:17" x14ac:dyDescent="0.25">
      <c r="A184" s="104">
        <v>17</v>
      </c>
      <c r="B184" s="193" t="s">
        <v>40</v>
      </c>
      <c r="C184" s="197" t="s">
        <v>1851</v>
      </c>
      <c r="D184" s="139">
        <v>314366.99999999895</v>
      </c>
      <c r="E184" s="14"/>
      <c r="F184" s="139">
        <v>294746.22171646002</v>
      </c>
      <c r="G184" s="14"/>
      <c r="H184" s="139">
        <v>13267.744860055227</v>
      </c>
      <c r="I184" s="139">
        <v>6353.0334234836937</v>
      </c>
      <c r="J184" s="14"/>
      <c r="K184" s="14"/>
      <c r="L184" s="139">
        <v>0.99701250287542342</v>
      </c>
      <c r="M184" s="139"/>
      <c r="N184" s="139">
        <v>6352.0364109808179</v>
      </c>
      <c r="O184" s="139">
        <v>3220.8806214648862</v>
      </c>
      <c r="P184" s="139">
        <v>3131.1557895159312</v>
      </c>
      <c r="Q184" s="139">
        <v>0</v>
      </c>
    </row>
    <row r="185" spans="1:17" x14ac:dyDescent="0.25">
      <c r="A185" s="104">
        <v>18</v>
      </c>
      <c r="B185" s="193" t="s">
        <v>41</v>
      </c>
      <c r="C185" s="197" t="s">
        <v>1852</v>
      </c>
      <c r="D185" s="139">
        <v>126175143.15006199</v>
      </c>
      <c r="E185" s="14"/>
      <c r="F185" s="139">
        <v>118729230.91692664</v>
      </c>
      <c r="G185" s="14"/>
      <c r="H185" s="139">
        <v>4846459.8605164783</v>
      </c>
      <c r="I185" s="139">
        <v>2599452.3726188829</v>
      </c>
      <c r="J185" s="14"/>
      <c r="K185" s="14"/>
      <c r="L185" s="139">
        <v>530.61164208232424</v>
      </c>
      <c r="M185" s="139"/>
      <c r="N185" s="139">
        <v>2598921.7609768007</v>
      </c>
      <c r="O185" s="139">
        <v>1316123.8173734839</v>
      </c>
      <c r="P185" s="139">
        <v>1282797.9436033166</v>
      </c>
      <c r="Q185" s="139">
        <v>0</v>
      </c>
    </row>
    <row r="186" spans="1:17" x14ac:dyDescent="0.25">
      <c r="A186" s="104">
        <v>19</v>
      </c>
      <c r="B186" s="193" t="s">
        <v>42</v>
      </c>
      <c r="C186" s="197" t="s">
        <v>1853</v>
      </c>
      <c r="D186" s="139">
        <v>12718232.999999998</v>
      </c>
      <c r="E186" s="14"/>
      <c r="F186" s="139">
        <v>11594591.012661019</v>
      </c>
      <c r="G186" s="14"/>
      <c r="H186" s="139">
        <v>757929.97893591877</v>
      </c>
      <c r="I186" s="139">
        <v>365712.00840306107</v>
      </c>
      <c r="J186" s="14"/>
      <c r="K186" s="14"/>
      <c r="L186" s="139">
        <v>28.815631875631475</v>
      </c>
      <c r="M186" s="139"/>
      <c r="N186" s="139">
        <v>365683.19277118542</v>
      </c>
      <c r="O186" s="139">
        <v>185464.29552392534</v>
      </c>
      <c r="P186" s="139">
        <v>180218.89724726012</v>
      </c>
      <c r="Q186" s="139">
        <v>0</v>
      </c>
    </row>
    <row r="187" spans="1:17" x14ac:dyDescent="0.25">
      <c r="A187" s="104">
        <v>20</v>
      </c>
      <c r="B187" s="193" t="s">
        <v>43</v>
      </c>
      <c r="C187" s="194" t="s">
        <v>44</v>
      </c>
      <c r="D187" s="139">
        <v>0</v>
      </c>
      <c r="E187" s="14"/>
      <c r="F187" s="139">
        <v>0</v>
      </c>
      <c r="G187" s="14"/>
      <c r="H187" s="139">
        <v>0</v>
      </c>
      <c r="I187" s="139">
        <v>0</v>
      </c>
      <c r="J187" s="14"/>
      <c r="K187" s="14"/>
      <c r="L187" s="139">
        <v>0</v>
      </c>
      <c r="M187" s="139"/>
      <c r="N187" s="139">
        <v>0</v>
      </c>
      <c r="O187" s="139">
        <v>0</v>
      </c>
      <c r="P187" s="139">
        <v>0</v>
      </c>
      <c r="Q187" s="139">
        <v>0</v>
      </c>
    </row>
    <row r="188" spans="1:17" x14ac:dyDescent="0.25">
      <c r="A188" s="104">
        <v>21</v>
      </c>
      <c r="B188" s="193" t="s">
        <v>45</v>
      </c>
      <c r="C188" s="194" t="s">
        <v>46</v>
      </c>
      <c r="D188" s="139">
        <v>0</v>
      </c>
      <c r="E188" s="14"/>
      <c r="F188" s="139">
        <v>0</v>
      </c>
      <c r="G188" s="14"/>
      <c r="H188" s="139">
        <v>0</v>
      </c>
      <c r="I188" s="139">
        <v>0</v>
      </c>
      <c r="J188" s="14"/>
      <c r="K188" s="14"/>
      <c r="L188" s="139">
        <v>0</v>
      </c>
      <c r="M188" s="139"/>
      <c r="N188" s="139">
        <v>0</v>
      </c>
      <c r="O188" s="139">
        <v>0</v>
      </c>
      <c r="P188" s="139">
        <v>0</v>
      </c>
      <c r="Q188" s="139">
        <v>0</v>
      </c>
    </row>
    <row r="189" spans="1:17" x14ac:dyDescent="0.25">
      <c r="A189" s="104">
        <v>22</v>
      </c>
      <c r="B189" s="193" t="s">
        <v>47</v>
      </c>
      <c r="C189" s="194" t="s">
        <v>48</v>
      </c>
      <c r="D189" s="139">
        <v>0</v>
      </c>
      <c r="E189" s="14"/>
      <c r="F189" s="139">
        <v>0</v>
      </c>
      <c r="G189" s="14"/>
      <c r="H189" s="139">
        <v>0</v>
      </c>
      <c r="I189" s="139">
        <v>0</v>
      </c>
      <c r="J189" s="14"/>
      <c r="K189" s="14"/>
      <c r="L189" s="139">
        <v>0</v>
      </c>
      <c r="M189" s="139"/>
      <c r="N189" s="139">
        <v>0</v>
      </c>
      <c r="O189" s="139">
        <v>0</v>
      </c>
      <c r="P189" s="139">
        <v>0</v>
      </c>
      <c r="Q189" s="139">
        <v>0</v>
      </c>
    </row>
    <row r="190" spans="1:17" x14ac:dyDescent="0.25">
      <c r="A190" s="104">
        <v>23</v>
      </c>
      <c r="B190" s="193" t="s">
        <v>49</v>
      </c>
      <c r="C190" s="194" t="s">
        <v>50</v>
      </c>
      <c r="D190" s="139">
        <v>0</v>
      </c>
      <c r="E190" s="14"/>
      <c r="F190" s="139">
        <v>0</v>
      </c>
      <c r="G190" s="14"/>
      <c r="H190" s="139">
        <v>0</v>
      </c>
      <c r="I190" s="139">
        <v>0</v>
      </c>
      <c r="J190" s="14"/>
      <c r="K190" s="14"/>
      <c r="L190" s="139">
        <v>0</v>
      </c>
      <c r="M190" s="139"/>
      <c r="N190" s="139">
        <v>0</v>
      </c>
      <c r="O190" s="139">
        <v>0</v>
      </c>
      <c r="P190" s="139">
        <v>0</v>
      </c>
      <c r="Q190" s="139">
        <v>0</v>
      </c>
    </row>
    <row r="191" spans="1:17" x14ac:dyDescent="0.25">
      <c r="A191" s="104">
        <v>24</v>
      </c>
      <c r="B191" s="193" t="s">
        <v>51</v>
      </c>
      <c r="C191" s="194" t="s">
        <v>52</v>
      </c>
      <c r="D191" s="139">
        <v>0</v>
      </c>
      <c r="E191" s="14"/>
      <c r="F191" s="139">
        <v>0</v>
      </c>
      <c r="G191" s="14"/>
      <c r="H191" s="139">
        <v>0</v>
      </c>
      <c r="I191" s="139">
        <v>0</v>
      </c>
      <c r="J191" s="14"/>
      <c r="K191" s="14"/>
      <c r="L191" s="139">
        <v>0</v>
      </c>
      <c r="M191" s="139"/>
      <c r="N191" s="139">
        <v>0</v>
      </c>
      <c r="O191" s="139">
        <v>0</v>
      </c>
      <c r="P191" s="139">
        <v>0</v>
      </c>
      <c r="Q191" s="139">
        <v>0</v>
      </c>
    </row>
    <row r="192" spans="1:17" x14ac:dyDescent="0.25">
      <c r="A192" s="104">
        <v>25</v>
      </c>
      <c r="B192" s="193" t="s">
        <v>493</v>
      </c>
      <c r="C192" s="194" t="s">
        <v>494</v>
      </c>
      <c r="D192" s="139">
        <v>0</v>
      </c>
      <c r="E192" s="14"/>
      <c r="F192" s="139">
        <v>0</v>
      </c>
      <c r="G192" s="14"/>
      <c r="H192" s="139">
        <v>0</v>
      </c>
      <c r="I192" s="139">
        <v>0</v>
      </c>
      <c r="J192" s="14"/>
      <c r="K192" s="14"/>
      <c r="L192" s="139">
        <v>0</v>
      </c>
      <c r="M192" s="139"/>
      <c r="N192" s="139">
        <v>0</v>
      </c>
      <c r="O192" s="139">
        <v>0</v>
      </c>
      <c r="P192" s="139">
        <v>0</v>
      </c>
      <c r="Q192" s="139">
        <v>0</v>
      </c>
    </row>
    <row r="193" spans="1:17" x14ac:dyDescent="0.25">
      <c r="A193" s="104">
        <v>26</v>
      </c>
      <c r="B193" s="193" t="s">
        <v>495</v>
      </c>
      <c r="C193" s="197" t="s">
        <v>1854</v>
      </c>
      <c r="D193" s="139">
        <v>29803591.999999885</v>
      </c>
      <c r="E193" s="14"/>
      <c r="F193" s="139">
        <v>26995225.247647364</v>
      </c>
      <c r="G193" s="14"/>
      <c r="H193" s="139">
        <v>2808280.3179111048</v>
      </c>
      <c r="I193" s="139">
        <v>86.434441417873344</v>
      </c>
      <c r="J193" s="14"/>
      <c r="K193" s="14"/>
      <c r="L193" s="139">
        <v>86.434441417873344</v>
      </c>
      <c r="M193" s="139"/>
      <c r="N193" s="139">
        <v>0</v>
      </c>
      <c r="O193" s="139">
        <v>0</v>
      </c>
      <c r="P193" s="139">
        <v>0</v>
      </c>
      <c r="Q193" s="139">
        <v>0</v>
      </c>
    </row>
    <row r="194" spans="1:17" x14ac:dyDescent="0.25">
      <c r="A194" s="104">
        <v>27</v>
      </c>
      <c r="B194" s="193" t="s">
        <v>496</v>
      </c>
      <c r="C194" s="197" t="s">
        <v>1855</v>
      </c>
      <c r="D194" s="139">
        <v>15907907</v>
      </c>
      <c r="E194" s="14"/>
      <c r="F194" s="139">
        <v>14413860.164243603</v>
      </c>
      <c r="G194" s="14"/>
      <c r="H194" s="139">
        <v>1494000.8527651818</v>
      </c>
      <c r="I194" s="139">
        <v>45.982991214580231</v>
      </c>
      <c r="J194" s="14"/>
      <c r="K194" s="14"/>
      <c r="L194" s="139">
        <v>45.982991214580231</v>
      </c>
      <c r="M194" s="139"/>
      <c r="N194" s="139">
        <v>0</v>
      </c>
      <c r="O194" s="139">
        <v>0</v>
      </c>
      <c r="P194" s="139">
        <v>0</v>
      </c>
      <c r="Q194" s="139">
        <v>0</v>
      </c>
    </row>
    <row r="195" spans="1:17" x14ac:dyDescent="0.25">
      <c r="A195" s="104">
        <v>28</v>
      </c>
      <c r="B195" s="193" t="s">
        <v>497</v>
      </c>
      <c r="C195" s="194" t="s">
        <v>498</v>
      </c>
      <c r="D195" s="139">
        <v>7409760.9999999991</v>
      </c>
      <c r="E195" s="14"/>
      <c r="F195" s="139">
        <v>6711545.61591883</v>
      </c>
      <c r="G195" s="14"/>
      <c r="H195" s="139">
        <v>698193.89477366977</v>
      </c>
      <c r="I195" s="139">
        <v>21.489307499409637</v>
      </c>
      <c r="J195" s="14"/>
      <c r="K195" s="14"/>
      <c r="L195" s="139">
        <v>21.489307499409637</v>
      </c>
      <c r="M195" s="139"/>
      <c r="N195" s="139">
        <v>0</v>
      </c>
      <c r="O195" s="139">
        <v>0</v>
      </c>
      <c r="P195" s="139">
        <v>0</v>
      </c>
      <c r="Q195" s="139">
        <v>0</v>
      </c>
    </row>
    <row r="196" spans="1:17" x14ac:dyDescent="0.25">
      <c r="A196" s="104">
        <v>29</v>
      </c>
      <c r="B196" s="193" t="s">
        <v>499</v>
      </c>
      <c r="C196" s="194" t="s">
        <v>500</v>
      </c>
      <c r="D196" s="139">
        <v>0</v>
      </c>
      <c r="E196" s="14"/>
      <c r="F196" s="139">
        <v>0</v>
      </c>
      <c r="G196" s="14"/>
      <c r="H196" s="139">
        <v>0</v>
      </c>
      <c r="I196" s="139">
        <v>0</v>
      </c>
      <c r="J196" s="14"/>
      <c r="K196" s="14"/>
      <c r="L196" s="139">
        <v>0</v>
      </c>
      <c r="M196" s="139"/>
      <c r="N196" s="139">
        <v>0</v>
      </c>
      <c r="O196" s="139">
        <v>0</v>
      </c>
      <c r="P196" s="139">
        <v>0</v>
      </c>
      <c r="Q196" s="139">
        <v>0</v>
      </c>
    </row>
    <row r="197" spans="1:17" x14ac:dyDescent="0.25">
      <c r="A197" s="104">
        <v>30</v>
      </c>
      <c r="B197" s="193" t="s">
        <v>501</v>
      </c>
      <c r="C197" s="197" t="s">
        <v>1856</v>
      </c>
      <c r="D197" s="139">
        <v>25125956.000000004</v>
      </c>
      <c r="E197" s="14"/>
      <c r="F197" s="139">
        <v>23780969.1279299</v>
      </c>
      <c r="G197" s="14"/>
      <c r="H197" s="139">
        <v>1290982.3485038283</v>
      </c>
      <c r="I197" s="139">
        <v>54004.523566274322</v>
      </c>
      <c r="J197" s="14"/>
      <c r="K197" s="14"/>
      <c r="L197" s="139">
        <v>7874.9366464652903</v>
      </c>
      <c r="M197" s="139"/>
      <c r="N197" s="139">
        <v>46129.586919809029</v>
      </c>
      <c r="O197" s="139">
        <v>43086.713873458924</v>
      </c>
      <c r="P197" s="139">
        <v>3042.8730463501024</v>
      </c>
      <c r="Q197" s="139">
        <v>0</v>
      </c>
    </row>
    <row r="198" spans="1:17" x14ac:dyDescent="0.25">
      <c r="A198" s="104">
        <v>31</v>
      </c>
      <c r="B198" s="193" t="s">
        <v>509</v>
      </c>
      <c r="C198" s="197" t="s">
        <v>1857</v>
      </c>
      <c r="D198" s="139">
        <v>34902097.000000007</v>
      </c>
      <c r="E198" s="14"/>
      <c r="F198" s="139">
        <v>32831572.161375362</v>
      </c>
      <c r="G198" s="14"/>
      <c r="H198" s="139">
        <v>2048727.3970772931</v>
      </c>
      <c r="I198" s="139">
        <v>21797.44154735142</v>
      </c>
      <c r="J198" s="14"/>
      <c r="K198" s="14"/>
      <c r="L198" s="139">
        <v>5639.5965418697642</v>
      </c>
      <c r="M198" s="139"/>
      <c r="N198" s="139">
        <v>16157.845005481655</v>
      </c>
      <c r="O198" s="139">
        <v>16153.191292324864</v>
      </c>
      <c r="P198" s="139">
        <v>4.6537131567910688</v>
      </c>
      <c r="Q198" s="139">
        <v>0</v>
      </c>
    </row>
    <row r="199" spans="1:17" x14ac:dyDescent="0.25">
      <c r="A199" s="104">
        <v>32</v>
      </c>
      <c r="B199" s="193" t="s">
        <v>510</v>
      </c>
      <c r="C199" s="194" t="s">
        <v>511</v>
      </c>
      <c r="D199" s="139">
        <v>22794160</v>
      </c>
      <c r="E199" s="14"/>
      <c r="F199" s="139">
        <v>21629009.785395268</v>
      </c>
      <c r="G199" s="14"/>
      <c r="H199" s="139">
        <v>1116621.6579729361</v>
      </c>
      <c r="I199" s="139">
        <v>48528.556631794898</v>
      </c>
      <c r="J199" s="14"/>
      <c r="K199" s="14"/>
      <c r="L199" s="139">
        <v>7468.1125111309611</v>
      </c>
      <c r="M199" s="139"/>
      <c r="N199" s="139">
        <v>41060.444120663939</v>
      </c>
      <c r="O199" s="139">
        <v>40759.607264183083</v>
      </c>
      <c r="P199" s="139">
        <v>300.83685648085333</v>
      </c>
      <c r="Q199" s="139">
        <v>0</v>
      </c>
    </row>
    <row r="200" spans="1:17" x14ac:dyDescent="0.25">
      <c r="A200" s="104">
        <v>33</v>
      </c>
      <c r="B200" s="193" t="s">
        <v>512</v>
      </c>
      <c r="C200" s="194" t="s">
        <v>513</v>
      </c>
      <c r="D200" s="139">
        <v>0</v>
      </c>
      <c r="E200" s="14"/>
      <c r="F200" s="139">
        <v>0</v>
      </c>
      <c r="G200" s="14"/>
      <c r="H200" s="139">
        <v>0</v>
      </c>
      <c r="I200" s="139">
        <v>0</v>
      </c>
      <c r="J200" s="14"/>
      <c r="K200" s="14"/>
      <c r="L200" s="139">
        <v>0</v>
      </c>
      <c r="M200" s="139"/>
      <c r="N200" s="139">
        <v>0</v>
      </c>
      <c r="O200" s="139">
        <v>0</v>
      </c>
      <c r="P200" s="139">
        <v>0</v>
      </c>
      <c r="Q200" s="139">
        <v>0</v>
      </c>
    </row>
    <row r="201" spans="1:17" x14ac:dyDescent="0.25">
      <c r="A201" s="104">
        <v>34</v>
      </c>
      <c r="B201" s="193" t="s">
        <v>514</v>
      </c>
      <c r="C201" s="197" t="s">
        <v>1858</v>
      </c>
      <c r="D201" s="139">
        <v>30289429</v>
      </c>
      <c r="E201" s="14"/>
      <c r="F201" s="139">
        <v>28775925.416403897</v>
      </c>
      <c r="G201" s="14"/>
      <c r="H201" s="139">
        <v>1504842.6759818422</v>
      </c>
      <c r="I201" s="139">
        <v>8660.9076142600188</v>
      </c>
      <c r="J201" s="14"/>
      <c r="K201" s="14"/>
      <c r="L201" s="139">
        <v>199.56008327788064</v>
      </c>
      <c r="M201" s="139"/>
      <c r="N201" s="139">
        <v>8461.3475309821388</v>
      </c>
      <c r="O201" s="139">
        <v>3392.5214157239707</v>
      </c>
      <c r="P201" s="139">
        <v>5068.8261152581681</v>
      </c>
      <c r="Q201" s="139">
        <v>0</v>
      </c>
    </row>
    <row r="202" spans="1:17" x14ac:dyDescent="0.25">
      <c r="A202" s="104">
        <v>35</v>
      </c>
      <c r="B202" s="193" t="s">
        <v>515</v>
      </c>
      <c r="C202" s="194" t="s">
        <v>516</v>
      </c>
      <c r="D202" s="139">
        <v>3641154</v>
      </c>
      <c r="E202" s="14"/>
      <c r="F202" s="139">
        <v>3459212.6491932455</v>
      </c>
      <c r="G202" s="14"/>
      <c r="H202" s="139">
        <v>180900.20544863981</v>
      </c>
      <c r="I202" s="139">
        <v>1041.145358114652</v>
      </c>
      <c r="J202" s="14"/>
      <c r="K202" s="14"/>
      <c r="L202" s="139">
        <v>23.989524380521935</v>
      </c>
      <c r="M202" s="139"/>
      <c r="N202" s="139">
        <v>1017.1558337341302</v>
      </c>
      <c r="O202" s="139">
        <v>407.82191446887293</v>
      </c>
      <c r="P202" s="139">
        <v>609.33391926525724</v>
      </c>
      <c r="Q202" s="139">
        <v>0</v>
      </c>
    </row>
    <row r="203" spans="1:17" x14ac:dyDescent="0.25">
      <c r="A203" s="104">
        <v>36</v>
      </c>
      <c r="B203" s="193" t="s">
        <v>517</v>
      </c>
      <c r="C203" s="197" t="s">
        <v>1859</v>
      </c>
      <c r="D203" s="139">
        <v>12770043.999999991</v>
      </c>
      <c r="E203" s="14"/>
      <c r="F203" s="139">
        <v>12607583.359170897</v>
      </c>
      <c r="G203" s="14"/>
      <c r="H203" s="139">
        <v>162443.31231019559</v>
      </c>
      <c r="I203" s="139">
        <v>17.328518896653513</v>
      </c>
      <c r="J203" s="14"/>
      <c r="K203" s="14"/>
      <c r="L203" s="139">
        <v>17.328518896653513</v>
      </c>
      <c r="M203" s="139"/>
      <c r="N203" s="139">
        <v>0</v>
      </c>
      <c r="O203" s="139">
        <v>0</v>
      </c>
      <c r="P203" s="139">
        <v>0</v>
      </c>
      <c r="Q203" s="139">
        <v>0</v>
      </c>
    </row>
    <row r="204" spans="1:17" x14ac:dyDescent="0.25">
      <c r="A204" s="104">
        <v>37</v>
      </c>
      <c r="B204" s="193" t="s">
        <v>518</v>
      </c>
      <c r="C204" s="194" t="s">
        <v>519</v>
      </c>
      <c r="D204" s="139">
        <v>3641154</v>
      </c>
      <c r="E204" s="14"/>
      <c r="F204" s="139">
        <v>3459212.6491932455</v>
      </c>
      <c r="G204" s="14"/>
      <c r="H204" s="139">
        <v>180900.20544863981</v>
      </c>
      <c r="I204" s="139">
        <v>1041.145358114652</v>
      </c>
      <c r="J204" s="14"/>
      <c r="K204" s="14"/>
      <c r="L204" s="139">
        <v>23.989524380521935</v>
      </c>
      <c r="M204" s="139"/>
      <c r="N204" s="139">
        <v>1017.1558337341302</v>
      </c>
      <c r="O204" s="139">
        <v>407.82191446887293</v>
      </c>
      <c r="P204" s="139">
        <v>609.33391926525724</v>
      </c>
      <c r="Q204" s="139">
        <v>0</v>
      </c>
    </row>
    <row r="205" spans="1:17" x14ac:dyDescent="0.25">
      <c r="A205" s="104">
        <v>38</v>
      </c>
      <c r="B205" s="193" t="s">
        <v>520</v>
      </c>
      <c r="C205" s="197" t="s">
        <v>1860</v>
      </c>
      <c r="D205" s="139">
        <v>1044482.0000000001</v>
      </c>
      <c r="E205" s="14"/>
      <c r="F205" s="139">
        <v>991130.87987548974</v>
      </c>
      <c r="G205" s="14"/>
      <c r="H205" s="139">
        <v>53345.429540695593</v>
      </c>
      <c r="I205" s="139">
        <v>5.6905838147454677</v>
      </c>
      <c r="J205" s="14"/>
      <c r="K205" s="14"/>
      <c r="L205" s="139">
        <v>5.6905838147454677</v>
      </c>
      <c r="M205" s="139"/>
      <c r="N205" s="139">
        <v>0</v>
      </c>
      <c r="O205" s="139">
        <v>0</v>
      </c>
      <c r="P205" s="139">
        <v>0</v>
      </c>
      <c r="Q205" s="139">
        <v>0</v>
      </c>
    </row>
    <row r="206" spans="1:17" x14ac:dyDescent="0.25">
      <c r="A206" s="104">
        <v>39</v>
      </c>
      <c r="B206" s="193" t="s">
        <v>521</v>
      </c>
      <c r="C206" s="194" t="s">
        <v>522</v>
      </c>
      <c r="D206" s="139">
        <v>1701224.9999999998</v>
      </c>
      <c r="E206" s="14"/>
      <c r="F206" s="139">
        <v>1679581.996757844</v>
      </c>
      <c r="G206" s="14"/>
      <c r="H206" s="139">
        <v>21640.694737223512</v>
      </c>
      <c r="I206" s="139">
        <v>2.3085049323212505</v>
      </c>
      <c r="J206" s="14"/>
      <c r="K206" s="14"/>
      <c r="L206" s="139">
        <v>2.3085049323212505</v>
      </c>
      <c r="M206" s="139"/>
      <c r="N206" s="139">
        <v>0</v>
      </c>
      <c r="O206" s="139">
        <v>0</v>
      </c>
      <c r="P206" s="139">
        <v>0</v>
      </c>
      <c r="Q206" s="139">
        <v>0</v>
      </c>
    </row>
    <row r="207" spans="1:17" x14ac:dyDescent="0.25">
      <c r="A207" s="104">
        <v>40</v>
      </c>
      <c r="B207" s="193" t="s">
        <v>523</v>
      </c>
      <c r="C207" s="194" t="s">
        <v>524</v>
      </c>
      <c r="D207" s="139">
        <v>115982377.99999996</v>
      </c>
      <c r="E207" s="14"/>
      <c r="F207" s="139">
        <v>109041366.86803594</v>
      </c>
      <c r="G207" s="14"/>
      <c r="H207" s="139">
        <v>5523628.1826943588</v>
      </c>
      <c r="I207" s="139">
        <v>1417382.9492696577</v>
      </c>
      <c r="J207" s="14"/>
      <c r="K207" s="14"/>
      <c r="L207" s="139">
        <v>7914.6810788677112</v>
      </c>
      <c r="M207" s="139"/>
      <c r="N207" s="139">
        <v>1409468.26819079</v>
      </c>
      <c r="O207" s="139">
        <v>734394.33471722191</v>
      </c>
      <c r="P207" s="139">
        <v>675073.93347356818</v>
      </c>
      <c r="Q207" s="139">
        <v>5.7407288046133519E-12</v>
      </c>
    </row>
    <row r="208" spans="1:17" x14ac:dyDescent="0.25">
      <c r="A208" s="13"/>
      <c r="B208" s="13"/>
      <c r="C208" s="103"/>
      <c r="D208" s="14"/>
      <c r="E208" s="14"/>
      <c r="F208" s="14"/>
      <c r="G208" s="14"/>
      <c r="H208" s="14"/>
      <c r="I208" s="14"/>
      <c r="J208" s="14"/>
      <c r="K208" s="14"/>
      <c r="L208" s="14"/>
      <c r="M208" s="14"/>
      <c r="N208" s="14"/>
      <c r="O208" s="14"/>
      <c r="P208" s="14"/>
      <c r="Q208" s="14"/>
    </row>
    <row r="209" spans="1:17" x14ac:dyDescent="0.25">
      <c r="A209" s="13"/>
      <c r="B209" s="201" t="s">
        <v>836</v>
      </c>
      <c r="C209" s="13"/>
      <c r="D209" s="14"/>
      <c r="E209" s="14"/>
      <c r="F209" s="14"/>
      <c r="G209" s="14"/>
      <c r="H209" s="14"/>
      <c r="I209" s="14"/>
      <c r="J209" s="14"/>
      <c r="K209" s="14"/>
      <c r="L209" s="14"/>
      <c r="M209" s="14"/>
      <c r="N209" s="14"/>
      <c r="O209" s="14"/>
      <c r="P209" s="14"/>
      <c r="Q209" s="14"/>
    </row>
    <row r="210" spans="1:17" x14ac:dyDescent="0.25">
      <c r="A210" s="13"/>
      <c r="B210" s="200" t="s">
        <v>1234</v>
      </c>
      <c r="C210" s="13"/>
      <c r="D210" s="14"/>
      <c r="E210" s="14"/>
      <c r="F210" s="14"/>
      <c r="G210" s="14"/>
      <c r="H210" s="14"/>
      <c r="I210" s="14"/>
      <c r="J210" s="14"/>
      <c r="K210" s="14"/>
      <c r="L210" s="14"/>
      <c r="M210" s="14"/>
      <c r="N210" s="14"/>
      <c r="O210" s="14"/>
      <c r="P210" s="14"/>
      <c r="Q210" s="14"/>
    </row>
    <row r="211" spans="1:17" x14ac:dyDescent="0.25">
      <c r="A211" s="104">
        <v>1</v>
      </c>
      <c r="B211" s="193" t="s">
        <v>2069</v>
      </c>
      <c r="C211" s="194" t="s">
        <v>526</v>
      </c>
      <c r="D211" s="139">
        <v>3709646.9999999898</v>
      </c>
      <c r="E211" s="14"/>
      <c r="F211" s="139">
        <v>3495772.3780923299</v>
      </c>
      <c r="G211" s="14"/>
      <c r="H211" s="139">
        <v>170711.59924071259</v>
      </c>
      <c r="I211" s="139">
        <v>43163.022666947079</v>
      </c>
      <c r="J211" s="14"/>
      <c r="K211" s="14"/>
      <c r="L211" s="139">
        <v>249.25797590426416</v>
      </c>
      <c r="M211" s="139"/>
      <c r="N211" s="139">
        <v>42913.764691042816</v>
      </c>
      <c r="O211" s="139">
        <v>22368.106637309938</v>
      </c>
      <c r="P211" s="139">
        <v>20545.658053732874</v>
      </c>
      <c r="Q211" s="139">
        <v>1.9209287688645555E-13</v>
      </c>
    </row>
    <row r="212" spans="1:17" x14ac:dyDescent="0.25">
      <c r="A212" s="104">
        <v>2</v>
      </c>
      <c r="B212" s="193" t="s">
        <v>527</v>
      </c>
      <c r="C212" s="194" t="s">
        <v>528</v>
      </c>
      <c r="D212" s="139">
        <v>12381934.999999989</v>
      </c>
      <c r="E212" s="14"/>
      <c r="F212" s="139">
        <v>12264475.094738947</v>
      </c>
      <c r="G212" s="14"/>
      <c r="H212" s="139">
        <v>117447.37664994238</v>
      </c>
      <c r="I212" s="139">
        <v>12.528611099449819</v>
      </c>
      <c r="J212" s="14"/>
      <c r="K212" s="14"/>
      <c r="L212" s="139">
        <v>12.528611099449819</v>
      </c>
      <c r="M212" s="139"/>
      <c r="N212" s="139">
        <v>0</v>
      </c>
      <c r="O212" s="139">
        <v>0</v>
      </c>
      <c r="P212" s="139">
        <v>0</v>
      </c>
      <c r="Q212" s="139">
        <v>0</v>
      </c>
    </row>
    <row r="213" spans="1:17" x14ac:dyDescent="0.25">
      <c r="A213" s="104">
        <v>3</v>
      </c>
      <c r="B213" s="193" t="s">
        <v>903</v>
      </c>
      <c r="C213" s="194" t="s">
        <v>904</v>
      </c>
      <c r="D213" s="139">
        <v>1934886790.0338449</v>
      </c>
      <c r="E213" s="14"/>
      <c r="F213" s="139">
        <v>1930555243.6338449</v>
      </c>
      <c r="G213" s="14"/>
      <c r="H213" s="139">
        <v>0</v>
      </c>
      <c r="I213" s="139">
        <v>4331546.3999999994</v>
      </c>
      <c r="J213" s="14"/>
      <c r="K213" s="14"/>
      <c r="L213" s="139">
        <v>666586.39999999979</v>
      </c>
      <c r="M213" s="139"/>
      <c r="N213" s="139">
        <v>3664960</v>
      </c>
      <c r="O213" s="139">
        <v>3638108</v>
      </c>
      <c r="P213" s="139">
        <v>26852</v>
      </c>
      <c r="Q213" s="139">
        <v>0</v>
      </c>
    </row>
    <row r="214" spans="1:17" x14ac:dyDescent="0.25">
      <c r="A214" s="104">
        <v>4</v>
      </c>
      <c r="B214" s="193" t="s">
        <v>905</v>
      </c>
      <c r="C214" s="194" t="s">
        <v>906</v>
      </c>
      <c r="D214" s="139">
        <v>87186421.497237533</v>
      </c>
      <c r="E214" s="14"/>
      <c r="F214" s="139">
        <v>87186421.497237533</v>
      </c>
      <c r="G214" s="170"/>
      <c r="H214" s="170">
        <v>0</v>
      </c>
      <c r="I214" s="139">
        <v>0</v>
      </c>
      <c r="J214" s="14"/>
      <c r="K214" s="14"/>
      <c r="L214" s="170">
        <v>0</v>
      </c>
      <c r="M214" s="170"/>
      <c r="N214" s="139">
        <v>0</v>
      </c>
      <c r="O214" s="170">
        <v>0</v>
      </c>
      <c r="P214" s="170">
        <v>0</v>
      </c>
      <c r="Q214" s="170">
        <v>0</v>
      </c>
    </row>
    <row r="215" spans="1:17" x14ac:dyDescent="0.25">
      <c r="A215" s="104">
        <v>5</v>
      </c>
      <c r="B215" s="193" t="s">
        <v>907</v>
      </c>
      <c r="C215" s="194" t="s">
        <v>908</v>
      </c>
      <c r="D215" s="139">
        <v>4413697.0357205123</v>
      </c>
      <c r="E215" s="14"/>
      <c r="F215" s="170">
        <v>0</v>
      </c>
      <c r="G215" s="170"/>
      <c r="H215" s="139">
        <v>4413697.0357205123</v>
      </c>
      <c r="I215" s="139">
        <v>0</v>
      </c>
      <c r="J215" s="14"/>
      <c r="K215" s="14"/>
      <c r="L215" s="170">
        <v>0</v>
      </c>
      <c r="M215" s="139"/>
      <c r="N215" s="139">
        <v>0</v>
      </c>
      <c r="O215" s="170">
        <v>0</v>
      </c>
      <c r="P215" s="170">
        <v>0</v>
      </c>
      <c r="Q215" s="170">
        <v>0</v>
      </c>
    </row>
    <row r="216" spans="1:17" x14ac:dyDescent="0.25">
      <c r="A216" s="104">
        <v>6</v>
      </c>
      <c r="B216" s="193" t="s">
        <v>909</v>
      </c>
      <c r="C216" s="194" t="s">
        <v>910</v>
      </c>
      <c r="D216" s="139">
        <v>0</v>
      </c>
      <c r="E216" s="14"/>
      <c r="F216" s="170">
        <v>0</v>
      </c>
      <c r="G216" s="170"/>
      <c r="H216" s="170">
        <v>0</v>
      </c>
      <c r="I216" s="139">
        <v>0</v>
      </c>
      <c r="J216" s="14"/>
      <c r="K216" s="14"/>
      <c r="L216" s="170">
        <v>0</v>
      </c>
      <c r="M216" s="170"/>
      <c r="N216" s="139">
        <v>0</v>
      </c>
      <c r="O216" s="170">
        <v>0</v>
      </c>
      <c r="P216" s="170">
        <v>0</v>
      </c>
      <c r="Q216" s="170">
        <v>0</v>
      </c>
    </row>
    <row r="217" spans="1:17" x14ac:dyDescent="0.25">
      <c r="A217" s="104">
        <v>7</v>
      </c>
      <c r="B217" s="193" t="s">
        <v>911</v>
      </c>
      <c r="C217" s="194" t="s">
        <v>53</v>
      </c>
      <c r="D217" s="139">
        <v>1344699.5186879744</v>
      </c>
      <c r="E217" s="14"/>
      <c r="F217" s="170">
        <v>0</v>
      </c>
      <c r="G217" s="170"/>
      <c r="H217" s="170">
        <v>0</v>
      </c>
      <c r="I217" s="139">
        <v>1344699.5186879744</v>
      </c>
      <c r="J217" s="14"/>
      <c r="K217" s="14"/>
      <c r="L217" s="170">
        <v>0</v>
      </c>
      <c r="M217" s="170"/>
      <c r="N217" s="139">
        <v>1344699.5186879744</v>
      </c>
      <c r="O217" s="139">
        <v>701531.71307280974</v>
      </c>
      <c r="P217" s="139">
        <v>643167.80561516469</v>
      </c>
      <c r="Q217" s="170">
        <v>0</v>
      </c>
    </row>
    <row r="218" spans="1:17" x14ac:dyDescent="0.25">
      <c r="A218" s="104">
        <v>8</v>
      </c>
      <c r="B218" s="196" t="s">
        <v>2023</v>
      </c>
      <c r="C218" s="194" t="s">
        <v>2024</v>
      </c>
      <c r="D218" s="139">
        <v>-1535640</v>
      </c>
      <c r="E218" s="14"/>
      <c r="F218" s="170">
        <v>-1512126</v>
      </c>
      <c r="G218" s="170"/>
      <c r="H218" s="170">
        <v>0</v>
      </c>
      <c r="I218" s="139">
        <v>-23514</v>
      </c>
      <c r="J218" s="14"/>
      <c r="K218" s="14"/>
      <c r="L218" s="170">
        <v>-114</v>
      </c>
      <c r="M218" s="170"/>
      <c r="N218" s="139">
        <v>-23400</v>
      </c>
      <c r="O218" s="170">
        <v>-12162</v>
      </c>
      <c r="P218" s="170">
        <v>-11238</v>
      </c>
      <c r="Q218" s="170">
        <v>0</v>
      </c>
    </row>
    <row r="219" spans="1:17" x14ac:dyDescent="0.25">
      <c r="A219" s="104">
        <v>9</v>
      </c>
      <c r="B219" s="193" t="s">
        <v>2025</v>
      </c>
      <c r="C219" s="194" t="s">
        <v>2026</v>
      </c>
      <c r="D219" s="139">
        <v>176737291.03986996</v>
      </c>
      <c r="E219" s="14"/>
      <c r="F219" s="139">
        <v>168260109.9768514</v>
      </c>
      <c r="G219" s="14"/>
      <c r="H219" s="139">
        <v>8464821.4795001671</v>
      </c>
      <c r="I219" s="139">
        <v>12359.583518376177</v>
      </c>
      <c r="J219" s="14"/>
      <c r="K219" s="14"/>
      <c r="L219" s="139">
        <v>12359.583518376177</v>
      </c>
      <c r="M219" s="139"/>
      <c r="N219" s="139">
        <v>0</v>
      </c>
      <c r="O219" s="139">
        <v>0</v>
      </c>
      <c r="P219" s="139">
        <v>0</v>
      </c>
      <c r="Q219" s="139">
        <v>0</v>
      </c>
    </row>
    <row r="220" spans="1:17" x14ac:dyDescent="0.25">
      <c r="A220" s="104">
        <v>10</v>
      </c>
      <c r="B220" s="193" t="s">
        <v>2027</v>
      </c>
      <c r="C220" s="194" t="s">
        <v>2028</v>
      </c>
      <c r="D220" s="139">
        <v>1073168343.9856665</v>
      </c>
      <c r="E220" s="14"/>
      <c r="F220" s="139">
        <v>1025412885.8886671</v>
      </c>
      <c r="G220" s="14"/>
      <c r="H220" s="139">
        <v>47752174.953126453</v>
      </c>
      <c r="I220" s="139">
        <v>3283.1438729639744</v>
      </c>
      <c r="J220" s="14"/>
      <c r="K220" s="14"/>
      <c r="L220" s="139">
        <v>3283.1438729639744</v>
      </c>
      <c r="M220" s="139"/>
      <c r="N220" s="139">
        <v>0</v>
      </c>
      <c r="O220" s="139">
        <v>0</v>
      </c>
      <c r="P220" s="139">
        <v>0</v>
      </c>
      <c r="Q220" s="139">
        <v>0</v>
      </c>
    </row>
    <row r="221" spans="1:17" x14ac:dyDescent="0.25">
      <c r="A221" s="104">
        <v>11</v>
      </c>
      <c r="B221" s="13"/>
      <c r="C221" s="103"/>
      <c r="D221" s="14"/>
      <c r="E221" s="14"/>
      <c r="F221" s="14"/>
      <c r="G221" s="14"/>
      <c r="H221" s="14"/>
      <c r="I221" s="14"/>
      <c r="J221" s="14"/>
      <c r="K221" s="14"/>
      <c r="L221" s="14"/>
      <c r="M221" s="14"/>
      <c r="N221" s="14"/>
      <c r="O221" s="14"/>
      <c r="P221" s="14"/>
      <c r="Q221" s="14"/>
    </row>
    <row r="222" spans="1:17" x14ac:dyDescent="0.25">
      <c r="A222" s="104">
        <v>12</v>
      </c>
      <c r="B222" s="13"/>
      <c r="C222" s="13"/>
      <c r="D222" s="14"/>
      <c r="E222" s="14"/>
      <c r="F222" s="14"/>
      <c r="G222" s="14"/>
      <c r="H222" s="14"/>
      <c r="I222" s="14"/>
      <c r="J222" s="14"/>
      <c r="K222" s="14"/>
      <c r="L222" s="14"/>
      <c r="M222" s="14"/>
      <c r="N222" s="14"/>
      <c r="O222" s="14"/>
      <c r="P222" s="14"/>
      <c r="Q222" s="14"/>
    </row>
    <row r="223" spans="1:17" x14ac:dyDescent="0.25">
      <c r="A223" s="104">
        <v>13</v>
      </c>
      <c r="B223" s="13"/>
      <c r="C223" s="13"/>
      <c r="D223" s="14"/>
      <c r="E223" s="14"/>
      <c r="F223" s="14"/>
      <c r="G223" s="14"/>
      <c r="H223" s="14"/>
      <c r="I223" s="14"/>
      <c r="J223" s="14"/>
      <c r="K223" s="14"/>
      <c r="L223" s="14"/>
      <c r="M223" s="14"/>
      <c r="N223" s="14"/>
      <c r="O223" s="14"/>
      <c r="P223" s="14"/>
      <c r="Q223" s="14"/>
    </row>
    <row r="224" spans="1:17" x14ac:dyDescent="0.25">
      <c r="A224" s="104">
        <v>14</v>
      </c>
      <c r="B224" s="13"/>
      <c r="C224" s="13"/>
      <c r="D224" s="14"/>
      <c r="E224" s="14"/>
      <c r="F224" s="14"/>
      <c r="G224" s="14"/>
      <c r="H224" s="14"/>
      <c r="I224" s="14"/>
      <c r="J224" s="14"/>
      <c r="K224" s="14"/>
      <c r="L224" s="14"/>
      <c r="M224" s="14"/>
      <c r="N224" s="14"/>
      <c r="O224" s="14"/>
      <c r="P224" s="14"/>
      <c r="Q224" s="14"/>
    </row>
    <row r="225" spans="1:17" x14ac:dyDescent="0.25">
      <c r="A225" s="104">
        <v>15</v>
      </c>
      <c r="B225" s="13"/>
      <c r="C225" s="13"/>
      <c r="D225" s="14"/>
      <c r="E225" s="14"/>
      <c r="F225" s="14"/>
      <c r="G225" s="14"/>
      <c r="H225" s="14"/>
      <c r="I225" s="14"/>
      <c r="J225" s="14"/>
      <c r="K225" s="14"/>
      <c r="L225" s="14"/>
      <c r="M225" s="14"/>
      <c r="N225" s="14"/>
      <c r="O225" s="14"/>
      <c r="P225" s="14"/>
      <c r="Q225" s="14"/>
    </row>
    <row r="226" spans="1:17" x14ac:dyDescent="0.25">
      <c r="A226" s="104">
        <v>16</v>
      </c>
      <c r="B226" s="13"/>
      <c r="C226" s="13"/>
      <c r="D226" s="14"/>
      <c r="E226" s="14"/>
      <c r="F226" s="14"/>
      <c r="G226" s="14"/>
      <c r="H226" s="14"/>
      <c r="I226" s="14"/>
      <c r="J226" s="14"/>
      <c r="K226" s="14"/>
      <c r="L226" s="14"/>
      <c r="M226" s="14"/>
      <c r="N226" s="14"/>
      <c r="O226" s="14"/>
      <c r="P226" s="14"/>
      <c r="Q226" s="14"/>
    </row>
    <row r="227" spans="1:17" x14ac:dyDescent="0.25">
      <c r="A227" s="104">
        <v>17</v>
      </c>
      <c r="B227" s="13"/>
      <c r="C227" s="13"/>
      <c r="D227" s="14"/>
      <c r="E227" s="14"/>
      <c r="F227" s="14"/>
      <c r="G227" s="14"/>
      <c r="H227" s="14"/>
      <c r="I227" s="14"/>
      <c r="J227" s="14"/>
      <c r="K227" s="14"/>
      <c r="L227" s="14"/>
      <c r="M227" s="14"/>
      <c r="N227" s="14"/>
      <c r="O227" s="14"/>
      <c r="P227" s="14"/>
      <c r="Q227" s="14"/>
    </row>
    <row r="228" spans="1:17" x14ac:dyDescent="0.25">
      <c r="A228" s="104">
        <v>18</v>
      </c>
      <c r="B228" s="13"/>
      <c r="C228" s="103"/>
      <c r="D228" s="14"/>
      <c r="E228" s="14"/>
      <c r="F228" s="14"/>
      <c r="G228" s="14"/>
      <c r="H228" s="14"/>
      <c r="I228" s="14"/>
      <c r="J228" s="14"/>
      <c r="K228" s="14"/>
      <c r="L228" s="14"/>
      <c r="M228" s="14"/>
      <c r="N228" s="14"/>
      <c r="O228" s="14"/>
      <c r="P228" s="14"/>
      <c r="Q228" s="14"/>
    </row>
    <row r="229" spans="1:17" x14ac:dyDescent="0.25">
      <c r="A229" s="104">
        <v>19</v>
      </c>
      <c r="B229" s="13"/>
      <c r="C229" s="103"/>
      <c r="D229" s="14"/>
      <c r="E229" s="14"/>
      <c r="F229" s="14"/>
      <c r="G229" s="14"/>
      <c r="H229" s="14"/>
      <c r="I229" s="14"/>
      <c r="J229" s="14"/>
      <c r="K229" s="14"/>
      <c r="L229" s="14"/>
      <c r="M229" s="14"/>
      <c r="N229" s="14"/>
      <c r="O229" s="14"/>
      <c r="P229" s="14"/>
      <c r="Q229" s="14"/>
    </row>
    <row r="230" spans="1:17" x14ac:dyDescent="0.25">
      <c r="A230" s="104">
        <v>20</v>
      </c>
      <c r="B230" s="13"/>
      <c r="C230" s="103"/>
      <c r="D230" s="14"/>
      <c r="E230" s="14"/>
      <c r="F230" s="14"/>
      <c r="G230" s="14"/>
      <c r="H230" s="14"/>
      <c r="I230" s="14"/>
      <c r="J230" s="14"/>
      <c r="K230" s="14"/>
      <c r="L230" s="14"/>
      <c r="M230" s="14"/>
      <c r="N230" s="14"/>
      <c r="O230" s="14"/>
      <c r="P230" s="14"/>
      <c r="Q230" s="14"/>
    </row>
    <row r="231" spans="1:17" x14ac:dyDescent="0.25">
      <c r="A231" s="104">
        <v>21</v>
      </c>
      <c r="B231" s="13"/>
      <c r="C231" s="103"/>
      <c r="D231" s="14"/>
      <c r="E231" s="14"/>
      <c r="F231" s="14"/>
      <c r="G231" s="14"/>
      <c r="H231" s="14"/>
      <c r="I231" s="14"/>
      <c r="J231" s="14"/>
      <c r="K231" s="14"/>
      <c r="L231" s="14"/>
      <c r="M231" s="14"/>
      <c r="N231" s="14"/>
      <c r="O231" s="14"/>
      <c r="P231" s="14"/>
      <c r="Q231" s="14"/>
    </row>
    <row r="232" spans="1:17" x14ac:dyDescent="0.25">
      <c r="A232" s="104">
        <v>22</v>
      </c>
      <c r="B232" s="13"/>
      <c r="C232" s="103"/>
      <c r="D232" s="14"/>
      <c r="E232" s="14"/>
      <c r="F232" s="14"/>
      <c r="G232" s="14"/>
      <c r="H232" s="14"/>
      <c r="I232" s="14"/>
      <c r="J232" s="14"/>
      <c r="K232" s="14"/>
      <c r="L232" s="14"/>
      <c r="M232" s="14"/>
      <c r="N232" s="14"/>
      <c r="O232" s="14"/>
      <c r="P232" s="14"/>
      <c r="Q232" s="14"/>
    </row>
    <row r="233" spans="1:17" x14ac:dyDescent="0.25">
      <c r="A233" s="104">
        <v>23</v>
      </c>
      <c r="B233" s="13"/>
      <c r="C233" s="103"/>
      <c r="D233" s="14"/>
      <c r="E233" s="14"/>
      <c r="F233" s="14"/>
      <c r="G233" s="14"/>
      <c r="H233" s="14"/>
      <c r="I233" s="14"/>
      <c r="J233" s="14"/>
      <c r="K233" s="14"/>
      <c r="L233" s="14"/>
      <c r="M233" s="14"/>
      <c r="N233" s="14"/>
      <c r="O233" s="14"/>
      <c r="P233" s="14"/>
      <c r="Q233" s="14"/>
    </row>
    <row r="234" spans="1:17" x14ac:dyDescent="0.25">
      <c r="A234" s="104">
        <v>24</v>
      </c>
      <c r="B234" s="13"/>
      <c r="C234" s="103"/>
      <c r="D234" s="14"/>
      <c r="E234" s="14"/>
      <c r="F234" s="14"/>
      <c r="G234" s="14"/>
      <c r="H234" s="14"/>
      <c r="I234" s="14"/>
      <c r="J234" s="14"/>
      <c r="K234" s="14"/>
      <c r="L234" s="14"/>
      <c r="M234" s="14"/>
      <c r="N234" s="14"/>
      <c r="O234" s="14"/>
      <c r="P234" s="14"/>
      <c r="Q234" s="14"/>
    </row>
    <row r="235" spans="1:17" x14ac:dyDescent="0.25">
      <c r="A235" s="104">
        <v>25</v>
      </c>
      <c r="B235" s="13"/>
      <c r="C235" s="103"/>
      <c r="D235" s="14"/>
      <c r="E235" s="14"/>
      <c r="F235" s="14"/>
      <c r="G235" s="14"/>
      <c r="H235" s="14"/>
      <c r="I235" s="14"/>
      <c r="J235" s="14"/>
      <c r="K235" s="14"/>
      <c r="L235" s="14"/>
      <c r="M235" s="14"/>
      <c r="N235" s="14"/>
      <c r="O235" s="14"/>
      <c r="P235" s="14"/>
      <c r="Q235" s="14"/>
    </row>
    <row r="236" spans="1:17" x14ac:dyDescent="0.25">
      <c r="A236" s="104">
        <v>26</v>
      </c>
      <c r="B236" s="13"/>
      <c r="C236" s="103"/>
      <c r="D236" s="14"/>
      <c r="E236" s="14"/>
      <c r="F236" s="14"/>
      <c r="G236" s="14"/>
      <c r="H236" s="14"/>
      <c r="I236" s="14"/>
      <c r="J236" s="14"/>
      <c r="K236" s="14"/>
      <c r="L236" s="14"/>
      <c r="M236" s="14"/>
      <c r="N236" s="14"/>
      <c r="O236" s="14"/>
      <c r="P236" s="14"/>
      <c r="Q236" s="14"/>
    </row>
    <row r="237" spans="1:17" x14ac:dyDescent="0.25">
      <c r="A237" s="104">
        <v>27</v>
      </c>
      <c r="B237" s="13"/>
      <c r="C237" s="103"/>
      <c r="D237" s="14"/>
      <c r="E237" s="14"/>
      <c r="F237" s="14"/>
      <c r="G237" s="14"/>
      <c r="H237" s="14"/>
      <c r="I237" s="14"/>
      <c r="J237" s="14"/>
      <c r="K237" s="14"/>
      <c r="L237" s="14"/>
      <c r="M237" s="14"/>
      <c r="N237" s="14"/>
      <c r="O237" s="14"/>
      <c r="P237" s="14"/>
      <c r="Q237" s="14"/>
    </row>
    <row r="238" spans="1:17" x14ac:dyDescent="0.25">
      <c r="A238" s="104">
        <v>28</v>
      </c>
      <c r="B238" s="13"/>
      <c r="C238" s="103"/>
      <c r="D238" s="14"/>
      <c r="E238" s="14"/>
      <c r="F238" s="14"/>
      <c r="G238" s="14"/>
      <c r="H238" s="14"/>
      <c r="I238" s="14"/>
      <c r="J238" s="14"/>
      <c r="K238" s="14"/>
      <c r="L238" s="14"/>
      <c r="M238" s="14"/>
      <c r="N238" s="14"/>
      <c r="O238" s="14"/>
      <c r="P238" s="14"/>
      <c r="Q238" s="14"/>
    </row>
    <row r="239" spans="1:17" x14ac:dyDescent="0.25">
      <c r="A239" s="104">
        <v>29</v>
      </c>
      <c r="B239" s="13"/>
      <c r="C239" s="103"/>
      <c r="D239" s="14"/>
      <c r="E239" s="14"/>
      <c r="F239" s="14"/>
      <c r="G239" s="14"/>
      <c r="H239" s="14"/>
      <c r="I239" s="14"/>
      <c r="J239" s="14"/>
      <c r="K239" s="14"/>
      <c r="L239" s="14"/>
      <c r="M239" s="14"/>
      <c r="N239" s="14"/>
      <c r="O239" s="14"/>
      <c r="P239" s="14"/>
      <c r="Q239" s="14"/>
    </row>
    <row r="240" spans="1:17" x14ac:dyDescent="0.25">
      <c r="A240" s="104">
        <v>30</v>
      </c>
      <c r="B240" s="13"/>
      <c r="C240" s="103"/>
      <c r="D240" s="14"/>
      <c r="E240" s="14"/>
      <c r="F240" s="14"/>
      <c r="G240" s="14"/>
      <c r="H240" s="14"/>
      <c r="I240" s="14"/>
      <c r="J240" s="14"/>
      <c r="K240" s="14"/>
      <c r="L240" s="14"/>
      <c r="M240" s="14"/>
      <c r="N240" s="14"/>
      <c r="O240" s="14"/>
      <c r="P240" s="14"/>
      <c r="Q240" s="14"/>
    </row>
    <row r="241" spans="1:17" x14ac:dyDescent="0.25">
      <c r="A241" s="104">
        <v>31</v>
      </c>
      <c r="B241" s="13"/>
      <c r="C241" s="103"/>
      <c r="D241" s="14"/>
      <c r="E241" s="14"/>
      <c r="F241" s="14"/>
      <c r="G241" s="14"/>
      <c r="H241" s="14"/>
      <c r="I241" s="14"/>
      <c r="J241" s="14"/>
      <c r="K241" s="14"/>
      <c r="L241" s="14"/>
      <c r="M241" s="14"/>
      <c r="N241" s="14"/>
      <c r="O241" s="14"/>
      <c r="P241" s="14"/>
      <c r="Q241" s="14"/>
    </row>
    <row r="242" spans="1:17" x14ac:dyDescent="0.25">
      <c r="A242" s="104">
        <v>32</v>
      </c>
      <c r="B242" s="13"/>
      <c r="C242" s="103"/>
      <c r="D242" s="14"/>
      <c r="E242" s="14"/>
      <c r="F242" s="14"/>
      <c r="G242" s="14"/>
      <c r="H242" s="14"/>
      <c r="I242" s="14"/>
      <c r="J242" s="14"/>
      <c r="K242" s="14"/>
      <c r="L242" s="14"/>
      <c r="M242" s="14"/>
      <c r="N242" s="14"/>
      <c r="O242" s="14"/>
      <c r="P242" s="14"/>
      <c r="Q242" s="14"/>
    </row>
    <row r="243" spans="1:17" x14ac:dyDescent="0.25">
      <c r="A243" s="104">
        <v>33</v>
      </c>
      <c r="B243" s="13"/>
      <c r="C243" s="103"/>
      <c r="D243" s="14"/>
      <c r="E243" s="14"/>
      <c r="F243" s="14"/>
      <c r="G243" s="14"/>
      <c r="H243" s="14"/>
      <c r="I243" s="14"/>
      <c r="J243" s="14"/>
      <c r="K243" s="14"/>
      <c r="L243" s="14"/>
      <c r="M243" s="14"/>
      <c r="N243" s="14"/>
      <c r="O243" s="14"/>
      <c r="P243" s="14"/>
      <c r="Q243" s="14"/>
    </row>
    <row r="244" spans="1:17" x14ac:dyDescent="0.25">
      <c r="A244" s="104">
        <v>34</v>
      </c>
      <c r="B244" s="13"/>
      <c r="C244" s="103"/>
      <c r="D244" s="14"/>
      <c r="E244" s="14"/>
      <c r="F244" s="14"/>
      <c r="G244" s="14"/>
      <c r="H244" s="14"/>
      <c r="I244" s="14"/>
      <c r="J244" s="14"/>
      <c r="K244" s="14"/>
      <c r="L244" s="14"/>
      <c r="M244" s="14"/>
      <c r="N244" s="14"/>
      <c r="O244" s="14"/>
      <c r="P244" s="14"/>
      <c r="Q244" s="14"/>
    </row>
    <row r="245" spans="1:17" x14ac:dyDescent="0.25">
      <c r="A245" s="104">
        <v>35</v>
      </c>
      <c r="B245" s="13"/>
      <c r="C245" s="103"/>
      <c r="D245" s="14"/>
      <c r="E245" s="14"/>
      <c r="F245" s="14"/>
      <c r="G245" s="14"/>
      <c r="H245" s="14"/>
      <c r="I245" s="14"/>
      <c r="J245" s="14"/>
      <c r="K245" s="14"/>
      <c r="L245" s="14"/>
      <c r="M245" s="14"/>
      <c r="N245" s="14"/>
      <c r="O245" s="14"/>
      <c r="P245" s="14"/>
      <c r="Q245" s="14"/>
    </row>
    <row r="246" spans="1:17" x14ac:dyDescent="0.25">
      <c r="A246" s="104">
        <v>36</v>
      </c>
      <c r="B246" s="13"/>
      <c r="C246" s="103"/>
      <c r="D246" s="14"/>
      <c r="E246" s="14"/>
      <c r="F246" s="14"/>
      <c r="G246" s="14"/>
      <c r="H246" s="14"/>
      <c r="I246" s="14"/>
      <c r="J246" s="14"/>
      <c r="K246" s="14"/>
      <c r="L246" s="14"/>
      <c r="M246" s="14"/>
      <c r="N246" s="14"/>
      <c r="O246" s="14"/>
      <c r="P246" s="14"/>
      <c r="Q246" s="14"/>
    </row>
    <row r="247" spans="1:17" x14ac:dyDescent="0.25">
      <c r="A247" s="104">
        <v>37</v>
      </c>
      <c r="B247" s="13"/>
      <c r="C247" s="103"/>
      <c r="D247" s="14"/>
      <c r="E247" s="14"/>
      <c r="F247" s="14"/>
      <c r="G247" s="14"/>
      <c r="H247" s="14"/>
      <c r="I247" s="14"/>
      <c r="J247" s="14"/>
      <c r="K247" s="14"/>
      <c r="L247" s="14"/>
      <c r="M247" s="14"/>
      <c r="N247" s="14"/>
      <c r="O247" s="14"/>
      <c r="P247" s="14"/>
      <c r="Q247" s="14"/>
    </row>
    <row r="248" spans="1:17" x14ac:dyDescent="0.25">
      <c r="A248" s="104">
        <v>38</v>
      </c>
      <c r="B248" s="13"/>
      <c r="C248" s="103"/>
      <c r="D248" s="14"/>
      <c r="E248" s="14"/>
      <c r="F248" s="14"/>
      <c r="G248" s="14"/>
      <c r="H248" s="14"/>
      <c r="I248" s="14"/>
      <c r="J248" s="14"/>
      <c r="K248" s="14"/>
      <c r="L248" s="14"/>
      <c r="M248" s="14"/>
      <c r="N248" s="14"/>
      <c r="O248" s="14"/>
      <c r="P248" s="14"/>
      <c r="Q248" s="14"/>
    </row>
    <row r="249" spans="1:17" x14ac:dyDescent="0.25">
      <c r="A249" s="104">
        <v>39</v>
      </c>
      <c r="B249" s="13"/>
      <c r="C249" s="103"/>
      <c r="D249" s="14"/>
      <c r="E249" s="14"/>
      <c r="F249" s="14"/>
      <c r="G249" s="14"/>
      <c r="H249" s="14"/>
      <c r="I249" s="14"/>
      <c r="J249" s="14"/>
      <c r="K249" s="14"/>
      <c r="L249" s="14"/>
      <c r="M249" s="14"/>
      <c r="N249" s="14"/>
      <c r="O249" s="14"/>
      <c r="P249" s="14"/>
      <c r="Q249" s="14"/>
    </row>
    <row r="250" spans="1:17" x14ac:dyDescent="0.25">
      <c r="A250" s="104">
        <v>40</v>
      </c>
      <c r="B250" s="13"/>
      <c r="C250" s="103"/>
      <c r="D250" s="14"/>
      <c r="E250" s="14"/>
      <c r="F250" s="14"/>
      <c r="G250" s="14"/>
      <c r="H250" s="14"/>
      <c r="I250" s="14"/>
      <c r="J250" s="14"/>
      <c r="K250" s="14"/>
      <c r="L250" s="14"/>
      <c r="M250" s="14"/>
      <c r="N250" s="14"/>
      <c r="O250" s="14"/>
      <c r="P250" s="14"/>
      <c r="Q250" s="14"/>
    </row>
    <row r="251" spans="1:17" x14ac:dyDescent="0.25">
      <c r="A251" s="13"/>
      <c r="B251" s="13"/>
      <c r="C251" s="13"/>
      <c r="D251" s="14"/>
      <c r="E251" s="14"/>
      <c r="F251" s="14"/>
      <c r="G251" s="14"/>
      <c r="H251" s="14"/>
      <c r="I251" s="14"/>
      <c r="J251" s="14"/>
      <c r="K251" s="14"/>
      <c r="L251" s="14"/>
      <c r="M251" s="14"/>
      <c r="N251" s="14"/>
      <c r="O251" s="14"/>
      <c r="P251" s="14"/>
      <c r="Q251" s="14"/>
    </row>
    <row r="252" spans="1:17" x14ac:dyDescent="0.25">
      <c r="A252" s="13"/>
      <c r="B252" s="195" t="s">
        <v>54</v>
      </c>
      <c r="C252" s="103"/>
      <c r="D252" s="14"/>
      <c r="E252" s="14"/>
      <c r="F252" s="14"/>
      <c r="G252" s="14"/>
      <c r="H252" s="14"/>
      <c r="I252" s="14"/>
      <c r="J252" s="14"/>
      <c r="K252" s="14"/>
      <c r="L252" s="14"/>
      <c r="M252" s="14"/>
      <c r="N252" s="14"/>
      <c r="O252" s="14"/>
      <c r="P252" s="14"/>
      <c r="Q252" s="14"/>
    </row>
    <row r="253" spans="1:17" x14ac:dyDescent="0.25">
      <c r="A253" s="13"/>
      <c r="B253" s="200" t="s">
        <v>1234</v>
      </c>
      <c r="C253" s="103"/>
      <c r="D253" s="14"/>
      <c r="E253" s="14"/>
      <c r="F253" s="14"/>
      <c r="G253" s="14"/>
      <c r="H253" s="14"/>
      <c r="I253" s="14"/>
      <c r="J253" s="14"/>
      <c r="K253" s="14"/>
      <c r="L253" s="14"/>
      <c r="M253" s="14"/>
      <c r="N253" s="14"/>
      <c r="O253" s="14"/>
      <c r="P253" s="14"/>
      <c r="Q253" s="14"/>
    </row>
    <row r="254" spans="1:17" x14ac:dyDescent="0.25">
      <c r="A254" s="102">
        <v>1</v>
      </c>
      <c r="B254" s="107" t="s">
        <v>1861</v>
      </c>
      <c r="C254" s="100"/>
      <c r="D254" s="164">
        <v>665768165.764902</v>
      </c>
      <c r="E254" s="17"/>
      <c r="F254" s="168">
        <v>627603230.20824051</v>
      </c>
      <c r="G254" s="171"/>
      <c r="H254" s="168">
        <v>38164935.556661539</v>
      </c>
      <c r="I254" s="164">
        <v>0</v>
      </c>
      <c r="J254" s="17"/>
      <c r="K254" s="17"/>
      <c r="L254" s="168">
        <v>0</v>
      </c>
      <c r="M254" s="169"/>
      <c r="N254" s="164">
        <v>0</v>
      </c>
      <c r="O254" s="168">
        <v>0</v>
      </c>
      <c r="P254" s="168">
        <v>0</v>
      </c>
      <c r="Q254" s="169">
        <v>0</v>
      </c>
    </row>
    <row r="255" spans="1:17" x14ac:dyDescent="0.25">
      <c r="A255" s="102">
        <v>2</v>
      </c>
      <c r="B255" s="107" t="s">
        <v>2029</v>
      </c>
      <c r="C255" s="100"/>
      <c r="D255" s="164">
        <v>416936627.96246159</v>
      </c>
      <c r="E255" s="17"/>
      <c r="F255" s="168">
        <v>399075052.97871023</v>
      </c>
      <c r="G255" s="171"/>
      <c r="H255" s="168">
        <v>17861574.983751338</v>
      </c>
      <c r="I255" s="164">
        <v>0</v>
      </c>
      <c r="J255" s="17"/>
      <c r="K255" s="17"/>
      <c r="L255" s="168">
        <v>0</v>
      </c>
      <c r="M255" s="169"/>
      <c r="N255" s="164">
        <v>0</v>
      </c>
      <c r="O255" s="168">
        <v>0</v>
      </c>
      <c r="P255" s="168">
        <v>0</v>
      </c>
      <c r="Q255" s="169">
        <v>0</v>
      </c>
    </row>
    <row r="256" spans="1:17" x14ac:dyDescent="0.25">
      <c r="A256" s="102">
        <v>3</v>
      </c>
      <c r="B256" s="107" t="s">
        <v>1862</v>
      </c>
      <c r="C256" s="100"/>
      <c r="D256" s="164">
        <v>0</v>
      </c>
      <c r="E256" s="17"/>
      <c r="F256" s="168">
        <v>0</v>
      </c>
      <c r="G256" s="171"/>
      <c r="H256" s="168">
        <v>0</v>
      </c>
      <c r="I256" s="164">
        <v>0</v>
      </c>
      <c r="J256" s="17"/>
      <c r="K256" s="17"/>
      <c r="L256" s="168">
        <v>0</v>
      </c>
      <c r="M256" s="169"/>
      <c r="N256" s="164">
        <v>0</v>
      </c>
      <c r="O256" s="168">
        <v>0</v>
      </c>
      <c r="P256" s="168">
        <v>0</v>
      </c>
      <c r="Q256" s="169">
        <v>0</v>
      </c>
    </row>
    <row r="257" spans="1:21" x14ac:dyDescent="0.25">
      <c r="A257" s="102">
        <v>4</v>
      </c>
      <c r="B257" s="107" t="s">
        <v>1863</v>
      </c>
      <c r="C257" s="100"/>
      <c r="D257" s="164">
        <v>432582971.44939744</v>
      </c>
      <c r="E257" s="17"/>
      <c r="F257" s="168">
        <v>424459179.00703847</v>
      </c>
      <c r="G257" s="171"/>
      <c r="H257" s="168">
        <v>8123792.442358966</v>
      </c>
      <c r="I257" s="164">
        <v>0</v>
      </c>
      <c r="J257" s="17"/>
      <c r="K257" s="17"/>
      <c r="L257" s="168">
        <v>0</v>
      </c>
      <c r="M257" s="169"/>
      <c r="N257" s="164">
        <v>0</v>
      </c>
      <c r="O257" s="168">
        <v>0</v>
      </c>
      <c r="P257" s="168">
        <v>0</v>
      </c>
      <c r="Q257" s="169">
        <v>0</v>
      </c>
    </row>
    <row r="258" spans="1:21" x14ac:dyDescent="0.25">
      <c r="A258" s="102">
        <v>5</v>
      </c>
      <c r="B258" s="107" t="s">
        <v>1864</v>
      </c>
      <c r="C258" s="100"/>
      <c r="D258" s="164">
        <v>0</v>
      </c>
      <c r="E258" s="17"/>
      <c r="F258" s="168">
        <v>0</v>
      </c>
      <c r="G258" s="171"/>
      <c r="H258" s="168">
        <v>0</v>
      </c>
      <c r="I258" s="164">
        <v>0</v>
      </c>
      <c r="J258" s="17"/>
      <c r="K258" s="17"/>
      <c r="L258" s="168">
        <v>0</v>
      </c>
      <c r="M258" s="169"/>
      <c r="N258" s="164">
        <v>0</v>
      </c>
      <c r="O258" s="168">
        <v>0</v>
      </c>
      <c r="P258" s="168">
        <v>0</v>
      </c>
      <c r="Q258" s="169">
        <v>0</v>
      </c>
    </row>
    <row r="259" spans="1:21" x14ac:dyDescent="0.25">
      <c r="A259" s="102">
        <v>6</v>
      </c>
      <c r="B259" s="107" t="s">
        <v>1865</v>
      </c>
      <c r="C259" s="100"/>
      <c r="D259" s="164">
        <v>13596477.613393851</v>
      </c>
      <c r="E259" s="17"/>
      <c r="F259" s="168">
        <v>13142281.488382259</v>
      </c>
      <c r="G259" s="171"/>
      <c r="H259" s="168">
        <v>454196.12501159054</v>
      </c>
      <c r="I259" s="164">
        <v>0</v>
      </c>
      <c r="J259" s="17"/>
      <c r="K259" s="17"/>
      <c r="L259" s="168">
        <v>0</v>
      </c>
      <c r="M259" s="169"/>
      <c r="N259" s="164">
        <v>0</v>
      </c>
      <c r="O259" s="168">
        <v>0</v>
      </c>
      <c r="P259" s="168">
        <v>0</v>
      </c>
      <c r="Q259" s="169">
        <v>0</v>
      </c>
    </row>
    <row r="260" spans="1:21" x14ac:dyDescent="0.25">
      <c r="A260" s="102">
        <v>7</v>
      </c>
      <c r="B260" s="107" t="s">
        <v>1866</v>
      </c>
      <c r="C260" s="100"/>
      <c r="D260" s="164">
        <v>130931034.2104449</v>
      </c>
      <c r="E260" s="17"/>
      <c r="F260" s="168">
        <v>124368330.20485443</v>
      </c>
      <c r="G260" s="171"/>
      <c r="H260" s="168">
        <v>6562704.0055904742</v>
      </c>
      <c r="I260" s="164">
        <v>0</v>
      </c>
      <c r="J260" s="17"/>
      <c r="K260" s="17"/>
      <c r="L260" s="168">
        <v>0</v>
      </c>
      <c r="M260" s="169"/>
      <c r="N260" s="164">
        <v>0</v>
      </c>
      <c r="O260" s="168">
        <v>0</v>
      </c>
      <c r="P260" s="168">
        <v>0</v>
      </c>
      <c r="Q260" s="169">
        <v>0</v>
      </c>
    </row>
    <row r="261" spans="1:21" x14ac:dyDescent="0.25">
      <c r="A261" s="102">
        <v>8</v>
      </c>
      <c r="B261" s="107" t="s">
        <v>1867</v>
      </c>
      <c r="C261" s="100"/>
      <c r="D261" s="164">
        <v>0</v>
      </c>
      <c r="E261" s="17"/>
      <c r="F261" s="168">
        <v>0</v>
      </c>
      <c r="G261" s="171"/>
      <c r="H261" s="168">
        <v>0</v>
      </c>
      <c r="I261" s="164">
        <v>0</v>
      </c>
      <c r="J261" s="17"/>
      <c r="K261" s="17"/>
      <c r="L261" s="168">
        <v>0</v>
      </c>
      <c r="M261" s="169"/>
      <c r="N261" s="164">
        <v>0</v>
      </c>
      <c r="O261" s="168">
        <v>0</v>
      </c>
      <c r="P261" s="168">
        <v>0</v>
      </c>
      <c r="Q261" s="169">
        <v>0</v>
      </c>
    </row>
    <row r="262" spans="1:21" x14ac:dyDescent="0.25">
      <c r="A262" s="102">
        <v>9</v>
      </c>
      <c r="B262" s="107" t="s">
        <v>1868</v>
      </c>
      <c r="C262" s="100"/>
      <c r="D262" s="164">
        <v>24857217.745995708</v>
      </c>
      <c r="E262" s="17"/>
      <c r="F262" s="168">
        <v>0</v>
      </c>
      <c r="G262" s="171"/>
      <c r="H262" s="168">
        <v>0</v>
      </c>
      <c r="I262" s="164">
        <v>24857217.745995708</v>
      </c>
      <c r="J262" s="17"/>
      <c r="K262" s="17"/>
      <c r="L262" s="168">
        <v>0</v>
      </c>
      <c r="M262" s="169"/>
      <c r="N262" s="164">
        <v>24857217.745995708</v>
      </c>
      <c r="O262" s="168">
        <v>12585764.562653359</v>
      </c>
      <c r="P262" s="168">
        <v>12271453.183342351</v>
      </c>
      <c r="Q262" s="169">
        <v>0</v>
      </c>
    </row>
    <row r="263" spans="1:21" x14ac:dyDescent="0.25">
      <c r="A263" s="104">
        <v>10</v>
      </c>
      <c r="B263" s="193" t="s">
        <v>55</v>
      </c>
      <c r="C263" s="103"/>
      <c r="D263" s="139">
        <v>0</v>
      </c>
      <c r="E263" s="14"/>
      <c r="F263" s="174">
        <v>0</v>
      </c>
      <c r="G263" s="174"/>
      <c r="H263" s="174">
        <v>0</v>
      </c>
      <c r="I263" s="139">
        <v>0</v>
      </c>
      <c r="J263" s="14"/>
      <c r="K263" s="14"/>
      <c r="L263" s="174">
        <v>0</v>
      </c>
      <c r="M263" s="174"/>
      <c r="N263" s="139">
        <v>0</v>
      </c>
      <c r="O263" s="174">
        <v>0</v>
      </c>
      <c r="P263" s="174">
        <v>0</v>
      </c>
      <c r="Q263" s="174">
        <v>0</v>
      </c>
    </row>
    <row r="264" spans="1:21" x14ac:dyDescent="0.25">
      <c r="A264" s="104">
        <v>11</v>
      </c>
      <c r="B264" s="202" t="s">
        <v>1869</v>
      </c>
      <c r="C264" s="103"/>
      <c r="D264" s="139">
        <v>0</v>
      </c>
      <c r="E264" s="14"/>
      <c r="F264" s="174">
        <v>0</v>
      </c>
      <c r="G264" s="174"/>
      <c r="H264" s="168">
        <v>0</v>
      </c>
      <c r="I264" s="139">
        <v>0</v>
      </c>
      <c r="J264" s="14"/>
      <c r="K264" s="14"/>
      <c r="L264" s="174">
        <v>0</v>
      </c>
      <c r="M264" s="174"/>
      <c r="N264" s="139">
        <v>0</v>
      </c>
      <c r="O264" s="168">
        <v>0</v>
      </c>
      <c r="P264" s="168">
        <v>0</v>
      </c>
      <c r="Q264" s="174">
        <v>0</v>
      </c>
      <c r="U264" s="111"/>
    </row>
    <row r="265" spans="1:21" x14ac:dyDescent="0.25">
      <c r="A265" s="104">
        <v>12</v>
      </c>
      <c r="B265" s="13"/>
      <c r="C265" s="103"/>
      <c r="D265" s="103"/>
      <c r="E265" s="103"/>
      <c r="F265" s="103"/>
      <c r="G265" s="103"/>
      <c r="H265" s="103"/>
      <c r="I265" s="103"/>
      <c r="J265" s="103"/>
      <c r="K265" s="103"/>
      <c r="L265" s="103"/>
      <c r="M265" s="103"/>
      <c r="N265" s="103"/>
      <c r="O265" s="103"/>
      <c r="P265" s="103"/>
      <c r="Q265" s="103"/>
    </row>
    <row r="266" spans="1:21" x14ac:dyDescent="0.25">
      <c r="A266" s="104">
        <v>13</v>
      </c>
      <c r="B266" s="13"/>
      <c r="C266" s="103"/>
      <c r="D266" s="103"/>
      <c r="E266" s="103"/>
      <c r="F266" s="103"/>
      <c r="G266" s="103"/>
      <c r="H266" s="103"/>
      <c r="I266" s="103"/>
      <c r="J266" s="103"/>
      <c r="K266" s="103"/>
      <c r="L266" s="103"/>
      <c r="M266" s="103"/>
      <c r="N266" s="103"/>
      <c r="O266" s="103"/>
      <c r="P266" s="103"/>
      <c r="Q266" s="103"/>
    </row>
    <row r="267" spans="1:21" x14ac:dyDescent="0.25">
      <c r="A267" s="13"/>
      <c r="B267" s="13"/>
      <c r="C267" s="103"/>
      <c r="D267" s="13"/>
      <c r="E267" s="13"/>
      <c r="F267" s="13"/>
      <c r="G267" s="13"/>
      <c r="H267" s="13"/>
      <c r="I267" s="13"/>
      <c r="J267" s="13"/>
      <c r="K267" s="13"/>
      <c r="L267" s="13"/>
      <c r="M267" s="13"/>
      <c r="N267" s="13"/>
      <c r="O267" s="13"/>
      <c r="P267" s="13"/>
      <c r="Q267" s="13"/>
    </row>
    <row r="268" spans="1:21" x14ac:dyDescent="0.25">
      <c r="A268" s="13"/>
      <c r="B268" s="13"/>
      <c r="C268" s="103"/>
      <c r="D268" s="13"/>
      <c r="E268" s="13"/>
      <c r="F268" s="13"/>
      <c r="G268" s="13"/>
      <c r="H268" s="13"/>
      <c r="I268" s="13"/>
      <c r="J268" s="13"/>
      <c r="K268" s="13"/>
      <c r="L268" s="13"/>
      <c r="M268" s="13"/>
      <c r="N268" s="13"/>
      <c r="O268" s="13"/>
      <c r="P268" s="13"/>
      <c r="Q268" s="13"/>
    </row>
    <row r="269" spans="1:21" x14ac:dyDescent="0.25">
      <c r="A269" s="13"/>
      <c r="B269" s="13"/>
      <c r="C269" s="103"/>
      <c r="D269" s="13"/>
      <c r="E269" s="13"/>
      <c r="F269" s="13"/>
      <c r="G269" s="13"/>
      <c r="H269" s="13"/>
      <c r="I269" s="13"/>
      <c r="J269" s="13"/>
      <c r="K269" s="13"/>
      <c r="L269" s="13"/>
      <c r="M269" s="13"/>
      <c r="N269" s="13"/>
      <c r="O269" s="13"/>
      <c r="P269" s="13"/>
      <c r="Q269" s="13"/>
    </row>
    <row r="270" spans="1:21" x14ac:dyDescent="0.25">
      <c r="A270" s="13"/>
      <c r="B270" s="13"/>
      <c r="C270" s="103"/>
      <c r="D270" s="13"/>
      <c r="E270" s="13"/>
      <c r="F270" s="13"/>
      <c r="G270" s="13"/>
      <c r="H270" s="13"/>
      <c r="I270" s="13"/>
      <c r="J270" s="13"/>
      <c r="K270" s="13"/>
      <c r="L270" s="13"/>
      <c r="M270" s="13"/>
      <c r="N270" s="13"/>
      <c r="O270" s="13"/>
      <c r="P270" s="13"/>
      <c r="Q270" s="13"/>
    </row>
    <row r="271" spans="1:21" x14ac:dyDescent="0.25">
      <c r="A271" s="13"/>
      <c r="B271" s="13"/>
      <c r="C271" s="103"/>
      <c r="D271" s="13"/>
      <c r="E271" s="13"/>
      <c r="F271" s="13"/>
      <c r="G271" s="13"/>
      <c r="H271" s="13"/>
      <c r="I271" s="13"/>
      <c r="J271" s="13"/>
      <c r="K271" s="13"/>
      <c r="L271" s="13"/>
      <c r="M271" s="13"/>
      <c r="N271" s="13"/>
      <c r="O271" s="13"/>
      <c r="P271" s="13"/>
      <c r="Q271" s="13"/>
    </row>
    <row r="272" spans="1:21" x14ac:dyDescent="0.25">
      <c r="A272" s="13"/>
      <c r="B272" s="195" t="s">
        <v>56</v>
      </c>
      <c r="C272" s="103"/>
      <c r="D272" s="13"/>
      <c r="E272" s="13"/>
      <c r="F272" s="13"/>
      <c r="G272" s="13"/>
      <c r="H272" s="13"/>
      <c r="I272" s="13"/>
      <c r="J272" s="13"/>
      <c r="K272" s="13"/>
      <c r="L272" s="13"/>
      <c r="M272" s="13"/>
      <c r="N272" s="13"/>
      <c r="O272" s="13"/>
      <c r="P272" s="13"/>
      <c r="Q272" s="13"/>
    </row>
    <row r="273" spans="1:17" x14ac:dyDescent="0.25">
      <c r="A273" s="13"/>
      <c r="B273" s="13"/>
      <c r="C273" s="103"/>
      <c r="D273" s="13"/>
      <c r="E273" s="13"/>
      <c r="F273" s="13"/>
      <c r="G273" s="13"/>
      <c r="H273" s="13"/>
      <c r="I273" s="13"/>
      <c r="J273" s="13"/>
      <c r="K273" s="13"/>
      <c r="L273" s="13"/>
      <c r="M273" s="13"/>
      <c r="N273" s="13"/>
      <c r="O273" s="13"/>
      <c r="P273" s="13"/>
      <c r="Q273" s="13"/>
    </row>
    <row r="274" spans="1:17" x14ac:dyDescent="0.25">
      <c r="A274" s="13"/>
      <c r="B274" s="195" t="s">
        <v>57</v>
      </c>
      <c r="C274" s="103"/>
      <c r="D274" s="13"/>
      <c r="E274" s="13"/>
      <c r="F274" s="13"/>
      <c r="G274" s="13"/>
      <c r="H274" s="13"/>
      <c r="I274" s="13"/>
      <c r="J274" s="13"/>
      <c r="K274" s="13"/>
      <c r="L274" s="13"/>
      <c r="M274" s="13"/>
      <c r="N274" s="13"/>
      <c r="O274" s="13"/>
      <c r="P274" s="13"/>
      <c r="Q274" s="13"/>
    </row>
    <row r="275" spans="1:17" x14ac:dyDescent="0.25">
      <c r="A275" s="13"/>
      <c r="B275" s="200" t="s">
        <v>1234</v>
      </c>
      <c r="C275" s="103"/>
      <c r="D275" s="13"/>
      <c r="E275" s="13"/>
      <c r="F275" s="13"/>
      <c r="G275" s="13"/>
      <c r="H275" s="13"/>
      <c r="I275" s="13"/>
      <c r="J275" s="13"/>
      <c r="K275" s="13"/>
      <c r="L275" s="13"/>
      <c r="M275" s="13"/>
      <c r="N275" s="13"/>
      <c r="O275" s="13"/>
      <c r="P275" s="13"/>
      <c r="Q275" s="13"/>
    </row>
    <row r="276" spans="1:17" x14ac:dyDescent="0.25">
      <c r="A276" s="13"/>
      <c r="B276" s="195" t="s">
        <v>1235</v>
      </c>
      <c r="C276" s="13"/>
      <c r="D276" s="13"/>
      <c r="E276" s="13"/>
      <c r="F276" s="13"/>
      <c r="G276" s="13"/>
      <c r="H276" s="13"/>
      <c r="I276" s="13"/>
      <c r="J276" s="13"/>
      <c r="K276" s="13"/>
      <c r="L276" s="13"/>
      <c r="M276" s="13"/>
      <c r="N276" s="13"/>
      <c r="O276" s="13"/>
      <c r="P276" s="13"/>
      <c r="Q276" s="13"/>
    </row>
    <row r="277" spans="1:17" x14ac:dyDescent="0.25">
      <c r="A277" s="104">
        <v>1</v>
      </c>
      <c r="B277" s="193" t="s">
        <v>1236</v>
      </c>
      <c r="C277" s="194" t="s">
        <v>1237</v>
      </c>
      <c r="D277" s="113">
        <v>1</v>
      </c>
      <c r="E277" s="13"/>
      <c r="F277" s="113">
        <v>0.93741603079505242</v>
      </c>
      <c r="G277" s="113"/>
      <c r="H277" s="113">
        <v>4.2925433691070353E-2</v>
      </c>
      <c r="I277" s="113">
        <v>1.9658535513877244E-2</v>
      </c>
      <c r="J277" s="13"/>
      <c r="K277" s="113"/>
      <c r="L277" s="113">
        <v>3.0089748693427888E-6</v>
      </c>
      <c r="M277" s="113"/>
      <c r="N277" s="113">
        <v>1.96555265390079E-2</v>
      </c>
      <c r="O277" s="113">
        <v>9.9687337421326596E-3</v>
      </c>
      <c r="P277" s="113">
        <v>9.686792796875239E-3</v>
      </c>
      <c r="Q277" s="113">
        <v>0</v>
      </c>
    </row>
    <row r="278" spans="1:17" x14ac:dyDescent="0.25">
      <c r="A278" s="104">
        <v>2</v>
      </c>
      <c r="B278" s="193" t="s">
        <v>1238</v>
      </c>
      <c r="C278" s="194" t="s">
        <v>1239</v>
      </c>
      <c r="D278" s="113">
        <v>1</v>
      </c>
      <c r="E278" s="13"/>
      <c r="F278" s="113">
        <v>0.5251575342465753</v>
      </c>
      <c r="G278" s="113"/>
      <c r="H278" s="113">
        <v>0.32570319634703199</v>
      </c>
      <c r="I278" s="113">
        <v>0.14913926940639269</v>
      </c>
      <c r="J278" s="13"/>
      <c r="K278" s="113"/>
      <c r="L278" s="113">
        <v>0</v>
      </c>
      <c r="M278" s="113"/>
      <c r="N278" s="113">
        <v>0.14913926940639269</v>
      </c>
      <c r="O278" s="113">
        <v>7.5639269406392692E-2</v>
      </c>
      <c r="P278" s="113">
        <v>7.3499999999999996E-2</v>
      </c>
      <c r="Q278" s="113">
        <v>0</v>
      </c>
    </row>
    <row r="279" spans="1:17" x14ac:dyDescent="0.25">
      <c r="A279" s="104">
        <v>3</v>
      </c>
      <c r="B279" s="193" t="s">
        <v>1240</v>
      </c>
      <c r="C279" s="194" t="s">
        <v>1241</v>
      </c>
      <c r="D279" s="113">
        <v>1</v>
      </c>
      <c r="E279" s="13"/>
      <c r="F279" s="113">
        <v>0</v>
      </c>
      <c r="G279" s="113"/>
      <c r="H279" s="113">
        <v>1</v>
      </c>
      <c r="I279" s="113">
        <v>0</v>
      </c>
      <c r="J279" s="13"/>
      <c r="K279" s="113"/>
      <c r="L279" s="113">
        <v>0</v>
      </c>
      <c r="M279" s="113"/>
      <c r="N279" s="113">
        <v>0</v>
      </c>
      <c r="O279" s="113">
        <v>0</v>
      </c>
      <c r="P279" s="113">
        <v>0</v>
      </c>
      <c r="Q279" s="113">
        <v>0</v>
      </c>
    </row>
    <row r="280" spans="1:17" x14ac:dyDescent="0.25">
      <c r="A280" s="104">
        <v>4</v>
      </c>
      <c r="B280" s="193" t="s">
        <v>1242</v>
      </c>
      <c r="C280" s="194" t="s">
        <v>1243</v>
      </c>
      <c r="D280" s="113">
        <v>1</v>
      </c>
      <c r="E280" s="13"/>
      <c r="F280" s="113">
        <v>0.97946284539709993</v>
      </c>
      <c r="G280" s="113"/>
      <c r="H280" s="113">
        <v>0</v>
      </c>
      <c r="I280" s="113">
        <v>2.053715460290003E-2</v>
      </c>
      <c r="J280" s="13"/>
      <c r="K280" s="113"/>
      <c r="L280" s="113">
        <v>0</v>
      </c>
      <c r="M280" s="113"/>
      <c r="N280" s="113">
        <v>2.053715460290003E-2</v>
      </c>
      <c r="O280" s="113">
        <v>1.0415870857034706E-2</v>
      </c>
      <c r="P280" s="113">
        <v>1.0121283745865326E-2</v>
      </c>
      <c r="Q280" s="113">
        <v>0</v>
      </c>
    </row>
    <row r="281" spans="1:17" x14ac:dyDescent="0.25">
      <c r="A281" s="104">
        <v>5</v>
      </c>
      <c r="B281" s="193" t="s">
        <v>1244</v>
      </c>
      <c r="C281" s="194" t="s">
        <v>1245</v>
      </c>
      <c r="D281" s="113">
        <v>1</v>
      </c>
      <c r="E281" s="13"/>
      <c r="F281" s="113">
        <v>0.7788225176236363</v>
      </c>
      <c r="G281" s="113"/>
      <c r="H281" s="113">
        <v>0</v>
      </c>
      <c r="I281" s="113">
        <v>0.2211774823763637</v>
      </c>
      <c r="J281" s="13"/>
      <c r="K281" s="113"/>
      <c r="L281" s="113">
        <v>0</v>
      </c>
      <c r="M281" s="113"/>
      <c r="N281" s="113">
        <v>0.2211774823763637</v>
      </c>
      <c r="O281" s="113">
        <v>0.11217503775284247</v>
      </c>
      <c r="P281" s="113">
        <v>0.10900244462352121</v>
      </c>
      <c r="Q281" s="113">
        <v>0</v>
      </c>
    </row>
    <row r="282" spans="1:17" x14ac:dyDescent="0.25">
      <c r="A282" s="104">
        <v>6</v>
      </c>
      <c r="B282" s="193" t="s">
        <v>1246</v>
      </c>
      <c r="C282" s="194" t="s">
        <v>1247</v>
      </c>
      <c r="D282" s="113">
        <v>1</v>
      </c>
      <c r="E282" s="13"/>
      <c r="F282" s="113">
        <v>0.97945976603506169</v>
      </c>
      <c r="G282" s="113"/>
      <c r="H282" s="113">
        <v>0</v>
      </c>
      <c r="I282" s="113">
        <v>2.054023396493827E-2</v>
      </c>
      <c r="J282" s="13"/>
      <c r="K282" s="113"/>
      <c r="L282" s="113">
        <v>3.1439294024364822E-6</v>
      </c>
      <c r="M282" s="113"/>
      <c r="N282" s="113">
        <v>2.0537090035535832E-2</v>
      </c>
      <c r="O282" s="113">
        <v>1.0415838110272066E-2</v>
      </c>
      <c r="P282" s="113">
        <v>1.0121251925263768E-2</v>
      </c>
      <c r="Q282" s="113">
        <v>0</v>
      </c>
    </row>
    <row r="283" spans="1:17" x14ac:dyDescent="0.25">
      <c r="A283" s="13"/>
      <c r="B283" s="195" t="s">
        <v>1248</v>
      </c>
      <c r="C283" s="13"/>
      <c r="D283" s="13"/>
      <c r="E283" s="13"/>
      <c r="F283" s="13"/>
      <c r="G283" s="13"/>
      <c r="H283" s="13"/>
      <c r="I283" s="13"/>
      <c r="J283" s="13"/>
      <c r="K283" s="13"/>
      <c r="L283" s="13"/>
      <c r="M283" s="13"/>
      <c r="N283" s="13"/>
      <c r="O283" s="13"/>
      <c r="P283" s="13"/>
      <c r="Q283" s="13"/>
    </row>
    <row r="284" spans="1:17" x14ac:dyDescent="0.25">
      <c r="A284" s="104">
        <v>7</v>
      </c>
      <c r="B284" s="193" t="s">
        <v>1249</v>
      </c>
      <c r="C284" s="194" t="s">
        <v>1250</v>
      </c>
      <c r="D284" s="113">
        <v>1</v>
      </c>
      <c r="E284" s="13"/>
      <c r="F284" s="113">
        <v>0.93741603079505242</v>
      </c>
      <c r="G284" s="113"/>
      <c r="H284" s="113">
        <v>4.2925433691070353E-2</v>
      </c>
      <c r="I284" s="113">
        <v>1.9658535513877244E-2</v>
      </c>
      <c r="J284" s="13"/>
      <c r="K284" s="113"/>
      <c r="L284" s="113">
        <v>3.0089748693427888E-6</v>
      </c>
      <c r="M284" s="113"/>
      <c r="N284" s="113">
        <v>1.96555265390079E-2</v>
      </c>
      <c r="O284" s="113">
        <v>9.9687337421326596E-3</v>
      </c>
      <c r="P284" s="113">
        <v>9.686792796875239E-3</v>
      </c>
      <c r="Q284" s="113">
        <v>0</v>
      </c>
    </row>
    <row r="285" spans="1:17" x14ac:dyDescent="0.25">
      <c r="A285" s="104">
        <v>8</v>
      </c>
      <c r="B285" s="193" t="s">
        <v>1251</v>
      </c>
      <c r="C285" s="194" t="s">
        <v>1252</v>
      </c>
      <c r="D285" s="113">
        <v>1</v>
      </c>
      <c r="E285" s="13"/>
      <c r="F285" s="113">
        <v>0</v>
      </c>
      <c r="G285" s="113"/>
      <c r="H285" s="113">
        <v>1</v>
      </c>
      <c r="I285" s="113">
        <v>0</v>
      </c>
      <c r="J285" s="13"/>
      <c r="K285" s="113"/>
      <c r="L285" s="113">
        <v>0</v>
      </c>
      <c r="M285" s="113"/>
      <c r="N285" s="113">
        <v>0</v>
      </c>
      <c r="O285" s="113">
        <v>0</v>
      </c>
      <c r="P285" s="113">
        <v>0</v>
      </c>
      <c r="Q285" s="113">
        <v>0</v>
      </c>
    </row>
    <row r="286" spans="1:17" x14ac:dyDescent="0.25">
      <c r="A286" s="104">
        <v>9</v>
      </c>
      <c r="B286" s="196" t="s">
        <v>1767</v>
      </c>
      <c r="C286" s="197" t="s">
        <v>1768</v>
      </c>
      <c r="D286" s="113">
        <v>1</v>
      </c>
      <c r="E286" s="13"/>
      <c r="F286" s="113">
        <v>0.95621085870522038</v>
      </c>
      <c r="G286" s="113"/>
      <c r="H286" s="113">
        <v>4.3786071991130937E-2</v>
      </c>
      <c r="I286" s="113">
        <v>3.0693036486654055E-6</v>
      </c>
      <c r="J286" s="13"/>
      <c r="K286" s="113"/>
      <c r="L286" s="113">
        <v>3.0693036486654055E-6</v>
      </c>
      <c r="M286" s="113"/>
      <c r="N286" s="113">
        <v>0</v>
      </c>
      <c r="O286" s="113">
        <v>0</v>
      </c>
      <c r="P286" s="113">
        <v>0</v>
      </c>
      <c r="Q286" s="113">
        <v>0</v>
      </c>
    </row>
    <row r="287" spans="1:17" x14ac:dyDescent="0.25">
      <c r="A287" s="104">
        <v>10</v>
      </c>
      <c r="B287" s="193" t="s">
        <v>1253</v>
      </c>
      <c r="C287" s="194" t="s">
        <v>1254</v>
      </c>
      <c r="D287" s="113">
        <v>1</v>
      </c>
      <c r="E287" s="13"/>
      <c r="F287" s="113">
        <v>0</v>
      </c>
      <c r="G287" s="113"/>
      <c r="H287" s="113">
        <v>0.68591842524076718</v>
      </c>
      <c r="I287" s="113">
        <v>0.31408157475923282</v>
      </c>
      <c r="J287" s="13"/>
      <c r="K287" s="113"/>
      <c r="L287" s="113">
        <v>0</v>
      </c>
      <c r="M287" s="113"/>
      <c r="N287" s="113">
        <v>0.31408157475923282</v>
      </c>
      <c r="O287" s="113">
        <v>0.15929339699299455</v>
      </c>
      <c r="P287" s="113">
        <v>0.15478817776623827</v>
      </c>
      <c r="Q287" s="113">
        <v>0</v>
      </c>
    </row>
    <row r="288" spans="1:17" x14ac:dyDescent="0.25">
      <c r="A288" s="104">
        <v>11</v>
      </c>
      <c r="B288" s="196" t="s">
        <v>2018</v>
      </c>
      <c r="C288" s="197" t="s">
        <v>2019</v>
      </c>
      <c r="D288" s="113">
        <v>1</v>
      </c>
      <c r="E288" s="13"/>
      <c r="F288" s="113">
        <v>0.99999679014961118</v>
      </c>
      <c r="G288" s="113"/>
      <c r="H288" s="113">
        <v>0</v>
      </c>
      <c r="I288" s="113">
        <v>3.2098503888733748E-6</v>
      </c>
      <c r="J288" s="13"/>
      <c r="K288" s="113"/>
      <c r="L288" s="113">
        <v>3.2098503888733748E-6</v>
      </c>
      <c r="M288" s="113"/>
      <c r="N288" s="113">
        <v>0</v>
      </c>
      <c r="O288" s="113">
        <v>0</v>
      </c>
      <c r="P288" s="113">
        <v>0</v>
      </c>
      <c r="Q288" s="113">
        <v>0</v>
      </c>
    </row>
    <row r="289" spans="1:17" x14ac:dyDescent="0.25">
      <c r="A289" s="104"/>
      <c r="B289" s="13"/>
      <c r="C289" s="13"/>
      <c r="D289" s="13"/>
      <c r="E289" s="13"/>
      <c r="F289" s="13"/>
      <c r="G289" s="13"/>
      <c r="H289" s="13"/>
      <c r="I289" s="13"/>
      <c r="J289" s="13"/>
      <c r="K289" s="13"/>
      <c r="L289" s="13"/>
      <c r="M289" s="13"/>
      <c r="N289" s="13"/>
      <c r="O289" s="13"/>
      <c r="P289" s="13"/>
      <c r="Q289" s="13"/>
    </row>
    <row r="290" spans="1:17" x14ac:dyDescent="0.25">
      <c r="A290" s="13"/>
      <c r="B290" s="195" t="s">
        <v>1255</v>
      </c>
      <c r="C290" s="13"/>
      <c r="D290" s="13"/>
      <c r="E290" s="13"/>
      <c r="F290" s="13"/>
      <c r="G290" s="13"/>
      <c r="H290" s="13"/>
      <c r="I290" s="13"/>
      <c r="J290" s="13"/>
      <c r="K290" s="13"/>
      <c r="L290" s="13"/>
      <c r="M290" s="13"/>
      <c r="N290" s="13"/>
      <c r="O290" s="13"/>
      <c r="P290" s="13"/>
      <c r="Q290" s="13"/>
    </row>
    <row r="291" spans="1:17" x14ac:dyDescent="0.25">
      <c r="A291" s="104">
        <v>12</v>
      </c>
      <c r="B291" s="193" t="s">
        <v>1769</v>
      </c>
      <c r="C291" s="194" t="s">
        <v>1770</v>
      </c>
      <c r="D291" s="113">
        <v>1</v>
      </c>
      <c r="E291" s="13"/>
      <c r="F291" s="113">
        <v>0.99901483124385737</v>
      </c>
      <c r="G291" s="113"/>
      <c r="H291" s="113">
        <v>0</v>
      </c>
      <c r="I291" s="113">
        <v>9.8516875614268083E-4</v>
      </c>
      <c r="J291" s="13"/>
      <c r="K291" s="113"/>
      <c r="L291" s="113">
        <v>0</v>
      </c>
      <c r="M291" s="113"/>
      <c r="N291" s="113">
        <v>9.8516875614268083E-4</v>
      </c>
      <c r="O291" s="113">
        <v>9.8516875614268083E-4</v>
      </c>
      <c r="P291" s="113">
        <v>0</v>
      </c>
      <c r="Q291" s="113">
        <v>0</v>
      </c>
    </row>
    <row r="292" spans="1:17" x14ac:dyDescent="0.25">
      <c r="A292" s="104">
        <v>13</v>
      </c>
      <c r="B292" s="193" t="s">
        <v>1771</v>
      </c>
      <c r="C292" s="194" t="s">
        <v>1772</v>
      </c>
      <c r="D292" s="113">
        <v>1</v>
      </c>
      <c r="E292" s="13"/>
      <c r="F292" s="113">
        <v>0.98746795933790532</v>
      </c>
      <c r="G292" s="113"/>
      <c r="H292" s="113">
        <v>0</v>
      </c>
      <c r="I292" s="113">
        <v>1.2532040662094698E-2</v>
      </c>
      <c r="J292" s="13"/>
      <c r="K292" s="113"/>
      <c r="L292" s="113">
        <v>0</v>
      </c>
      <c r="M292" s="113"/>
      <c r="N292" s="113">
        <v>1.2532040662094698E-2</v>
      </c>
      <c r="O292" s="113">
        <v>1.2532040662094698E-2</v>
      </c>
      <c r="P292" s="113">
        <v>0</v>
      </c>
      <c r="Q292" s="113">
        <v>0</v>
      </c>
    </row>
    <row r="293" spans="1:17" x14ac:dyDescent="0.25">
      <c r="A293" s="104">
        <v>14</v>
      </c>
      <c r="B293" s="193" t="s">
        <v>1773</v>
      </c>
      <c r="C293" s="194" t="s">
        <v>1774</v>
      </c>
      <c r="D293" s="113">
        <v>1</v>
      </c>
      <c r="E293" s="13"/>
      <c r="F293" s="113">
        <v>0.98679067105804885</v>
      </c>
      <c r="G293" s="113"/>
      <c r="H293" s="113">
        <v>0</v>
      </c>
      <c r="I293" s="113">
        <v>1.3209328941951138E-2</v>
      </c>
      <c r="J293" s="13"/>
      <c r="K293" s="113"/>
      <c r="L293" s="113">
        <v>0</v>
      </c>
      <c r="M293" s="113"/>
      <c r="N293" s="113">
        <v>1.3209328941951138E-2</v>
      </c>
      <c r="O293" s="113">
        <v>1.3209328941951138E-2</v>
      </c>
      <c r="P293" s="113">
        <v>0</v>
      </c>
      <c r="Q293" s="113">
        <v>0</v>
      </c>
    </row>
    <row r="294" spans="1:17" x14ac:dyDescent="0.25">
      <c r="A294" s="104">
        <v>15</v>
      </c>
      <c r="B294" s="193" t="s">
        <v>1775</v>
      </c>
      <c r="C294" s="194" t="s">
        <v>1776</v>
      </c>
      <c r="D294" s="113">
        <v>1</v>
      </c>
      <c r="E294" s="13"/>
      <c r="F294" s="113">
        <v>1</v>
      </c>
      <c r="G294" s="113"/>
      <c r="H294" s="113">
        <v>0</v>
      </c>
      <c r="I294" s="113">
        <v>0</v>
      </c>
      <c r="J294" s="13"/>
      <c r="K294" s="113"/>
      <c r="L294" s="113">
        <v>0</v>
      </c>
      <c r="M294" s="113"/>
      <c r="N294" s="113">
        <v>0</v>
      </c>
      <c r="O294" s="113">
        <v>0</v>
      </c>
      <c r="P294" s="113">
        <v>0</v>
      </c>
      <c r="Q294" s="113">
        <v>0</v>
      </c>
    </row>
    <row r="295" spans="1:17" x14ac:dyDescent="0.25">
      <c r="A295" s="104">
        <v>16</v>
      </c>
      <c r="B295" s="193" t="s">
        <v>1777</v>
      </c>
      <c r="C295" s="194" t="s">
        <v>1778</v>
      </c>
      <c r="D295" s="113">
        <v>1</v>
      </c>
      <c r="E295" s="13"/>
      <c r="F295" s="113">
        <v>1</v>
      </c>
      <c r="G295" s="113"/>
      <c r="H295" s="113">
        <v>0</v>
      </c>
      <c r="I295" s="113">
        <v>0</v>
      </c>
      <c r="J295" s="13"/>
      <c r="K295" s="113"/>
      <c r="L295" s="113">
        <v>0</v>
      </c>
      <c r="M295" s="113"/>
      <c r="N295" s="113">
        <v>0</v>
      </c>
      <c r="O295" s="113">
        <v>0</v>
      </c>
      <c r="P295" s="113">
        <v>0</v>
      </c>
      <c r="Q295" s="113">
        <v>0</v>
      </c>
    </row>
    <row r="296" spans="1:17" x14ac:dyDescent="0.25">
      <c r="A296" s="104">
        <v>17</v>
      </c>
      <c r="B296" s="193" t="s">
        <v>1779</v>
      </c>
      <c r="C296" s="194" t="s">
        <v>1780</v>
      </c>
      <c r="D296" s="113">
        <v>1</v>
      </c>
      <c r="E296" s="13"/>
      <c r="F296" s="113">
        <v>1</v>
      </c>
      <c r="G296" s="113"/>
      <c r="H296" s="113">
        <v>0</v>
      </c>
      <c r="I296" s="113">
        <v>0</v>
      </c>
      <c r="J296" s="13"/>
      <c r="K296" s="113"/>
      <c r="L296" s="113">
        <v>0</v>
      </c>
      <c r="M296" s="113"/>
      <c r="N296" s="113">
        <v>0</v>
      </c>
      <c r="O296" s="113">
        <v>0</v>
      </c>
      <c r="P296" s="113">
        <v>0</v>
      </c>
      <c r="Q296" s="113">
        <v>0</v>
      </c>
    </row>
    <row r="297" spans="1:17" x14ac:dyDescent="0.25">
      <c r="A297" s="104">
        <v>18</v>
      </c>
      <c r="B297" s="193" t="s">
        <v>1781</v>
      </c>
      <c r="C297" s="194" t="s">
        <v>1782</v>
      </c>
      <c r="D297" s="113">
        <v>1</v>
      </c>
      <c r="E297" s="13"/>
      <c r="F297" s="113">
        <v>1</v>
      </c>
      <c r="G297" s="113"/>
      <c r="H297" s="113">
        <v>0</v>
      </c>
      <c r="I297" s="113">
        <v>0</v>
      </c>
      <c r="J297" s="13"/>
      <c r="K297" s="113"/>
      <c r="L297" s="113">
        <v>0</v>
      </c>
      <c r="M297" s="113"/>
      <c r="N297" s="113">
        <v>0</v>
      </c>
      <c r="O297" s="113">
        <v>0</v>
      </c>
      <c r="P297" s="113">
        <v>0</v>
      </c>
      <c r="Q297" s="113">
        <v>0</v>
      </c>
    </row>
    <row r="298" spans="1:17" x14ac:dyDescent="0.25">
      <c r="A298" s="104">
        <v>19</v>
      </c>
      <c r="B298" s="193" t="s">
        <v>1783</v>
      </c>
      <c r="C298" s="194" t="s">
        <v>1329</v>
      </c>
      <c r="D298" s="113">
        <v>1</v>
      </c>
      <c r="E298" s="13"/>
      <c r="F298" s="113">
        <v>1</v>
      </c>
      <c r="G298" s="113"/>
      <c r="H298" s="113">
        <v>0</v>
      </c>
      <c r="I298" s="113">
        <v>0</v>
      </c>
      <c r="J298" s="13"/>
      <c r="K298" s="113"/>
      <c r="L298" s="113">
        <v>0</v>
      </c>
      <c r="M298" s="113"/>
      <c r="N298" s="113">
        <v>0</v>
      </c>
      <c r="O298" s="113">
        <v>0</v>
      </c>
      <c r="P298" s="113">
        <v>0</v>
      </c>
      <c r="Q298" s="113">
        <v>0</v>
      </c>
    </row>
    <row r="299" spans="1:17" x14ac:dyDescent="0.25">
      <c r="A299" s="104">
        <v>20</v>
      </c>
      <c r="B299" s="196" t="s">
        <v>1784</v>
      </c>
      <c r="C299" s="197" t="s">
        <v>1750</v>
      </c>
      <c r="D299" s="113">
        <v>1</v>
      </c>
      <c r="E299" s="13"/>
      <c r="F299" s="113">
        <v>1</v>
      </c>
      <c r="G299" s="113"/>
      <c r="H299" s="113">
        <v>0</v>
      </c>
      <c r="I299" s="113">
        <v>0</v>
      </c>
      <c r="J299" s="13"/>
      <c r="K299" s="113"/>
      <c r="L299" s="113">
        <v>0</v>
      </c>
      <c r="M299" s="113"/>
      <c r="N299" s="113">
        <v>0</v>
      </c>
      <c r="O299" s="113">
        <v>0</v>
      </c>
      <c r="P299" s="113">
        <v>0</v>
      </c>
      <c r="Q299" s="113">
        <v>0</v>
      </c>
    </row>
    <row r="300" spans="1:17" x14ac:dyDescent="0.25">
      <c r="A300" s="104">
        <v>21</v>
      </c>
      <c r="B300" s="193" t="s">
        <v>1785</v>
      </c>
      <c r="C300" s="194" t="s">
        <v>1786</v>
      </c>
      <c r="D300" s="113">
        <v>1</v>
      </c>
      <c r="E300" s="13"/>
      <c r="F300" s="113">
        <v>0</v>
      </c>
      <c r="G300" s="113"/>
      <c r="H300" s="113">
        <v>1</v>
      </c>
      <c r="I300" s="113">
        <v>0</v>
      </c>
      <c r="J300" s="13"/>
      <c r="K300" s="113"/>
      <c r="L300" s="113">
        <v>0</v>
      </c>
      <c r="M300" s="113"/>
      <c r="N300" s="113">
        <v>0</v>
      </c>
      <c r="O300" s="113">
        <v>0</v>
      </c>
      <c r="P300" s="113">
        <v>0</v>
      </c>
      <c r="Q300" s="113">
        <v>0</v>
      </c>
    </row>
    <row r="301" spans="1:17" x14ac:dyDescent="0.25">
      <c r="A301" s="104">
        <v>22</v>
      </c>
      <c r="B301" s="193" t="s">
        <v>1787</v>
      </c>
      <c r="C301" s="194" t="s">
        <v>1788</v>
      </c>
      <c r="D301" s="113">
        <v>1</v>
      </c>
      <c r="E301" s="13"/>
      <c r="F301" s="113">
        <v>0</v>
      </c>
      <c r="G301" s="113"/>
      <c r="H301" s="113">
        <v>1</v>
      </c>
      <c r="I301" s="113">
        <v>0</v>
      </c>
      <c r="J301" s="13"/>
      <c r="K301" s="113"/>
      <c r="L301" s="113">
        <v>0</v>
      </c>
      <c r="M301" s="113"/>
      <c r="N301" s="113">
        <v>0</v>
      </c>
      <c r="O301" s="113">
        <v>0</v>
      </c>
      <c r="P301" s="113">
        <v>0</v>
      </c>
      <c r="Q301" s="113">
        <v>0</v>
      </c>
    </row>
    <row r="302" spans="1:17" x14ac:dyDescent="0.25">
      <c r="A302" s="104">
        <v>23</v>
      </c>
      <c r="B302" s="193" t="s">
        <v>1789</v>
      </c>
      <c r="C302" s="194" t="s">
        <v>1790</v>
      </c>
      <c r="D302" s="113">
        <v>1</v>
      </c>
      <c r="E302" s="13"/>
      <c r="F302" s="113">
        <v>0</v>
      </c>
      <c r="G302" s="113"/>
      <c r="H302" s="113">
        <v>1</v>
      </c>
      <c r="I302" s="113">
        <v>0</v>
      </c>
      <c r="J302" s="13"/>
      <c r="K302" s="113"/>
      <c r="L302" s="113">
        <v>0</v>
      </c>
      <c r="M302" s="113"/>
      <c r="N302" s="113">
        <v>0</v>
      </c>
      <c r="O302" s="113">
        <v>0</v>
      </c>
      <c r="P302" s="113">
        <v>0</v>
      </c>
      <c r="Q302" s="113">
        <v>0</v>
      </c>
    </row>
    <row r="303" spans="1:17" x14ac:dyDescent="0.25">
      <c r="A303" s="104">
        <v>24</v>
      </c>
      <c r="B303" s="107" t="s">
        <v>2065</v>
      </c>
      <c r="C303" s="192" t="s">
        <v>2066</v>
      </c>
      <c r="D303" s="113">
        <v>1</v>
      </c>
      <c r="E303" s="13"/>
      <c r="F303" s="113">
        <v>0.7797452328090192</v>
      </c>
      <c r="G303" s="113"/>
      <c r="H303" s="113">
        <v>0.2202547671909808</v>
      </c>
      <c r="I303" s="113">
        <v>0</v>
      </c>
      <c r="J303" s="13"/>
      <c r="K303" s="113"/>
      <c r="L303" s="113">
        <v>0</v>
      </c>
      <c r="M303" s="113"/>
      <c r="N303" s="113">
        <v>0</v>
      </c>
      <c r="O303" s="113">
        <v>0</v>
      </c>
      <c r="P303" s="113">
        <v>0</v>
      </c>
      <c r="Q303" s="113">
        <v>0</v>
      </c>
    </row>
    <row r="304" spans="1:17" x14ac:dyDescent="0.25">
      <c r="A304" s="104">
        <v>25</v>
      </c>
      <c r="B304" s="193" t="s">
        <v>1791</v>
      </c>
      <c r="C304" s="194" t="s">
        <v>1792</v>
      </c>
      <c r="D304" s="113">
        <v>1</v>
      </c>
      <c r="E304" s="13"/>
      <c r="F304" s="113">
        <v>0</v>
      </c>
      <c r="G304" s="113"/>
      <c r="H304" s="113">
        <v>1</v>
      </c>
      <c r="I304" s="113">
        <v>0</v>
      </c>
      <c r="J304" s="13"/>
      <c r="K304" s="113"/>
      <c r="L304" s="113">
        <v>0</v>
      </c>
      <c r="M304" s="113"/>
      <c r="N304" s="113">
        <v>0</v>
      </c>
      <c r="O304" s="113">
        <v>0</v>
      </c>
      <c r="P304" s="113">
        <v>0</v>
      </c>
      <c r="Q304" s="113">
        <v>0</v>
      </c>
    </row>
    <row r="305" spans="1:17" x14ac:dyDescent="0.25">
      <c r="A305" s="104">
        <v>26</v>
      </c>
      <c r="B305" s="193" t="s">
        <v>1793</v>
      </c>
      <c r="C305" s="194" t="s">
        <v>1794</v>
      </c>
      <c r="D305" s="113">
        <v>1</v>
      </c>
      <c r="E305" s="13"/>
      <c r="F305" s="113">
        <v>0</v>
      </c>
      <c r="G305" s="113"/>
      <c r="H305" s="113">
        <v>1</v>
      </c>
      <c r="I305" s="113">
        <v>0</v>
      </c>
      <c r="J305" s="13"/>
      <c r="K305" s="113"/>
      <c r="L305" s="113">
        <v>0</v>
      </c>
      <c r="M305" s="113"/>
      <c r="N305" s="113">
        <v>0</v>
      </c>
      <c r="O305" s="113">
        <v>0</v>
      </c>
      <c r="P305" s="113">
        <v>0</v>
      </c>
      <c r="Q305" s="113">
        <v>0</v>
      </c>
    </row>
    <row r="306" spans="1:17" x14ac:dyDescent="0.25">
      <c r="A306" s="104">
        <v>27</v>
      </c>
      <c r="B306" s="193" t="s">
        <v>1795</v>
      </c>
      <c r="C306" s="194" t="s">
        <v>1796</v>
      </c>
      <c r="D306" s="113">
        <v>1</v>
      </c>
      <c r="E306" s="13"/>
      <c r="F306" s="113">
        <v>0</v>
      </c>
      <c r="G306" s="113"/>
      <c r="H306" s="113">
        <v>1</v>
      </c>
      <c r="I306" s="113">
        <v>0</v>
      </c>
      <c r="J306" s="13"/>
      <c r="K306" s="113"/>
      <c r="L306" s="113">
        <v>0</v>
      </c>
      <c r="M306" s="113"/>
      <c r="N306" s="113">
        <v>0</v>
      </c>
      <c r="O306" s="113">
        <v>0</v>
      </c>
      <c r="P306" s="113">
        <v>0</v>
      </c>
      <c r="Q306" s="113">
        <v>0</v>
      </c>
    </row>
    <row r="307" spans="1:17" x14ac:dyDescent="0.25">
      <c r="A307" s="104">
        <v>28</v>
      </c>
      <c r="B307" s="193" t="s">
        <v>1797</v>
      </c>
      <c r="C307" s="194" t="s">
        <v>1330</v>
      </c>
      <c r="D307" s="113">
        <v>1</v>
      </c>
      <c r="E307" s="13"/>
      <c r="F307" s="113">
        <v>0</v>
      </c>
      <c r="G307" s="113"/>
      <c r="H307" s="113">
        <v>1</v>
      </c>
      <c r="I307" s="113">
        <v>0</v>
      </c>
      <c r="J307" s="13"/>
      <c r="K307" s="113"/>
      <c r="L307" s="113">
        <v>0</v>
      </c>
      <c r="M307" s="113"/>
      <c r="N307" s="113">
        <v>0</v>
      </c>
      <c r="O307" s="113">
        <v>0</v>
      </c>
      <c r="P307" s="113">
        <v>0</v>
      </c>
      <c r="Q307" s="113">
        <v>0</v>
      </c>
    </row>
    <row r="308" spans="1:17" x14ac:dyDescent="0.25">
      <c r="A308" s="104">
        <v>29</v>
      </c>
      <c r="B308" s="193" t="s">
        <v>1798</v>
      </c>
      <c r="C308" s="194" t="s">
        <v>1799</v>
      </c>
      <c r="D308" s="113">
        <v>1</v>
      </c>
      <c r="E308" s="13"/>
      <c r="F308" s="113">
        <v>0</v>
      </c>
      <c r="G308" s="113"/>
      <c r="H308" s="113">
        <v>0</v>
      </c>
      <c r="I308" s="113">
        <v>1</v>
      </c>
      <c r="J308" s="13"/>
      <c r="K308" s="113"/>
      <c r="L308" s="113">
        <v>1</v>
      </c>
      <c r="M308" s="113"/>
      <c r="N308" s="113">
        <v>0</v>
      </c>
      <c r="O308" s="113">
        <v>0</v>
      </c>
      <c r="P308" s="113">
        <v>0</v>
      </c>
      <c r="Q308" s="113">
        <v>0</v>
      </c>
    </row>
    <row r="309" spans="1:17" x14ac:dyDescent="0.25">
      <c r="A309" s="104">
        <v>30</v>
      </c>
      <c r="B309" s="193" t="s">
        <v>1800</v>
      </c>
      <c r="C309" s="194" t="s">
        <v>1801</v>
      </c>
      <c r="D309" s="113">
        <v>1</v>
      </c>
      <c r="E309" s="13"/>
      <c r="F309" s="113">
        <v>0</v>
      </c>
      <c r="G309" s="113"/>
      <c r="H309" s="113">
        <v>0</v>
      </c>
      <c r="I309" s="113">
        <v>1</v>
      </c>
      <c r="J309" s="13"/>
      <c r="K309" s="113"/>
      <c r="L309" s="113">
        <v>1</v>
      </c>
      <c r="M309" s="113"/>
      <c r="N309" s="113">
        <v>0</v>
      </c>
      <c r="O309" s="113">
        <v>0</v>
      </c>
      <c r="P309" s="113">
        <v>0</v>
      </c>
      <c r="Q309" s="113">
        <v>0</v>
      </c>
    </row>
    <row r="310" spans="1:17" x14ac:dyDescent="0.25">
      <c r="A310" s="104">
        <v>31</v>
      </c>
      <c r="B310" s="193" t="s">
        <v>1802</v>
      </c>
      <c r="C310" s="194" t="s">
        <v>1803</v>
      </c>
      <c r="D310" s="113">
        <v>1</v>
      </c>
      <c r="E310" s="13"/>
      <c r="F310" s="113">
        <v>0</v>
      </c>
      <c r="G310" s="113"/>
      <c r="H310" s="113">
        <v>0</v>
      </c>
      <c r="I310" s="113">
        <v>1</v>
      </c>
      <c r="J310" s="13"/>
      <c r="K310" s="113"/>
      <c r="L310" s="113">
        <v>1</v>
      </c>
      <c r="M310" s="113"/>
      <c r="N310" s="113">
        <v>0</v>
      </c>
      <c r="O310" s="113">
        <v>0</v>
      </c>
      <c r="P310" s="113">
        <v>0</v>
      </c>
      <c r="Q310" s="113">
        <v>0</v>
      </c>
    </row>
    <row r="311" spans="1:17" x14ac:dyDescent="0.25">
      <c r="A311" s="104">
        <v>32</v>
      </c>
      <c r="B311" s="193" t="s">
        <v>1804</v>
      </c>
      <c r="C311" s="194" t="s">
        <v>1805</v>
      </c>
      <c r="D311" s="113">
        <v>1</v>
      </c>
      <c r="E311" s="13"/>
      <c r="F311" s="113">
        <v>0</v>
      </c>
      <c r="G311" s="113"/>
      <c r="H311" s="113">
        <v>0</v>
      </c>
      <c r="I311" s="113">
        <v>1</v>
      </c>
      <c r="J311" s="13"/>
      <c r="K311" s="113"/>
      <c r="L311" s="113">
        <v>1</v>
      </c>
      <c r="M311" s="113"/>
      <c r="N311" s="113">
        <v>0</v>
      </c>
      <c r="O311" s="113">
        <v>0</v>
      </c>
      <c r="P311" s="113">
        <v>0</v>
      </c>
      <c r="Q311" s="113">
        <v>0</v>
      </c>
    </row>
    <row r="312" spans="1:17" x14ac:dyDescent="0.25">
      <c r="A312" s="104">
        <v>33</v>
      </c>
      <c r="B312" s="193" t="s">
        <v>1806</v>
      </c>
      <c r="C312" s="194" t="s">
        <v>1807</v>
      </c>
      <c r="D312" s="113">
        <v>1</v>
      </c>
      <c r="E312" s="13"/>
      <c r="F312" s="113">
        <v>0</v>
      </c>
      <c r="G312" s="113"/>
      <c r="H312" s="113">
        <v>0</v>
      </c>
      <c r="I312" s="113">
        <v>1</v>
      </c>
      <c r="J312" s="13"/>
      <c r="K312" s="113"/>
      <c r="L312" s="113">
        <v>1</v>
      </c>
      <c r="M312" s="113"/>
      <c r="N312" s="113">
        <v>0</v>
      </c>
      <c r="O312" s="113">
        <v>0</v>
      </c>
      <c r="P312" s="113">
        <v>0</v>
      </c>
      <c r="Q312" s="113">
        <v>0</v>
      </c>
    </row>
    <row r="313" spans="1:17" x14ac:dyDescent="0.25">
      <c r="A313" s="104">
        <v>34</v>
      </c>
      <c r="B313" s="193" t="s">
        <v>1808</v>
      </c>
      <c r="C313" s="194" t="s">
        <v>1809</v>
      </c>
      <c r="D313" s="113">
        <v>1</v>
      </c>
      <c r="E313" s="13"/>
      <c r="F313" s="113">
        <v>0</v>
      </c>
      <c r="G313" s="113"/>
      <c r="H313" s="113">
        <v>0</v>
      </c>
      <c r="I313" s="113">
        <v>1</v>
      </c>
      <c r="J313" s="13"/>
      <c r="K313" s="113"/>
      <c r="L313" s="113">
        <v>1</v>
      </c>
      <c r="M313" s="113"/>
      <c r="N313" s="113">
        <v>0</v>
      </c>
      <c r="O313" s="113">
        <v>0</v>
      </c>
      <c r="P313" s="113">
        <v>0</v>
      </c>
      <c r="Q313" s="113">
        <v>0</v>
      </c>
    </row>
    <row r="314" spans="1:17" x14ac:dyDescent="0.25">
      <c r="A314" s="104">
        <v>35</v>
      </c>
      <c r="B314" s="193" t="s">
        <v>1810</v>
      </c>
      <c r="C314" s="194" t="s">
        <v>1811</v>
      </c>
      <c r="D314" s="113">
        <v>1</v>
      </c>
      <c r="E314" s="13"/>
      <c r="F314" s="113">
        <v>0</v>
      </c>
      <c r="G314" s="113"/>
      <c r="H314" s="113">
        <v>0</v>
      </c>
      <c r="I314" s="113">
        <v>1</v>
      </c>
      <c r="J314" s="13"/>
      <c r="K314" s="113"/>
      <c r="L314" s="113">
        <v>1</v>
      </c>
      <c r="M314" s="113"/>
      <c r="N314" s="113">
        <v>0</v>
      </c>
      <c r="O314" s="113">
        <v>0</v>
      </c>
      <c r="P314" s="113">
        <v>0</v>
      </c>
      <c r="Q314" s="113">
        <v>0</v>
      </c>
    </row>
    <row r="315" spans="1:17" x14ac:dyDescent="0.25">
      <c r="A315" s="104">
        <v>36</v>
      </c>
      <c r="B315" s="193" t="s">
        <v>1812</v>
      </c>
      <c r="C315" s="194" t="s">
        <v>1813</v>
      </c>
      <c r="D315" s="113">
        <v>1</v>
      </c>
      <c r="E315" s="13"/>
      <c r="F315" s="113">
        <v>0</v>
      </c>
      <c r="G315" s="113"/>
      <c r="H315" s="113">
        <v>0</v>
      </c>
      <c r="I315" s="113">
        <v>1</v>
      </c>
      <c r="J315" s="13"/>
      <c r="K315" s="113"/>
      <c r="L315" s="113">
        <v>1</v>
      </c>
      <c r="M315" s="113"/>
      <c r="N315" s="113">
        <v>0</v>
      </c>
      <c r="O315" s="113">
        <v>0</v>
      </c>
      <c r="P315" s="113">
        <v>0</v>
      </c>
      <c r="Q315" s="113">
        <v>0</v>
      </c>
    </row>
    <row r="316" spans="1:17" x14ac:dyDescent="0.25">
      <c r="A316" s="104">
        <v>37</v>
      </c>
      <c r="B316" s="193" t="s">
        <v>1814</v>
      </c>
      <c r="C316" s="194" t="s">
        <v>1815</v>
      </c>
      <c r="D316" s="113">
        <v>0</v>
      </c>
      <c r="E316" s="13"/>
      <c r="F316" s="113">
        <v>0</v>
      </c>
      <c r="G316" s="113"/>
      <c r="H316" s="113">
        <v>0</v>
      </c>
      <c r="I316" s="113">
        <v>0</v>
      </c>
      <c r="J316" s="13"/>
      <c r="K316" s="113"/>
      <c r="L316" s="113">
        <v>0</v>
      </c>
      <c r="M316" s="113"/>
      <c r="N316" s="113">
        <v>0</v>
      </c>
      <c r="O316" s="113">
        <v>0</v>
      </c>
      <c r="P316" s="113">
        <v>0</v>
      </c>
      <c r="Q316" s="113">
        <v>0</v>
      </c>
    </row>
    <row r="317" spans="1:17" x14ac:dyDescent="0.25">
      <c r="A317" s="104">
        <v>38</v>
      </c>
      <c r="B317" s="193" t="s">
        <v>58</v>
      </c>
      <c r="C317" s="194" t="s">
        <v>1332</v>
      </c>
      <c r="D317" s="113">
        <v>1</v>
      </c>
      <c r="E317" s="13"/>
      <c r="F317" s="113">
        <v>0</v>
      </c>
      <c r="G317" s="113"/>
      <c r="H317" s="113">
        <v>0.99636113976104146</v>
      </c>
      <c r="I317" s="113">
        <v>3.6388602389585295E-3</v>
      </c>
      <c r="J317" s="13"/>
      <c r="K317" s="113"/>
      <c r="L317" s="113">
        <v>3.6388602389585295E-3</v>
      </c>
      <c r="M317" s="113"/>
      <c r="N317" s="113">
        <v>0</v>
      </c>
      <c r="O317" s="113">
        <v>0</v>
      </c>
      <c r="P317" s="113">
        <v>0</v>
      </c>
      <c r="Q317" s="113">
        <v>0</v>
      </c>
    </row>
    <row r="318" spans="1:17" x14ac:dyDescent="0.25">
      <c r="A318" s="104">
        <v>39</v>
      </c>
      <c r="B318" s="193" t="s">
        <v>59</v>
      </c>
      <c r="C318" s="194" t="s">
        <v>1334</v>
      </c>
      <c r="D318" s="113">
        <v>1</v>
      </c>
      <c r="E318" s="13"/>
      <c r="F318" s="113">
        <v>0</v>
      </c>
      <c r="G318" s="113"/>
      <c r="H318" s="113">
        <v>1</v>
      </c>
      <c r="I318" s="113">
        <v>0</v>
      </c>
      <c r="J318" s="13"/>
      <c r="K318" s="113"/>
      <c r="L318" s="113">
        <v>0</v>
      </c>
      <c r="M318" s="113"/>
      <c r="N318" s="113">
        <v>0</v>
      </c>
      <c r="O318" s="113">
        <v>0</v>
      </c>
      <c r="P318" s="113">
        <v>0</v>
      </c>
      <c r="Q318" s="113">
        <v>0</v>
      </c>
    </row>
    <row r="319" spans="1:17" x14ac:dyDescent="0.25">
      <c r="A319" s="104">
        <v>40</v>
      </c>
      <c r="B319" s="193" t="s">
        <v>60</v>
      </c>
      <c r="C319" s="194" t="s">
        <v>1335</v>
      </c>
      <c r="D319" s="113">
        <v>1</v>
      </c>
      <c r="E319" s="13"/>
      <c r="F319" s="113">
        <v>0</v>
      </c>
      <c r="G319" s="113"/>
      <c r="H319" s="113">
        <v>1</v>
      </c>
      <c r="I319" s="113">
        <v>0</v>
      </c>
      <c r="J319" s="13"/>
      <c r="K319" s="113"/>
      <c r="L319" s="113">
        <v>0</v>
      </c>
      <c r="M319" s="113"/>
      <c r="N319" s="113">
        <v>0</v>
      </c>
      <c r="O319" s="113">
        <v>0</v>
      </c>
      <c r="P319" s="113">
        <v>0</v>
      </c>
      <c r="Q319" s="113">
        <v>0</v>
      </c>
    </row>
    <row r="320" spans="1:17" x14ac:dyDescent="0.25">
      <c r="A320" s="104">
        <v>41</v>
      </c>
      <c r="B320" s="193" t="s">
        <v>1415</v>
      </c>
      <c r="C320" s="194" t="s">
        <v>1336</v>
      </c>
      <c r="D320" s="113">
        <v>0</v>
      </c>
      <c r="E320" s="13"/>
      <c r="F320" s="113">
        <v>0</v>
      </c>
      <c r="G320" s="113"/>
      <c r="H320" s="113">
        <v>0</v>
      </c>
      <c r="I320" s="113">
        <v>0</v>
      </c>
      <c r="J320" s="13"/>
      <c r="K320" s="113"/>
      <c r="L320" s="113">
        <v>0</v>
      </c>
      <c r="M320" s="113"/>
      <c r="N320" s="113">
        <v>0</v>
      </c>
      <c r="O320" s="113">
        <v>0</v>
      </c>
      <c r="P320" s="113">
        <v>0</v>
      </c>
      <c r="Q320" s="113">
        <v>0</v>
      </c>
    </row>
    <row r="321" spans="1:17" x14ac:dyDescent="0.25">
      <c r="A321" s="104">
        <v>42</v>
      </c>
      <c r="B321" s="196" t="s">
        <v>1816</v>
      </c>
      <c r="C321" s="197" t="s">
        <v>1817</v>
      </c>
      <c r="D321" s="113">
        <v>1</v>
      </c>
      <c r="E321" s="13"/>
      <c r="F321" s="113">
        <v>0.84955497650355349</v>
      </c>
      <c r="G321" s="113"/>
      <c r="H321" s="113">
        <v>0.10491286151020887</v>
      </c>
      <c r="I321" s="113">
        <v>4.5532161986237683E-2</v>
      </c>
      <c r="J321" s="13"/>
      <c r="K321" s="113"/>
      <c r="L321" s="113">
        <v>1.5558284806411686E-5</v>
      </c>
      <c r="M321" s="113"/>
      <c r="N321" s="113">
        <v>4.551660370143127E-2</v>
      </c>
      <c r="O321" s="113">
        <v>4.551660370143127E-2</v>
      </c>
      <c r="P321" s="113">
        <v>0</v>
      </c>
      <c r="Q321" s="113">
        <v>0</v>
      </c>
    </row>
    <row r="322" spans="1:17" x14ac:dyDescent="0.25">
      <c r="A322" s="104">
        <v>43</v>
      </c>
      <c r="B322" s="196" t="s">
        <v>1818</v>
      </c>
      <c r="C322" s="197" t="s">
        <v>1819</v>
      </c>
      <c r="D322" s="113">
        <v>1</v>
      </c>
      <c r="E322" s="13"/>
      <c r="F322" s="113">
        <v>0.95805160609989548</v>
      </c>
      <c r="G322" s="113"/>
      <c r="H322" s="113">
        <v>4.1948393900104561E-2</v>
      </c>
      <c r="I322" s="113">
        <v>0</v>
      </c>
      <c r="J322" s="13"/>
      <c r="K322" s="113"/>
      <c r="L322" s="113">
        <v>0</v>
      </c>
      <c r="M322" s="113"/>
      <c r="N322" s="113">
        <v>0</v>
      </c>
      <c r="O322" s="113">
        <v>0</v>
      </c>
      <c r="P322" s="113">
        <v>0</v>
      </c>
      <c r="Q322" s="113">
        <v>0</v>
      </c>
    </row>
    <row r="323" spans="1:17" x14ac:dyDescent="0.25">
      <c r="A323" s="104">
        <v>44</v>
      </c>
      <c r="B323" s="196" t="s">
        <v>1820</v>
      </c>
      <c r="C323" s="197" t="s">
        <v>1821</v>
      </c>
      <c r="D323" s="113">
        <v>1</v>
      </c>
      <c r="E323" s="13"/>
      <c r="F323" s="113">
        <v>1</v>
      </c>
      <c r="G323" s="113"/>
      <c r="H323" s="113">
        <v>0</v>
      </c>
      <c r="I323" s="113">
        <v>0</v>
      </c>
      <c r="J323" s="13"/>
      <c r="K323" s="113"/>
      <c r="L323" s="113">
        <v>0</v>
      </c>
      <c r="M323" s="113"/>
      <c r="N323" s="113">
        <v>0</v>
      </c>
      <c r="O323" s="113">
        <v>0</v>
      </c>
      <c r="P323" s="113">
        <v>0</v>
      </c>
      <c r="Q323" s="113">
        <v>0</v>
      </c>
    </row>
    <row r="324" spans="1:17" x14ac:dyDescent="0.25">
      <c r="A324" s="104">
        <v>45</v>
      </c>
      <c r="B324" s="196" t="s">
        <v>1870</v>
      </c>
      <c r="C324" s="198" t="s">
        <v>1823</v>
      </c>
      <c r="D324" s="113">
        <v>1</v>
      </c>
      <c r="E324" s="13"/>
      <c r="F324" s="113">
        <v>0.93650246697316952</v>
      </c>
      <c r="G324" s="113"/>
      <c r="H324" s="113">
        <v>6.3497533026830449E-2</v>
      </c>
      <c r="I324" s="113">
        <v>0</v>
      </c>
      <c r="J324" s="13"/>
      <c r="K324" s="113"/>
      <c r="L324" s="113">
        <v>0</v>
      </c>
      <c r="M324" s="113"/>
      <c r="N324" s="113">
        <v>0</v>
      </c>
      <c r="O324" s="113">
        <v>0</v>
      </c>
      <c r="P324" s="113">
        <v>0</v>
      </c>
      <c r="Q324" s="113">
        <v>0</v>
      </c>
    </row>
    <row r="325" spans="1:17" x14ac:dyDescent="0.25">
      <c r="A325" s="104">
        <v>46</v>
      </c>
      <c r="B325" s="196" t="s">
        <v>1871</v>
      </c>
      <c r="C325" s="198" t="s">
        <v>1825</v>
      </c>
      <c r="D325" s="113">
        <v>1</v>
      </c>
      <c r="E325" s="13"/>
      <c r="F325" s="113">
        <v>0.99239381895271817</v>
      </c>
      <c r="G325" s="113"/>
      <c r="H325" s="113">
        <v>7.6061810472818408E-3</v>
      </c>
      <c r="I325" s="113">
        <v>0</v>
      </c>
      <c r="J325" s="13"/>
      <c r="K325" s="113"/>
      <c r="L325" s="113">
        <v>0</v>
      </c>
      <c r="M325" s="113"/>
      <c r="N325" s="113">
        <v>0</v>
      </c>
      <c r="O325" s="113">
        <v>0</v>
      </c>
      <c r="P325" s="113">
        <v>0</v>
      </c>
      <c r="Q325" s="113">
        <v>0</v>
      </c>
    </row>
    <row r="326" spans="1:17" x14ac:dyDescent="0.25">
      <c r="A326" s="104">
        <v>47</v>
      </c>
      <c r="B326" s="196" t="s">
        <v>1872</v>
      </c>
      <c r="C326" s="198" t="s">
        <v>1827</v>
      </c>
      <c r="D326" s="113">
        <v>1</v>
      </c>
      <c r="E326" s="13"/>
      <c r="F326" s="113">
        <v>1</v>
      </c>
      <c r="G326" s="113"/>
      <c r="H326" s="113">
        <v>0</v>
      </c>
      <c r="I326" s="113">
        <v>0</v>
      </c>
      <c r="J326" s="13"/>
      <c r="K326" s="113"/>
      <c r="L326" s="113">
        <v>0</v>
      </c>
      <c r="M326" s="113"/>
      <c r="N326" s="113">
        <v>0</v>
      </c>
      <c r="O326" s="113">
        <v>0</v>
      </c>
      <c r="P326" s="113">
        <v>0</v>
      </c>
      <c r="Q326" s="113">
        <v>0</v>
      </c>
    </row>
    <row r="327" spans="1:17" x14ac:dyDescent="0.25">
      <c r="A327" s="104">
        <v>48</v>
      </c>
      <c r="B327" s="193" t="s">
        <v>1337</v>
      </c>
      <c r="C327" s="194" t="s">
        <v>1338</v>
      </c>
      <c r="D327" s="113">
        <v>1</v>
      </c>
      <c r="E327" s="13"/>
      <c r="F327" s="113">
        <v>0</v>
      </c>
      <c r="G327" s="113"/>
      <c r="H327" s="113">
        <v>1</v>
      </c>
      <c r="I327" s="113">
        <v>0</v>
      </c>
      <c r="J327" s="13"/>
      <c r="K327" s="113"/>
      <c r="L327" s="113">
        <v>0</v>
      </c>
      <c r="M327" s="113"/>
      <c r="N327" s="113">
        <v>0</v>
      </c>
      <c r="O327" s="113">
        <v>0</v>
      </c>
      <c r="P327" s="113">
        <v>0</v>
      </c>
      <c r="Q327" s="113">
        <v>0</v>
      </c>
    </row>
    <row r="328" spans="1:17" x14ac:dyDescent="0.25">
      <c r="A328" s="104">
        <v>49</v>
      </c>
      <c r="B328" s="193" t="s">
        <v>1339</v>
      </c>
      <c r="C328" s="194" t="s">
        <v>1340</v>
      </c>
      <c r="D328" s="113">
        <v>0</v>
      </c>
      <c r="E328" s="13"/>
      <c r="F328" s="113">
        <v>0</v>
      </c>
      <c r="G328" s="113"/>
      <c r="H328" s="113">
        <v>0</v>
      </c>
      <c r="I328" s="113">
        <v>0</v>
      </c>
      <c r="J328" s="13"/>
      <c r="K328" s="113"/>
      <c r="L328" s="113">
        <v>0</v>
      </c>
      <c r="M328" s="113"/>
      <c r="N328" s="113">
        <v>0</v>
      </c>
      <c r="O328" s="113">
        <v>0</v>
      </c>
      <c r="P328" s="113">
        <v>0</v>
      </c>
      <c r="Q328" s="113">
        <v>0</v>
      </c>
    </row>
    <row r="329" spans="1:17" x14ac:dyDescent="0.25">
      <c r="A329" s="104">
        <v>50</v>
      </c>
      <c r="B329" s="193" t="s">
        <v>1341</v>
      </c>
      <c r="C329" s="194" t="s">
        <v>1342</v>
      </c>
      <c r="D329" s="113">
        <v>1</v>
      </c>
      <c r="E329" s="13"/>
      <c r="F329" s="113">
        <v>0</v>
      </c>
      <c r="G329" s="113"/>
      <c r="H329" s="113">
        <v>1</v>
      </c>
      <c r="I329" s="113">
        <v>0</v>
      </c>
      <c r="J329" s="13"/>
      <c r="K329" s="113"/>
      <c r="L329" s="113">
        <v>0</v>
      </c>
      <c r="M329" s="113"/>
      <c r="N329" s="113">
        <v>0</v>
      </c>
      <c r="O329" s="113">
        <v>0</v>
      </c>
      <c r="P329" s="113">
        <v>0</v>
      </c>
      <c r="Q329" s="113">
        <v>0</v>
      </c>
    </row>
    <row r="330" spans="1:17" x14ac:dyDescent="0.25">
      <c r="A330" s="104"/>
      <c r="B330" s="13"/>
      <c r="C330" s="13"/>
      <c r="D330" s="13"/>
      <c r="E330" s="13"/>
      <c r="F330" s="13"/>
      <c r="G330" s="13"/>
      <c r="H330" s="13"/>
      <c r="I330" s="13"/>
      <c r="J330" s="13"/>
      <c r="K330" s="13"/>
      <c r="L330" s="13"/>
      <c r="M330" s="13"/>
      <c r="N330" s="13"/>
      <c r="O330" s="13"/>
      <c r="P330" s="13"/>
      <c r="Q330" s="13"/>
    </row>
    <row r="331" spans="1:17" x14ac:dyDescent="0.25">
      <c r="A331" s="13"/>
      <c r="B331" s="13"/>
      <c r="C331" s="103"/>
      <c r="D331" s="13"/>
      <c r="E331" s="13"/>
      <c r="F331" s="13"/>
      <c r="G331" s="13"/>
      <c r="H331" s="13"/>
      <c r="I331" s="13"/>
      <c r="J331" s="13"/>
      <c r="K331" s="13"/>
      <c r="L331" s="13"/>
      <c r="M331" s="13"/>
      <c r="N331" s="13"/>
      <c r="O331" s="13"/>
      <c r="P331" s="13"/>
      <c r="Q331" s="13"/>
    </row>
    <row r="332" spans="1:17" x14ac:dyDescent="0.25">
      <c r="A332" s="13"/>
      <c r="B332" s="195" t="s">
        <v>1343</v>
      </c>
      <c r="C332" s="103"/>
      <c r="D332" s="13"/>
      <c r="E332" s="13"/>
      <c r="F332" s="13"/>
      <c r="G332" s="13"/>
      <c r="H332" s="13"/>
      <c r="I332" s="13"/>
      <c r="J332" s="13"/>
      <c r="K332" s="13"/>
      <c r="L332" s="13"/>
      <c r="M332" s="13"/>
      <c r="N332" s="13"/>
      <c r="O332" s="13"/>
      <c r="P332" s="13"/>
      <c r="Q332" s="13"/>
    </row>
    <row r="333" spans="1:17" x14ac:dyDescent="0.25">
      <c r="A333" s="13"/>
      <c r="B333" s="200" t="s">
        <v>1234</v>
      </c>
      <c r="C333" s="103"/>
      <c r="D333" s="13"/>
      <c r="E333" s="13"/>
      <c r="F333" s="13"/>
      <c r="G333" s="13"/>
      <c r="H333" s="13"/>
      <c r="I333" s="13"/>
      <c r="J333" s="13"/>
      <c r="K333" s="13"/>
      <c r="L333" s="13"/>
      <c r="M333" s="13"/>
      <c r="N333" s="13"/>
      <c r="O333" s="13"/>
      <c r="P333" s="13"/>
      <c r="Q333" s="13"/>
    </row>
    <row r="334" spans="1:17" x14ac:dyDescent="0.25">
      <c r="A334" s="104">
        <v>1</v>
      </c>
      <c r="B334" s="193" t="s">
        <v>1344</v>
      </c>
      <c r="C334" s="194" t="s">
        <v>1343</v>
      </c>
      <c r="D334" s="113">
        <v>1</v>
      </c>
      <c r="E334" s="13"/>
      <c r="F334" s="113">
        <v>0.9410091595713157</v>
      </c>
      <c r="G334" s="113"/>
      <c r="H334" s="113">
        <v>3.8388881819017104E-2</v>
      </c>
      <c r="I334" s="113">
        <v>2.0601958609667261E-2</v>
      </c>
      <c r="J334" s="13"/>
      <c r="K334" s="113"/>
      <c r="L334" s="113">
        <v>4.2114427545893434E-6</v>
      </c>
      <c r="M334" s="113"/>
      <c r="N334" s="113">
        <v>2.0597747166912671E-2</v>
      </c>
      <c r="O334" s="113">
        <v>1.0430856900639138E-2</v>
      </c>
      <c r="P334" s="113">
        <v>1.0166890266273531E-2</v>
      </c>
      <c r="Q334" s="113">
        <v>0</v>
      </c>
    </row>
    <row r="335" spans="1:17" x14ac:dyDescent="0.25">
      <c r="A335" s="104">
        <v>2</v>
      </c>
      <c r="B335" s="193" t="s">
        <v>1345</v>
      </c>
      <c r="C335" s="194" t="s">
        <v>1346</v>
      </c>
      <c r="D335" s="113">
        <v>1.0000000000000002</v>
      </c>
      <c r="E335" s="13"/>
      <c r="F335" s="113">
        <v>0.96079946400908001</v>
      </c>
      <c r="G335" s="113"/>
      <c r="H335" s="113">
        <v>3.9196235977577897E-2</v>
      </c>
      <c r="I335" s="113">
        <v>4.3000133422268835E-6</v>
      </c>
      <c r="J335" s="13"/>
      <c r="K335" s="113"/>
      <c r="L335" s="113">
        <v>4.3000133422268835E-6</v>
      </c>
      <c r="M335" s="113"/>
      <c r="N335" s="113">
        <v>0</v>
      </c>
      <c r="O335" s="113">
        <v>0</v>
      </c>
      <c r="P335" s="113">
        <v>0</v>
      </c>
      <c r="Q335" s="113">
        <v>0</v>
      </c>
    </row>
    <row r="336" spans="1:17" x14ac:dyDescent="0.25">
      <c r="A336" s="104">
        <v>3</v>
      </c>
      <c r="B336" s="13"/>
      <c r="C336" s="103"/>
      <c r="D336" s="113"/>
      <c r="E336" s="13"/>
      <c r="F336" s="113"/>
      <c r="G336" s="113"/>
      <c r="H336" s="113"/>
      <c r="I336" s="113"/>
      <c r="J336" s="13"/>
      <c r="K336" s="113"/>
      <c r="L336" s="113"/>
      <c r="M336" s="113"/>
      <c r="N336" s="113"/>
      <c r="O336" s="113"/>
      <c r="P336" s="113"/>
      <c r="Q336" s="113"/>
    </row>
    <row r="337" spans="1:17" x14ac:dyDescent="0.25">
      <c r="A337" s="104">
        <v>4</v>
      </c>
      <c r="B337" s="13"/>
      <c r="C337" s="103"/>
      <c r="D337" s="13"/>
      <c r="E337" s="13"/>
      <c r="F337" s="13"/>
      <c r="G337" s="13"/>
      <c r="H337" s="13"/>
      <c r="I337" s="13"/>
      <c r="J337" s="13"/>
      <c r="K337" s="13"/>
      <c r="L337" s="13"/>
      <c r="M337" s="13"/>
      <c r="N337" s="13"/>
      <c r="O337" s="13"/>
      <c r="P337" s="13"/>
      <c r="Q337" s="13"/>
    </row>
    <row r="338" spans="1:17" x14ac:dyDescent="0.25">
      <c r="A338" s="13"/>
      <c r="B338" s="13"/>
      <c r="C338" s="103"/>
      <c r="D338" s="13"/>
      <c r="E338" s="13"/>
      <c r="F338" s="13"/>
      <c r="G338" s="13"/>
      <c r="H338" s="13"/>
      <c r="I338" s="13"/>
      <c r="J338" s="13"/>
      <c r="K338" s="13"/>
      <c r="L338" s="13"/>
      <c r="M338" s="13"/>
      <c r="N338" s="13"/>
      <c r="O338" s="13"/>
      <c r="P338" s="13"/>
      <c r="Q338" s="13"/>
    </row>
    <row r="339" spans="1:17" x14ac:dyDescent="0.25">
      <c r="A339" s="13"/>
      <c r="B339" s="195" t="s">
        <v>1347</v>
      </c>
      <c r="C339" s="103"/>
      <c r="D339" s="13"/>
      <c r="E339" s="13"/>
      <c r="F339" s="13"/>
      <c r="G339" s="13"/>
      <c r="H339" s="13"/>
      <c r="I339" s="13"/>
      <c r="J339" s="13"/>
      <c r="K339" s="13"/>
      <c r="L339" s="13"/>
      <c r="M339" s="13"/>
      <c r="N339" s="13"/>
      <c r="O339" s="13"/>
      <c r="P339" s="13"/>
      <c r="Q339" s="13"/>
    </row>
    <row r="340" spans="1:17" x14ac:dyDescent="0.25">
      <c r="A340" s="13"/>
      <c r="B340" s="200" t="s">
        <v>1234</v>
      </c>
      <c r="C340" s="103"/>
      <c r="D340" s="13"/>
      <c r="E340" s="13"/>
      <c r="F340" s="13"/>
      <c r="G340" s="13"/>
      <c r="H340" s="13"/>
      <c r="I340" s="13"/>
      <c r="J340" s="13"/>
      <c r="K340" s="13"/>
      <c r="L340" s="13"/>
      <c r="M340" s="13"/>
      <c r="N340" s="13"/>
      <c r="O340" s="13"/>
      <c r="P340" s="13"/>
      <c r="Q340" s="13"/>
    </row>
    <row r="341" spans="1:17" x14ac:dyDescent="0.25">
      <c r="A341" s="104">
        <v>1</v>
      </c>
      <c r="B341" s="193" t="s">
        <v>1348</v>
      </c>
      <c r="C341" s="194" t="s">
        <v>1349</v>
      </c>
      <c r="D341" s="113">
        <v>1</v>
      </c>
      <c r="E341" s="13"/>
      <c r="F341" s="113">
        <v>1</v>
      </c>
      <c r="G341" s="113"/>
      <c r="H341" s="113">
        <v>0</v>
      </c>
      <c r="I341" s="113">
        <v>0</v>
      </c>
      <c r="J341" s="13"/>
      <c r="K341" s="113"/>
      <c r="L341" s="113">
        <v>0</v>
      </c>
      <c r="M341" s="113"/>
      <c r="N341" s="113">
        <v>0</v>
      </c>
      <c r="O341" s="113">
        <v>0</v>
      </c>
      <c r="P341" s="113">
        <v>0</v>
      </c>
      <c r="Q341" s="113">
        <v>0</v>
      </c>
    </row>
    <row r="342" spans="1:17" x14ac:dyDescent="0.25">
      <c r="A342" s="104">
        <v>2</v>
      </c>
      <c r="B342" s="193" t="s">
        <v>1350</v>
      </c>
      <c r="C342" s="194" t="s">
        <v>1351</v>
      </c>
      <c r="D342" s="113">
        <v>1</v>
      </c>
      <c r="E342" s="13"/>
      <c r="F342" s="113">
        <v>0.99940025072756267</v>
      </c>
      <c r="G342" s="113"/>
      <c r="H342" s="113">
        <v>0</v>
      </c>
      <c r="I342" s="113">
        <v>5.9974927243737573E-4</v>
      </c>
      <c r="J342" s="13"/>
      <c r="K342" s="113"/>
      <c r="L342" s="113">
        <v>0</v>
      </c>
      <c r="M342" s="113"/>
      <c r="N342" s="113">
        <v>5.9974927243737573E-4</v>
      </c>
      <c r="O342" s="113">
        <v>2.5933184909484566E-4</v>
      </c>
      <c r="P342" s="113">
        <v>3.4041742334253012E-4</v>
      </c>
      <c r="Q342" s="113">
        <v>0</v>
      </c>
    </row>
    <row r="343" spans="1:17" x14ac:dyDescent="0.25">
      <c r="A343" s="104">
        <v>3</v>
      </c>
      <c r="B343" s="193" t="s">
        <v>1352</v>
      </c>
      <c r="C343" s="194" t="s">
        <v>1353</v>
      </c>
      <c r="D343" s="113">
        <v>1</v>
      </c>
      <c r="E343" s="13"/>
      <c r="F343" s="113">
        <v>1</v>
      </c>
      <c r="G343" s="113"/>
      <c r="H343" s="113">
        <v>0</v>
      </c>
      <c r="I343" s="113">
        <v>0</v>
      </c>
      <c r="J343" s="13"/>
      <c r="K343" s="113"/>
      <c r="L343" s="113">
        <v>0</v>
      </c>
      <c r="M343" s="113"/>
      <c r="N343" s="113">
        <v>0</v>
      </c>
      <c r="O343" s="113">
        <v>0</v>
      </c>
      <c r="P343" s="113">
        <v>0</v>
      </c>
      <c r="Q343" s="113">
        <v>0</v>
      </c>
    </row>
    <row r="344" spans="1:17" x14ac:dyDescent="0.25">
      <c r="A344" s="104">
        <v>4</v>
      </c>
      <c r="B344" s="193" t="s">
        <v>1354</v>
      </c>
      <c r="C344" s="194" t="s">
        <v>1355</v>
      </c>
      <c r="D344" s="113">
        <v>1</v>
      </c>
      <c r="E344" s="13"/>
      <c r="F344" s="113">
        <v>1</v>
      </c>
      <c r="G344" s="113"/>
      <c r="H344" s="113">
        <v>0</v>
      </c>
      <c r="I344" s="113">
        <v>0</v>
      </c>
      <c r="J344" s="13"/>
      <c r="K344" s="113"/>
      <c r="L344" s="113">
        <v>0</v>
      </c>
      <c r="M344" s="113"/>
      <c r="N344" s="113">
        <v>0</v>
      </c>
      <c r="O344" s="113">
        <v>0</v>
      </c>
      <c r="P344" s="113">
        <v>0</v>
      </c>
      <c r="Q344" s="113">
        <v>0</v>
      </c>
    </row>
    <row r="345" spans="1:17" x14ac:dyDescent="0.25">
      <c r="A345" s="104">
        <v>5</v>
      </c>
      <c r="B345" s="193" t="s">
        <v>1356</v>
      </c>
      <c r="C345" s="194" t="s">
        <v>1357</v>
      </c>
      <c r="D345" s="113">
        <v>1</v>
      </c>
      <c r="E345" s="13"/>
      <c r="F345" s="113">
        <v>0.97009645926567778</v>
      </c>
      <c r="G345" s="113"/>
      <c r="H345" s="113">
        <v>2.9903540734322245E-2</v>
      </c>
      <c r="I345" s="113">
        <v>0</v>
      </c>
      <c r="J345" s="13"/>
      <c r="K345" s="113"/>
      <c r="L345" s="113">
        <v>0</v>
      </c>
      <c r="M345" s="113"/>
      <c r="N345" s="113">
        <v>0</v>
      </c>
      <c r="O345" s="113">
        <v>0</v>
      </c>
      <c r="P345" s="113">
        <v>0</v>
      </c>
      <c r="Q345" s="113">
        <v>0</v>
      </c>
    </row>
    <row r="346" spans="1:17" x14ac:dyDescent="0.25">
      <c r="A346" s="104">
        <v>6</v>
      </c>
      <c r="B346" s="193" t="s">
        <v>1358</v>
      </c>
      <c r="C346" s="194" t="s">
        <v>1359</v>
      </c>
      <c r="D346" s="113">
        <v>0.99999999999999989</v>
      </c>
      <c r="E346" s="13"/>
      <c r="F346" s="113">
        <v>0.94463976065702659</v>
      </c>
      <c r="G346" s="113"/>
      <c r="H346" s="113">
        <v>5.5360239016010532E-2</v>
      </c>
      <c r="I346" s="113">
        <v>3.2696284196157162E-10</v>
      </c>
      <c r="J346" s="13"/>
      <c r="K346" s="113"/>
      <c r="L346" s="113">
        <v>0</v>
      </c>
      <c r="M346" s="113"/>
      <c r="N346" s="113">
        <v>3.2696284196157162E-10</v>
      </c>
      <c r="O346" s="113">
        <v>3.2696284196157162E-10</v>
      </c>
      <c r="P346" s="113">
        <v>0</v>
      </c>
      <c r="Q346" s="113">
        <v>0</v>
      </c>
    </row>
    <row r="347" spans="1:17" x14ac:dyDescent="0.25">
      <c r="A347" s="104">
        <v>7</v>
      </c>
      <c r="B347" s="193" t="s">
        <v>1360</v>
      </c>
      <c r="C347" s="194" t="s">
        <v>1361</v>
      </c>
      <c r="D347" s="113">
        <v>1</v>
      </c>
      <c r="E347" s="13"/>
      <c r="F347" s="113">
        <v>0.95003195393362805</v>
      </c>
      <c r="G347" s="113"/>
      <c r="H347" s="113">
        <v>4.9682107773700267E-2</v>
      </c>
      <c r="I347" s="113">
        <v>2.8593829267167825E-4</v>
      </c>
      <c r="J347" s="13"/>
      <c r="K347" s="113"/>
      <c r="L347" s="113">
        <v>6.5884399233105591E-6</v>
      </c>
      <c r="M347" s="113"/>
      <c r="N347" s="113">
        <v>2.7934985274836771E-4</v>
      </c>
      <c r="O347" s="113">
        <v>1.1200347869627951E-4</v>
      </c>
      <c r="P347" s="113">
        <v>1.6734637405208821E-4</v>
      </c>
      <c r="Q347" s="113">
        <v>0</v>
      </c>
    </row>
    <row r="348" spans="1:17" x14ac:dyDescent="0.25">
      <c r="A348" s="104">
        <v>8</v>
      </c>
      <c r="B348" s="193" t="s">
        <v>1362</v>
      </c>
      <c r="C348" s="194" t="s">
        <v>1363</v>
      </c>
      <c r="D348" s="113">
        <v>1</v>
      </c>
      <c r="E348" s="13"/>
      <c r="F348" s="113">
        <v>0.95003195393362805</v>
      </c>
      <c r="G348" s="113"/>
      <c r="H348" s="113">
        <v>4.9682107773700267E-2</v>
      </c>
      <c r="I348" s="113">
        <v>2.8593829267167825E-4</v>
      </c>
      <c r="J348" s="13"/>
      <c r="K348" s="113"/>
      <c r="L348" s="113">
        <v>6.5884399233105591E-6</v>
      </c>
      <c r="M348" s="113"/>
      <c r="N348" s="113">
        <v>2.7934985274836771E-4</v>
      </c>
      <c r="O348" s="113">
        <v>1.1200347869627951E-4</v>
      </c>
      <c r="P348" s="113">
        <v>1.6734637405208821E-4</v>
      </c>
      <c r="Q348" s="113">
        <v>0</v>
      </c>
    </row>
    <row r="349" spans="1:17" x14ac:dyDescent="0.25">
      <c r="A349" s="104">
        <v>9</v>
      </c>
      <c r="B349" s="193" t="s">
        <v>1364</v>
      </c>
      <c r="C349" s="194" t="s">
        <v>1365</v>
      </c>
      <c r="D349" s="113">
        <v>1</v>
      </c>
      <c r="E349" s="13"/>
      <c r="F349" s="113">
        <v>0.95003195393362805</v>
      </c>
      <c r="G349" s="113"/>
      <c r="H349" s="113">
        <v>4.9682107773700267E-2</v>
      </c>
      <c r="I349" s="113">
        <v>2.8593829267167825E-4</v>
      </c>
      <c r="J349" s="13"/>
      <c r="K349" s="113"/>
      <c r="L349" s="113">
        <v>6.5884399233105591E-6</v>
      </c>
      <c r="M349" s="113"/>
      <c r="N349" s="113">
        <v>2.7934985274836771E-4</v>
      </c>
      <c r="O349" s="113">
        <v>1.1200347869627951E-4</v>
      </c>
      <c r="P349" s="113">
        <v>1.6734637405208821E-4</v>
      </c>
      <c r="Q349" s="113">
        <v>0</v>
      </c>
    </row>
    <row r="350" spans="1:17" x14ac:dyDescent="0.25">
      <c r="A350" s="104">
        <v>10</v>
      </c>
      <c r="B350" s="193" t="s">
        <v>1366</v>
      </c>
      <c r="C350" s="194" t="s">
        <v>1367</v>
      </c>
      <c r="D350" s="113">
        <v>1</v>
      </c>
      <c r="E350" s="13"/>
      <c r="F350" s="113">
        <v>0</v>
      </c>
      <c r="G350" s="113"/>
      <c r="H350" s="113">
        <v>1</v>
      </c>
      <c r="I350" s="113">
        <v>0</v>
      </c>
      <c r="J350" s="13"/>
      <c r="K350" s="113"/>
      <c r="L350" s="113">
        <v>0</v>
      </c>
      <c r="M350" s="113"/>
      <c r="N350" s="113">
        <v>0</v>
      </c>
      <c r="O350" s="113">
        <v>0</v>
      </c>
      <c r="P350" s="113">
        <v>0</v>
      </c>
      <c r="Q350" s="113">
        <v>0</v>
      </c>
    </row>
    <row r="351" spans="1:17" x14ac:dyDescent="0.25">
      <c r="A351" s="104">
        <v>11</v>
      </c>
      <c r="B351" s="193" t="s">
        <v>1368</v>
      </c>
      <c r="C351" s="194" t="s">
        <v>1369</v>
      </c>
      <c r="D351" s="113">
        <v>1</v>
      </c>
      <c r="E351" s="13"/>
      <c r="F351" s="113">
        <v>0</v>
      </c>
      <c r="G351" s="113"/>
      <c r="H351" s="113">
        <v>1</v>
      </c>
      <c r="I351" s="113">
        <v>0</v>
      </c>
      <c r="J351" s="13"/>
      <c r="K351" s="113"/>
      <c r="L351" s="113">
        <v>0</v>
      </c>
      <c r="M351" s="113"/>
      <c r="N351" s="113">
        <v>0</v>
      </c>
      <c r="O351" s="113">
        <v>0</v>
      </c>
      <c r="P351" s="113">
        <v>0</v>
      </c>
      <c r="Q351" s="113">
        <v>0</v>
      </c>
    </row>
    <row r="352" spans="1:17" x14ac:dyDescent="0.25">
      <c r="A352" s="104">
        <v>12</v>
      </c>
      <c r="B352" s="193" t="s">
        <v>1370</v>
      </c>
      <c r="C352" s="194" t="s">
        <v>1371</v>
      </c>
      <c r="D352" s="113">
        <v>0</v>
      </c>
      <c r="E352" s="13"/>
      <c r="F352" s="113">
        <v>0</v>
      </c>
      <c r="G352" s="113"/>
      <c r="H352" s="113">
        <v>0</v>
      </c>
      <c r="I352" s="113">
        <v>0</v>
      </c>
      <c r="J352" s="13"/>
      <c r="K352" s="113"/>
      <c r="L352" s="113">
        <v>0</v>
      </c>
      <c r="M352" s="113"/>
      <c r="N352" s="113">
        <v>0</v>
      </c>
      <c r="O352" s="113">
        <v>0</v>
      </c>
      <c r="P352" s="113">
        <v>0</v>
      </c>
      <c r="Q352" s="113">
        <v>0</v>
      </c>
    </row>
    <row r="353" spans="1:17" x14ac:dyDescent="0.25">
      <c r="A353" s="104">
        <v>13</v>
      </c>
      <c r="B353" s="193" t="s">
        <v>1372</v>
      </c>
      <c r="C353" s="194" t="s">
        <v>1373</v>
      </c>
      <c r="D353" s="113">
        <v>1</v>
      </c>
      <c r="E353" s="13"/>
      <c r="F353" s="113">
        <v>0</v>
      </c>
      <c r="G353" s="113"/>
      <c r="H353" s="113">
        <v>1</v>
      </c>
      <c r="I353" s="113">
        <v>0</v>
      </c>
      <c r="J353" s="13"/>
      <c r="K353" s="113"/>
      <c r="L353" s="113">
        <v>0</v>
      </c>
      <c r="M353" s="113"/>
      <c r="N353" s="113">
        <v>0</v>
      </c>
      <c r="O353" s="113">
        <v>0</v>
      </c>
      <c r="P353" s="113">
        <v>0</v>
      </c>
      <c r="Q353" s="113">
        <v>0</v>
      </c>
    </row>
    <row r="354" spans="1:17" x14ac:dyDescent="0.25">
      <c r="A354" s="104">
        <v>14</v>
      </c>
      <c r="B354" s="193" t="s">
        <v>1374</v>
      </c>
      <c r="C354" s="194" t="s">
        <v>1375</v>
      </c>
      <c r="D354" s="113">
        <v>1</v>
      </c>
      <c r="E354" s="13"/>
      <c r="F354" s="113">
        <v>1</v>
      </c>
      <c r="G354" s="113"/>
      <c r="H354" s="113">
        <v>0</v>
      </c>
      <c r="I354" s="113">
        <v>0</v>
      </c>
      <c r="J354" s="13"/>
      <c r="K354" s="113"/>
      <c r="L354" s="113">
        <v>0</v>
      </c>
      <c r="M354" s="113"/>
      <c r="N354" s="113">
        <v>0</v>
      </c>
      <c r="O354" s="113">
        <v>0</v>
      </c>
      <c r="P354" s="113">
        <v>0</v>
      </c>
      <c r="Q354" s="113">
        <v>0</v>
      </c>
    </row>
    <row r="355" spans="1:17" x14ac:dyDescent="0.25">
      <c r="A355" s="104">
        <v>15</v>
      </c>
      <c r="B355" s="193" t="s">
        <v>1376</v>
      </c>
      <c r="C355" s="194" t="s">
        <v>1377</v>
      </c>
      <c r="D355" s="113">
        <v>1</v>
      </c>
      <c r="E355" s="13"/>
      <c r="F355" s="113">
        <v>0.94892097697757327</v>
      </c>
      <c r="G355" s="113"/>
      <c r="H355" s="113">
        <v>5.1073574787019398E-2</v>
      </c>
      <c r="I355" s="113">
        <v>5.4482354073554811E-6</v>
      </c>
      <c r="J355" s="13"/>
      <c r="K355" s="113"/>
      <c r="L355" s="113">
        <v>5.4482354073554811E-6</v>
      </c>
      <c r="M355" s="113"/>
      <c r="N355" s="113">
        <v>0</v>
      </c>
      <c r="O355" s="113">
        <v>0</v>
      </c>
      <c r="P355" s="113">
        <v>0</v>
      </c>
      <c r="Q355" s="113">
        <v>0</v>
      </c>
    </row>
    <row r="356" spans="1:17" x14ac:dyDescent="0.25">
      <c r="A356" s="104">
        <v>16</v>
      </c>
      <c r="B356" s="193" t="s">
        <v>1378</v>
      </c>
      <c r="C356" s="194" t="s">
        <v>1379</v>
      </c>
      <c r="D356" s="113">
        <v>1</v>
      </c>
      <c r="E356" s="13"/>
      <c r="F356" s="113">
        <v>0.94892097697757327</v>
      </c>
      <c r="G356" s="113"/>
      <c r="H356" s="113">
        <v>5.1073574787019398E-2</v>
      </c>
      <c r="I356" s="113">
        <v>5.4482354073554811E-6</v>
      </c>
      <c r="J356" s="13"/>
      <c r="K356" s="113"/>
      <c r="L356" s="113">
        <v>5.4482354073554811E-6</v>
      </c>
      <c r="M356" s="113"/>
      <c r="N356" s="113">
        <v>0</v>
      </c>
      <c r="O356" s="113">
        <v>0</v>
      </c>
      <c r="P356" s="113">
        <v>0</v>
      </c>
      <c r="Q356" s="113">
        <v>0</v>
      </c>
    </row>
    <row r="357" spans="1:17" x14ac:dyDescent="0.25">
      <c r="A357" s="104">
        <v>17</v>
      </c>
      <c r="B357" s="193" t="s">
        <v>1380</v>
      </c>
      <c r="C357" s="194" t="s">
        <v>1381</v>
      </c>
      <c r="D357" s="113">
        <v>1</v>
      </c>
      <c r="E357" s="13"/>
      <c r="F357" s="113">
        <v>0.94892097697757327</v>
      </c>
      <c r="G357" s="113"/>
      <c r="H357" s="113">
        <v>5.1073574787019398E-2</v>
      </c>
      <c r="I357" s="113">
        <v>5.4482354073554811E-6</v>
      </c>
      <c r="J357" s="13"/>
      <c r="K357" s="113"/>
      <c r="L357" s="113">
        <v>5.4482354073554811E-6</v>
      </c>
      <c r="M357" s="113"/>
      <c r="N357" s="113">
        <v>0</v>
      </c>
      <c r="O357" s="113">
        <v>0</v>
      </c>
      <c r="P357" s="113">
        <v>0</v>
      </c>
      <c r="Q357" s="113">
        <v>0</v>
      </c>
    </row>
    <row r="358" spans="1:17" x14ac:dyDescent="0.25">
      <c r="A358" s="104">
        <v>18</v>
      </c>
      <c r="B358" s="193" t="s">
        <v>1382</v>
      </c>
      <c r="C358" s="194" t="s">
        <v>1383</v>
      </c>
      <c r="D358" s="113">
        <v>0</v>
      </c>
      <c r="E358" s="13"/>
      <c r="F358" s="113">
        <v>0</v>
      </c>
      <c r="G358" s="113"/>
      <c r="H358" s="113">
        <v>0</v>
      </c>
      <c r="I358" s="113">
        <v>0</v>
      </c>
      <c r="J358" s="13"/>
      <c r="K358" s="113"/>
      <c r="L358" s="113">
        <v>0</v>
      </c>
      <c r="M358" s="113"/>
      <c r="N358" s="113">
        <v>0</v>
      </c>
      <c r="O358" s="113">
        <v>0</v>
      </c>
      <c r="P358" s="113">
        <v>0</v>
      </c>
      <c r="Q358" s="113">
        <v>0</v>
      </c>
    </row>
    <row r="359" spans="1:17" x14ac:dyDescent="0.25">
      <c r="A359" s="104">
        <v>19</v>
      </c>
      <c r="B359" s="193" t="s">
        <v>1384</v>
      </c>
      <c r="C359" s="194" t="s">
        <v>1385</v>
      </c>
      <c r="D359" s="113">
        <v>0.99999999999999989</v>
      </c>
      <c r="E359" s="13"/>
      <c r="F359" s="113">
        <v>0.94970899810523679</v>
      </c>
      <c r="G359" s="113"/>
      <c r="H359" s="113">
        <v>5.0291001894763092E-2</v>
      </c>
      <c r="I359" s="113">
        <v>0</v>
      </c>
      <c r="J359" s="13"/>
      <c r="K359" s="113"/>
      <c r="L359" s="113">
        <v>0</v>
      </c>
      <c r="M359" s="113"/>
      <c r="N359" s="113">
        <v>0</v>
      </c>
      <c r="O359" s="113">
        <v>0</v>
      </c>
      <c r="P359" s="113">
        <v>0</v>
      </c>
      <c r="Q359" s="113">
        <v>0</v>
      </c>
    </row>
    <row r="360" spans="1:17" x14ac:dyDescent="0.25">
      <c r="A360" s="104">
        <v>20</v>
      </c>
      <c r="B360" s="193" t="s">
        <v>1729</v>
      </c>
      <c r="C360" s="197" t="s">
        <v>1833</v>
      </c>
      <c r="D360" s="113">
        <v>0.99999999999999978</v>
      </c>
      <c r="E360" s="13"/>
      <c r="F360" s="113">
        <v>0.95987638026960376</v>
      </c>
      <c r="G360" s="113"/>
      <c r="H360" s="113">
        <v>4.0100296926837746E-2</v>
      </c>
      <c r="I360" s="113">
        <v>2.3322803558340756E-5</v>
      </c>
      <c r="J360" s="13"/>
      <c r="K360" s="113"/>
      <c r="L360" s="113">
        <v>0</v>
      </c>
      <c r="M360" s="113"/>
      <c r="N360" s="113">
        <v>2.3322803558340756E-5</v>
      </c>
      <c r="O360" s="113">
        <v>1.4544651268114408E-6</v>
      </c>
      <c r="P360" s="113">
        <v>2.1868338431529316E-5</v>
      </c>
      <c r="Q360" s="113">
        <v>0</v>
      </c>
    </row>
    <row r="361" spans="1:17" x14ac:dyDescent="0.25">
      <c r="A361" s="104">
        <v>21</v>
      </c>
      <c r="B361" s="13"/>
      <c r="C361" s="13"/>
      <c r="D361" s="13"/>
      <c r="E361" s="13"/>
      <c r="F361" s="13"/>
      <c r="G361" s="13"/>
      <c r="H361" s="13"/>
      <c r="I361" s="13"/>
      <c r="J361" s="13"/>
      <c r="K361" s="13"/>
      <c r="L361" s="13"/>
      <c r="M361" s="13"/>
      <c r="N361" s="13"/>
      <c r="O361" s="13"/>
      <c r="P361" s="13"/>
      <c r="Q361" s="13"/>
    </row>
    <row r="362" spans="1:17" x14ac:dyDescent="0.25">
      <c r="A362" s="104">
        <v>22</v>
      </c>
      <c r="B362" s="13"/>
      <c r="C362" s="13"/>
      <c r="D362" s="13"/>
      <c r="E362" s="13"/>
      <c r="F362" s="13"/>
      <c r="G362" s="13"/>
      <c r="H362" s="13"/>
      <c r="I362" s="13"/>
      <c r="J362" s="13"/>
      <c r="K362" s="13"/>
      <c r="L362" s="13"/>
      <c r="M362" s="13"/>
      <c r="N362" s="13"/>
      <c r="O362" s="13"/>
      <c r="P362" s="13"/>
      <c r="Q362" s="13"/>
    </row>
    <row r="363" spans="1:17" x14ac:dyDescent="0.25">
      <c r="A363" s="104">
        <v>23</v>
      </c>
      <c r="B363" s="13"/>
      <c r="C363" s="13"/>
      <c r="D363" s="13"/>
      <c r="E363" s="13"/>
      <c r="F363" s="13"/>
      <c r="G363" s="13"/>
      <c r="H363" s="13"/>
      <c r="I363" s="13"/>
      <c r="J363" s="13"/>
      <c r="K363" s="13"/>
      <c r="L363" s="13"/>
      <c r="M363" s="13"/>
      <c r="N363" s="13"/>
      <c r="O363" s="13"/>
      <c r="P363" s="13"/>
      <c r="Q363" s="13"/>
    </row>
    <row r="364" spans="1:17" x14ac:dyDescent="0.25">
      <c r="A364" s="104">
        <v>24</v>
      </c>
      <c r="B364" s="13"/>
      <c r="C364" s="13"/>
      <c r="D364" s="13"/>
      <c r="E364" s="13"/>
      <c r="F364" s="13"/>
      <c r="G364" s="13"/>
      <c r="H364" s="13"/>
      <c r="I364" s="13"/>
      <c r="J364" s="13"/>
      <c r="K364" s="13"/>
      <c r="L364" s="13"/>
      <c r="M364" s="13"/>
      <c r="N364" s="13"/>
      <c r="O364" s="13"/>
      <c r="P364" s="13"/>
      <c r="Q364" s="13"/>
    </row>
    <row r="365" spans="1:17" x14ac:dyDescent="0.25">
      <c r="A365" s="104">
        <v>25</v>
      </c>
      <c r="B365" s="13"/>
      <c r="C365" s="13"/>
      <c r="D365" s="13"/>
      <c r="E365" s="13"/>
      <c r="F365" s="13"/>
      <c r="G365" s="13"/>
      <c r="H365" s="13"/>
      <c r="I365" s="13"/>
      <c r="J365" s="13"/>
      <c r="K365" s="13"/>
      <c r="L365" s="13"/>
      <c r="M365" s="13"/>
      <c r="N365" s="13"/>
      <c r="O365" s="13"/>
      <c r="P365" s="13"/>
      <c r="Q365" s="13"/>
    </row>
    <row r="366" spans="1:17" x14ac:dyDescent="0.25">
      <c r="A366" s="13"/>
      <c r="B366" s="13"/>
      <c r="C366" s="103"/>
      <c r="D366" s="13"/>
      <c r="E366" s="13"/>
      <c r="F366" s="13"/>
      <c r="G366" s="13"/>
      <c r="H366" s="13"/>
      <c r="I366" s="13"/>
      <c r="J366" s="13"/>
      <c r="K366" s="13"/>
      <c r="L366" s="13"/>
      <c r="M366" s="13"/>
      <c r="N366" s="13"/>
      <c r="O366" s="13"/>
      <c r="P366" s="13"/>
      <c r="Q366" s="13"/>
    </row>
    <row r="367" spans="1:17" x14ac:dyDescent="0.25">
      <c r="A367" s="13"/>
      <c r="B367" s="201" t="s">
        <v>1386</v>
      </c>
      <c r="C367" s="103"/>
      <c r="D367" s="13"/>
      <c r="E367" s="13"/>
      <c r="F367" s="13"/>
      <c r="G367" s="13"/>
      <c r="H367" s="13"/>
      <c r="I367" s="13"/>
      <c r="J367" s="13"/>
      <c r="K367" s="13"/>
      <c r="L367" s="13"/>
      <c r="M367" s="13"/>
      <c r="N367" s="13"/>
      <c r="O367" s="13"/>
      <c r="P367" s="13"/>
      <c r="Q367" s="13"/>
    </row>
    <row r="368" spans="1:17" x14ac:dyDescent="0.25">
      <c r="A368" s="13"/>
      <c r="B368" s="200" t="s">
        <v>1234</v>
      </c>
      <c r="C368" s="103"/>
      <c r="D368" s="13"/>
      <c r="E368" s="13"/>
      <c r="F368" s="13"/>
      <c r="G368" s="13"/>
      <c r="H368" s="13"/>
      <c r="I368" s="13"/>
      <c r="J368" s="13"/>
      <c r="K368" s="13"/>
      <c r="L368" s="13"/>
      <c r="M368" s="13"/>
      <c r="N368" s="13"/>
      <c r="O368" s="13"/>
      <c r="P368" s="13"/>
      <c r="Q368" s="13"/>
    </row>
    <row r="369" spans="1:17" x14ac:dyDescent="0.25">
      <c r="A369" s="104">
        <v>1</v>
      </c>
      <c r="B369" s="193" t="s">
        <v>1387</v>
      </c>
      <c r="C369" s="194" t="s">
        <v>1388</v>
      </c>
      <c r="D369" s="113">
        <v>1</v>
      </c>
      <c r="E369" s="13"/>
      <c r="F369" s="113">
        <v>0.9350015839291943</v>
      </c>
      <c r="G369" s="113"/>
      <c r="H369" s="113">
        <v>5.0459116750936582E-2</v>
      </c>
      <c r="I369" s="113">
        <v>1.4539299319869052E-2</v>
      </c>
      <c r="J369" s="13"/>
      <c r="K369" s="113"/>
      <c r="L369" s="113">
        <v>7.0600162033611634E-5</v>
      </c>
      <c r="M369" s="113"/>
      <c r="N369" s="113">
        <v>1.4468699157835441E-2</v>
      </c>
      <c r="O369" s="113">
        <v>7.5200609397746343E-3</v>
      </c>
      <c r="P369" s="113">
        <v>6.9486382180608073E-3</v>
      </c>
      <c r="Q369" s="113">
        <v>1.4954460424581239E-21</v>
      </c>
    </row>
    <row r="370" spans="1:17" x14ac:dyDescent="0.25">
      <c r="A370" s="104">
        <v>2</v>
      </c>
      <c r="B370" s="193" t="s">
        <v>1389</v>
      </c>
      <c r="C370" s="194" t="s">
        <v>1390</v>
      </c>
      <c r="D370" s="113">
        <v>1</v>
      </c>
      <c r="E370" s="13"/>
      <c r="F370" s="113">
        <v>1</v>
      </c>
      <c r="G370" s="113"/>
      <c r="H370" s="113">
        <v>0</v>
      </c>
      <c r="I370" s="113">
        <v>0</v>
      </c>
      <c r="J370" s="13"/>
      <c r="K370" s="113"/>
      <c r="L370" s="113">
        <v>0</v>
      </c>
      <c r="M370" s="113"/>
      <c r="N370" s="113">
        <v>0</v>
      </c>
      <c r="O370" s="113">
        <v>0</v>
      </c>
      <c r="P370" s="113">
        <v>0</v>
      </c>
      <c r="Q370" s="113">
        <v>0</v>
      </c>
    </row>
    <row r="371" spans="1:17" x14ac:dyDescent="0.25">
      <c r="A371" s="104">
        <v>3</v>
      </c>
      <c r="B371" s="193" t="s">
        <v>1391</v>
      </c>
      <c r="C371" s="194" t="s">
        <v>1392</v>
      </c>
      <c r="D371" s="113">
        <v>0.99999999999999989</v>
      </c>
      <c r="E371" s="13"/>
      <c r="F371" s="113">
        <v>0.94069865484010706</v>
      </c>
      <c r="G371" s="113"/>
      <c r="H371" s="113">
        <v>4.7324622456997985E-2</v>
      </c>
      <c r="I371" s="113">
        <v>1.1976722702894854E-2</v>
      </c>
      <c r="J371" s="13"/>
      <c r="K371" s="113"/>
      <c r="L371" s="113">
        <v>6.9099227331540308E-5</v>
      </c>
      <c r="M371" s="113"/>
      <c r="N371" s="113">
        <v>1.1907623475563314E-2</v>
      </c>
      <c r="O371" s="113">
        <v>6.2066563867310747E-3</v>
      </c>
      <c r="P371" s="113">
        <v>5.7009670888322379E-3</v>
      </c>
      <c r="Q371" s="113">
        <v>5.3301537787922934E-20</v>
      </c>
    </row>
    <row r="372" spans="1:17" x14ac:dyDescent="0.25">
      <c r="A372" s="104">
        <v>4</v>
      </c>
      <c r="B372" s="193" t="s">
        <v>1391</v>
      </c>
      <c r="C372" s="197" t="s">
        <v>1396</v>
      </c>
      <c r="D372" s="113">
        <v>1</v>
      </c>
      <c r="E372" s="13"/>
      <c r="F372" s="113">
        <v>0.94069865484010717</v>
      </c>
      <c r="G372" s="113"/>
      <c r="H372" s="113">
        <v>4.7324622456997992E-2</v>
      </c>
      <c r="I372" s="113">
        <v>1.1976722702894854E-2</v>
      </c>
      <c r="J372" s="13"/>
      <c r="K372" s="113"/>
      <c r="L372" s="113">
        <v>6.9099227331540321E-5</v>
      </c>
      <c r="M372" s="113"/>
      <c r="N372" s="113">
        <v>1.1907623475563314E-2</v>
      </c>
      <c r="O372" s="113">
        <v>6.2066563867310756E-3</v>
      </c>
      <c r="P372" s="113">
        <v>5.7009670888322388E-3</v>
      </c>
      <c r="Q372" s="113">
        <v>0</v>
      </c>
    </row>
    <row r="373" spans="1:17" x14ac:dyDescent="0.25">
      <c r="A373" s="104">
        <v>5</v>
      </c>
      <c r="B373" s="193" t="s">
        <v>1393</v>
      </c>
      <c r="C373" s="194" t="s">
        <v>1394</v>
      </c>
      <c r="D373" s="113">
        <v>0.99999999999999989</v>
      </c>
      <c r="E373" s="13"/>
      <c r="F373" s="113">
        <v>0.93741603079505231</v>
      </c>
      <c r="G373" s="113"/>
      <c r="H373" s="113">
        <v>4.2925433691070346E-2</v>
      </c>
      <c r="I373" s="113">
        <v>1.9658535513877237E-2</v>
      </c>
      <c r="J373" s="13"/>
      <c r="K373" s="113"/>
      <c r="L373" s="113">
        <v>3.0089748693427876E-6</v>
      </c>
      <c r="M373" s="113"/>
      <c r="N373" s="113">
        <v>1.9655526539007893E-2</v>
      </c>
      <c r="O373" s="113">
        <v>9.9687337421326579E-3</v>
      </c>
      <c r="P373" s="113">
        <v>9.6867927968752373E-3</v>
      </c>
      <c r="Q373" s="113">
        <v>0</v>
      </c>
    </row>
    <row r="374" spans="1:17" x14ac:dyDescent="0.25">
      <c r="A374" s="104">
        <v>6</v>
      </c>
      <c r="B374" s="193" t="s">
        <v>1397</v>
      </c>
      <c r="C374" s="194" t="s">
        <v>1398</v>
      </c>
      <c r="D374" s="113">
        <v>1.0000000000000002</v>
      </c>
      <c r="E374" s="13"/>
      <c r="F374" s="113">
        <v>0.93741603079505254</v>
      </c>
      <c r="G374" s="113"/>
      <c r="H374" s="113">
        <v>4.2925433691070353E-2</v>
      </c>
      <c r="I374" s="113">
        <v>1.9658535513877244E-2</v>
      </c>
      <c r="J374" s="13"/>
      <c r="K374" s="113"/>
      <c r="L374" s="113">
        <v>3.0089748693427897E-6</v>
      </c>
      <c r="M374" s="113"/>
      <c r="N374" s="113">
        <v>1.96555265390079E-2</v>
      </c>
      <c r="O374" s="113">
        <v>9.9687337421326596E-3</v>
      </c>
      <c r="P374" s="113">
        <v>9.686792796875239E-3</v>
      </c>
      <c r="Q374" s="113">
        <v>0</v>
      </c>
    </row>
    <row r="375" spans="1:17" x14ac:dyDescent="0.25">
      <c r="A375" s="104">
        <v>7</v>
      </c>
      <c r="B375" s="193" t="s">
        <v>1399</v>
      </c>
      <c r="C375" s="194" t="s">
        <v>1400</v>
      </c>
      <c r="D375" s="113">
        <v>1</v>
      </c>
      <c r="E375" s="13"/>
      <c r="F375" s="113">
        <v>0.93741603079505242</v>
      </c>
      <c r="G375" s="113"/>
      <c r="H375" s="113">
        <v>4.2925433691070353E-2</v>
      </c>
      <c r="I375" s="113">
        <v>1.9658535513877244E-2</v>
      </c>
      <c r="J375" s="13"/>
      <c r="K375" s="113"/>
      <c r="L375" s="113">
        <v>3.0089748693427884E-6</v>
      </c>
      <c r="M375" s="113"/>
      <c r="N375" s="113">
        <v>1.96555265390079E-2</v>
      </c>
      <c r="O375" s="113">
        <v>9.9687337421326613E-3</v>
      </c>
      <c r="P375" s="113">
        <v>9.686792796875239E-3</v>
      </c>
      <c r="Q375" s="113">
        <v>0</v>
      </c>
    </row>
    <row r="376" spans="1:17" x14ac:dyDescent="0.25">
      <c r="A376" s="104">
        <v>8</v>
      </c>
      <c r="B376" s="193" t="s">
        <v>1401</v>
      </c>
      <c r="C376" s="194" t="s">
        <v>1402</v>
      </c>
      <c r="D376" s="113">
        <v>1</v>
      </c>
      <c r="E376" s="13"/>
      <c r="F376" s="113">
        <v>0.95484801861125845</v>
      </c>
      <c r="G376" s="113"/>
      <c r="H376" s="113">
        <v>4.4466058761154961E-2</v>
      </c>
      <c r="I376" s="113">
        <v>6.8592262758657195E-4</v>
      </c>
      <c r="J376" s="13"/>
      <c r="K376" s="113"/>
      <c r="L376" s="113">
        <v>3.0572108709151843E-6</v>
      </c>
      <c r="M376" s="113"/>
      <c r="N376" s="113">
        <v>6.8286541671565672E-4</v>
      </c>
      <c r="O376" s="113">
        <v>3.4633025512897003E-4</v>
      </c>
      <c r="P376" s="113">
        <v>3.3653516158668674E-4</v>
      </c>
      <c r="Q376" s="113">
        <v>0</v>
      </c>
    </row>
    <row r="377" spans="1:17" x14ac:dyDescent="0.25">
      <c r="A377" s="104">
        <v>9</v>
      </c>
      <c r="B377" s="193" t="s">
        <v>1403</v>
      </c>
      <c r="C377" s="194" t="s">
        <v>1404</v>
      </c>
      <c r="D377" s="113">
        <v>1</v>
      </c>
      <c r="E377" s="13"/>
      <c r="F377" s="113">
        <v>0</v>
      </c>
      <c r="G377" s="113"/>
      <c r="H377" s="113">
        <v>1</v>
      </c>
      <c r="I377" s="113">
        <v>0</v>
      </c>
      <c r="J377" s="13"/>
      <c r="K377" s="113"/>
      <c r="L377" s="113">
        <v>0</v>
      </c>
      <c r="M377" s="113"/>
      <c r="N377" s="113">
        <v>0</v>
      </c>
      <c r="O377" s="113">
        <v>0</v>
      </c>
      <c r="P377" s="113">
        <v>0</v>
      </c>
      <c r="Q377" s="113">
        <v>0</v>
      </c>
    </row>
    <row r="378" spans="1:17" x14ac:dyDescent="0.25">
      <c r="A378" s="104">
        <v>10</v>
      </c>
      <c r="B378" s="193" t="s">
        <v>1405</v>
      </c>
      <c r="C378" s="194" t="s">
        <v>1406</v>
      </c>
      <c r="D378" s="113">
        <v>0.99999999999999989</v>
      </c>
      <c r="E378" s="13"/>
      <c r="F378" s="113">
        <v>0.12102305144291675</v>
      </c>
      <c r="G378" s="113"/>
      <c r="H378" s="113">
        <v>0.8789765600899474</v>
      </c>
      <c r="I378" s="113">
        <v>3.8846713565807527E-7</v>
      </c>
      <c r="J378" s="13"/>
      <c r="K378" s="113"/>
      <c r="L378" s="113">
        <v>3.8846713565807527E-7</v>
      </c>
      <c r="M378" s="113"/>
      <c r="N378" s="113">
        <v>0</v>
      </c>
      <c r="O378" s="113">
        <v>0</v>
      </c>
      <c r="P378" s="113">
        <v>0</v>
      </c>
      <c r="Q378" s="113">
        <v>0</v>
      </c>
    </row>
    <row r="379" spans="1:17" x14ac:dyDescent="0.25">
      <c r="A379" s="104">
        <v>11</v>
      </c>
      <c r="B379" s="193" t="s">
        <v>1407</v>
      </c>
      <c r="C379" s="194" t="s">
        <v>1408</v>
      </c>
      <c r="D379" s="113">
        <v>0.99999999999999989</v>
      </c>
      <c r="E379" s="13"/>
      <c r="F379" s="113">
        <v>0.94888382749771294</v>
      </c>
      <c r="G379" s="113"/>
      <c r="H379" s="113">
        <v>4.8987181715533096E-2</v>
      </c>
      <c r="I379" s="113">
        <v>2.1289907867539275E-3</v>
      </c>
      <c r="J379" s="13"/>
      <c r="K379" s="113"/>
      <c r="L379" s="113">
        <v>3.2763271430625044E-4</v>
      </c>
      <c r="M379" s="113"/>
      <c r="N379" s="113">
        <v>1.8013580724476768E-3</v>
      </c>
      <c r="O379" s="113">
        <v>1.7881600929441175E-3</v>
      </c>
      <c r="P379" s="113">
        <v>1.3197979503559389E-5</v>
      </c>
      <c r="Q379" s="113">
        <v>0</v>
      </c>
    </row>
    <row r="380" spans="1:17" x14ac:dyDescent="0.25">
      <c r="A380" s="104">
        <v>12</v>
      </c>
      <c r="B380" s="193" t="s">
        <v>1409</v>
      </c>
      <c r="C380" s="194" t="s">
        <v>1410</v>
      </c>
      <c r="D380" s="113">
        <v>1</v>
      </c>
      <c r="E380" s="13"/>
      <c r="F380" s="113">
        <v>0.99810520022843596</v>
      </c>
      <c r="G380" s="113"/>
      <c r="H380" s="113">
        <v>0</v>
      </c>
      <c r="I380" s="113">
        <v>1.8947997715640604E-3</v>
      </c>
      <c r="J380" s="13"/>
      <c r="K380" s="113"/>
      <c r="L380" s="113">
        <v>0</v>
      </c>
      <c r="M380" s="113"/>
      <c r="N380" s="113">
        <v>1.8947997715640604E-3</v>
      </c>
      <c r="O380" s="113">
        <v>1.8809171743553493E-3</v>
      </c>
      <c r="P380" s="113">
        <v>1.3882597208711188E-5</v>
      </c>
      <c r="Q380" s="113">
        <v>0</v>
      </c>
    </row>
    <row r="381" spans="1:17" x14ac:dyDescent="0.25">
      <c r="A381" s="104">
        <v>13</v>
      </c>
      <c r="B381" s="193" t="s">
        <v>1411</v>
      </c>
      <c r="C381" s="194" t="s">
        <v>1412</v>
      </c>
      <c r="D381" s="113">
        <v>1</v>
      </c>
      <c r="E381" s="13"/>
      <c r="F381" s="113">
        <v>0.94276900725831281</v>
      </c>
      <c r="G381" s="113"/>
      <c r="H381" s="113">
        <v>4.5672406199839977E-2</v>
      </c>
      <c r="I381" s="113">
        <v>1.1558586541847252E-2</v>
      </c>
      <c r="J381" s="13"/>
      <c r="K381" s="113"/>
      <c r="L381" s="113">
        <v>6.6686807309426725E-5</v>
      </c>
      <c r="M381" s="113"/>
      <c r="N381" s="113">
        <v>1.1491899734537825E-2</v>
      </c>
      <c r="O381" s="113">
        <v>5.9899671021188469E-3</v>
      </c>
      <c r="P381" s="113">
        <v>5.5019326324189776E-3</v>
      </c>
      <c r="Q381" s="113">
        <v>6.5351561624900765E-20</v>
      </c>
    </row>
    <row r="382" spans="1:17" x14ac:dyDescent="0.25">
      <c r="A382" s="104">
        <v>14</v>
      </c>
      <c r="B382" s="193" t="s">
        <v>1413</v>
      </c>
      <c r="C382" s="197" t="s">
        <v>1834</v>
      </c>
      <c r="D382" s="113">
        <v>1</v>
      </c>
      <c r="E382" s="13"/>
      <c r="F382" s="113">
        <v>1</v>
      </c>
      <c r="G382" s="113"/>
      <c r="H382" s="113">
        <v>0</v>
      </c>
      <c r="I382" s="113">
        <v>0</v>
      </c>
      <c r="J382" s="13"/>
      <c r="K382" s="113"/>
      <c r="L382" s="113">
        <v>0</v>
      </c>
      <c r="M382" s="113"/>
      <c r="N382" s="113">
        <v>0</v>
      </c>
      <c r="O382" s="113">
        <v>0</v>
      </c>
      <c r="P382" s="113">
        <v>0</v>
      </c>
      <c r="Q382" s="113">
        <v>0</v>
      </c>
    </row>
    <row r="383" spans="1:17" x14ac:dyDescent="0.25">
      <c r="A383" s="104">
        <v>15</v>
      </c>
      <c r="B383" s="193" t="s">
        <v>470</v>
      </c>
      <c r="C383" s="197" t="s">
        <v>1835</v>
      </c>
      <c r="D383" s="113">
        <v>1</v>
      </c>
      <c r="E383" s="13"/>
      <c r="F383" s="113">
        <v>0.9350015839291943</v>
      </c>
      <c r="G383" s="113"/>
      <c r="H383" s="113">
        <v>5.0459116750936582E-2</v>
      </c>
      <c r="I383" s="113">
        <v>1.4539299319869052E-2</v>
      </c>
      <c r="J383" s="13"/>
      <c r="K383" s="113"/>
      <c r="L383" s="113">
        <v>7.0600162033611634E-5</v>
      </c>
      <c r="M383" s="113"/>
      <c r="N383" s="113">
        <v>1.4468699157835441E-2</v>
      </c>
      <c r="O383" s="113">
        <v>7.5200609397746343E-3</v>
      </c>
      <c r="P383" s="113">
        <v>6.9486382180608064E-3</v>
      </c>
      <c r="Q383" s="113">
        <v>1.4954460424581239E-21</v>
      </c>
    </row>
    <row r="384" spans="1:17" x14ac:dyDescent="0.25">
      <c r="A384" s="104">
        <v>16</v>
      </c>
      <c r="B384" s="193" t="s">
        <v>471</v>
      </c>
      <c r="C384" s="194" t="s">
        <v>472</v>
      </c>
      <c r="D384" s="113">
        <v>1</v>
      </c>
      <c r="E384" s="13"/>
      <c r="F384" s="113">
        <v>0.93741603079505242</v>
      </c>
      <c r="G384" s="113"/>
      <c r="H384" s="113">
        <v>4.2925433691070346E-2</v>
      </c>
      <c r="I384" s="113">
        <v>1.9658535513877241E-2</v>
      </c>
      <c r="J384" s="13"/>
      <c r="K384" s="113"/>
      <c r="L384" s="113">
        <v>3.0089748693427863E-6</v>
      </c>
      <c r="M384" s="113"/>
      <c r="N384" s="113">
        <v>1.9655526539007897E-2</v>
      </c>
      <c r="O384" s="113">
        <v>9.9687337421326596E-3</v>
      </c>
      <c r="P384" s="113">
        <v>9.6867927968752373E-3</v>
      </c>
      <c r="Q384" s="113">
        <v>0</v>
      </c>
    </row>
    <row r="385" spans="1:17" x14ac:dyDescent="0.25">
      <c r="A385" s="104">
        <v>17</v>
      </c>
      <c r="B385" s="193" t="s">
        <v>879</v>
      </c>
      <c r="C385" s="194" t="s">
        <v>880</v>
      </c>
      <c r="D385" s="113">
        <v>1</v>
      </c>
      <c r="E385" s="13"/>
      <c r="F385" s="113">
        <v>0.9356483078528135</v>
      </c>
      <c r="G385" s="113"/>
      <c r="H385" s="113">
        <v>4.3453547977315772E-2</v>
      </c>
      <c r="I385" s="113">
        <v>2.0898144169870785E-2</v>
      </c>
      <c r="J385" s="13"/>
      <c r="K385" s="113"/>
      <c r="L385" s="113">
        <v>2.9877202166818724E-6</v>
      </c>
      <c r="M385" s="113"/>
      <c r="N385" s="113">
        <v>2.0895156449654104E-2</v>
      </c>
      <c r="O385" s="113">
        <v>1.0597439388531461E-2</v>
      </c>
      <c r="P385" s="113">
        <v>1.0297717061122643E-2</v>
      </c>
      <c r="Q385" s="113">
        <v>0</v>
      </c>
    </row>
    <row r="386" spans="1:17" x14ac:dyDescent="0.25">
      <c r="A386" s="104">
        <v>18</v>
      </c>
      <c r="B386" s="193" t="s">
        <v>881</v>
      </c>
      <c r="C386" s="194" t="s">
        <v>882</v>
      </c>
      <c r="D386" s="113">
        <v>1</v>
      </c>
      <c r="E386" s="13"/>
      <c r="F386" s="113">
        <v>0.90518917967221724</v>
      </c>
      <c r="G386" s="113"/>
      <c r="H386" s="113">
        <v>9.416572501024506E-2</v>
      </c>
      <c r="I386" s="113">
        <v>6.4509531753773552E-4</v>
      </c>
      <c r="J386" s="13"/>
      <c r="K386" s="113"/>
      <c r="L386" s="113">
        <v>2.8982725798626061E-6</v>
      </c>
      <c r="M386" s="113"/>
      <c r="N386" s="113">
        <v>6.4219704495787288E-4</v>
      </c>
      <c r="O386" s="113">
        <v>3.2570439354368794E-4</v>
      </c>
      <c r="P386" s="113">
        <v>3.1649265141418494E-4</v>
      </c>
      <c r="Q386" s="113">
        <v>0</v>
      </c>
    </row>
    <row r="387" spans="1:17" x14ac:dyDescent="0.25">
      <c r="A387" s="104">
        <v>19</v>
      </c>
      <c r="B387" s="193" t="s">
        <v>2020</v>
      </c>
      <c r="C387" s="194" t="s">
        <v>2021</v>
      </c>
      <c r="D387" s="113">
        <v>1</v>
      </c>
      <c r="E387" s="13"/>
      <c r="F387" s="113">
        <v>0.90577086304387289</v>
      </c>
      <c r="G387" s="113"/>
      <c r="H387" s="113">
        <v>9.4226236821089063E-2</v>
      </c>
      <c r="I387" s="113">
        <v>2.9001350380139975E-6</v>
      </c>
      <c r="J387" s="13"/>
      <c r="K387" s="113"/>
      <c r="L387" s="113">
        <v>2.9001350380139975E-6</v>
      </c>
      <c r="M387" s="113"/>
      <c r="N387" s="113">
        <v>0</v>
      </c>
      <c r="O387" s="113">
        <v>0</v>
      </c>
      <c r="P387" s="113">
        <v>0</v>
      </c>
      <c r="Q387" s="113">
        <v>0</v>
      </c>
    </row>
    <row r="388" spans="1:17" x14ac:dyDescent="0.25">
      <c r="A388" s="104">
        <v>20</v>
      </c>
      <c r="B388" s="193" t="s">
        <v>883</v>
      </c>
      <c r="C388" s="197" t="s">
        <v>884</v>
      </c>
      <c r="D388" s="113">
        <v>1</v>
      </c>
      <c r="E388" s="13"/>
      <c r="F388" s="113">
        <v>0.93156190196932931</v>
      </c>
      <c r="G388" s="113"/>
      <c r="H388" s="113">
        <v>5.4476971997722681E-2</v>
      </c>
      <c r="I388" s="113">
        <v>1.3961126032948032E-2</v>
      </c>
      <c r="J388" s="13"/>
      <c r="K388" s="113"/>
      <c r="L388" s="113">
        <v>5.0222172589211682E-5</v>
      </c>
      <c r="M388" s="113"/>
      <c r="N388" s="113">
        <v>1.3910903860358821E-2</v>
      </c>
      <c r="O388" s="113">
        <v>7.1825141101167665E-3</v>
      </c>
      <c r="P388" s="113">
        <v>6.7283897502420538E-3</v>
      </c>
      <c r="Q388" s="113">
        <v>0</v>
      </c>
    </row>
    <row r="389" spans="1:17" x14ac:dyDescent="0.25">
      <c r="A389" s="105">
        <v>21</v>
      </c>
      <c r="B389" s="193" t="s">
        <v>885</v>
      </c>
      <c r="C389" s="197" t="s">
        <v>1836</v>
      </c>
      <c r="D389" s="113">
        <v>1</v>
      </c>
      <c r="E389" s="13"/>
      <c r="F389" s="113">
        <v>0.9375480184339865</v>
      </c>
      <c r="G389" s="113"/>
      <c r="H389" s="113">
        <v>4.9058038647519911E-2</v>
      </c>
      <c r="I389" s="113">
        <v>1.3393942918493624E-2</v>
      </c>
      <c r="J389" s="13"/>
      <c r="K389" s="113"/>
      <c r="L389" s="113">
        <v>6.9929121313014431E-5</v>
      </c>
      <c r="M389" s="113"/>
      <c r="N389" s="113">
        <v>1.3324013797180609E-2</v>
      </c>
      <c r="O389" s="113">
        <v>6.9330280141726899E-3</v>
      </c>
      <c r="P389" s="113">
        <v>6.390985783007919E-3</v>
      </c>
      <c r="Q389" s="113">
        <v>2.4649530818466877E-20</v>
      </c>
    </row>
    <row r="390" spans="1:17" x14ac:dyDescent="0.25">
      <c r="A390" s="105">
        <v>22</v>
      </c>
      <c r="B390" s="193" t="s">
        <v>886</v>
      </c>
      <c r="C390" s="197" t="s">
        <v>1837</v>
      </c>
      <c r="D390" s="113">
        <v>1</v>
      </c>
      <c r="E390" s="13"/>
      <c r="F390" s="113">
        <v>1</v>
      </c>
      <c r="G390" s="113"/>
      <c r="H390" s="113">
        <v>0</v>
      </c>
      <c r="I390" s="113">
        <v>0</v>
      </c>
      <c r="J390" s="13"/>
      <c r="K390" s="113"/>
      <c r="L390" s="113">
        <v>0</v>
      </c>
      <c r="M390" s="113"/>
      <c r="N390" s="113">
        <v>0</v>
      </c>
      <c r="O390" s="113">
        <v>0</v>
      </c>
      <c r="P390" s="113">
        <v>0</v>
      </c>
      <c r="Q390" s="113">
        <v>0</v>
      </c>
    </row>
    <row r="391" spans="1:17" x14ac:dyDescent="0.25">
      <c r="A391" s="104">
        <v>23</v>
      </c>
      <c r="B391" s="193" t="s">
        <v>887</v>
      </c>
      <c r="C391" s="194" t="s">
        <v>2324</v>
      </c>
      <c r="D391" s="113">
        <v>1</v>
      </c>
      <c r="E391" s="13"/>
      <c r="F391" s="113">
        <v>0</v>
      </c>
      <c r="G391" s="113"/>
      <c r="H391" s="113">
        <v>0</v>
      </c>
      <c r="I391" s="113">
        <v>1</v>
      </c>
      <c r="J391" s="13"/>
      <c r="K391" s="113"/>
      <c r="L391" s="113">
        <v>0</v>
      </c>
      <c r="M391" s="113"/>
      <c r="N391" s="113">
        <v>1</v>
      </c>
      <c r="O391" s="113">
        <v>0.50717205272262456</v>
      </c>
      <c r="P391" s="113">
        <v>0.49282794727737539</v>
      </c>
      <c r="Q391" s="113">
        <v>0</v>
      </c>
    </row>
    <row r="392" spans="1:17" x14ac:dyDescent="0.25">
      <c r="A392" s="104">
        <v>24</v>
      </c>
      <c r="B392" s="193" t="s">
        <v>888</v>
      </c>
      <c r="C392" s="194" t="s">
        <v>889</v>
      </c>
      <c r="D392" s="113">
        <v>0</v>
      </c>
      <c r="E392" s="13"/>
      <c r="F392" s="113">
        <v>0</v>
      </c>
      <c r="G392" s="113"/>
      <c r="H392" s="113">
        <v>0</v>
      </c>
      <c r="I392" s="113">
        <v>0</v>
      </c>
      <c r="J392" s="13"/>
      <c r="K392" s="113"/>
      <c r="L392" s="113">
        <v>0</v>
      </c>
      <c r="M392" s="113"/>
      <c r="N392" s="113">
        <v>0</v>
      </c>
      <c r="O392" s="113">
        <v>0</v>
      </c>
      <c r="P392" s="113">
        <v>0</v>
      </c>
      <c r="Q392" s="113">
        <v>0</v>
      </c>
    </row>
    <row r="393" spans="1:17" x14ac:dyDescent="0.25">
      <c r="A393" s="104">
        <v>25</v>
      </c>
      <c r="B393" s="193" t="s">
        <v>890</v>
      </c>
      <c r="C393" s="194" t="s">
        <v>1726</v>
      </c>
      <c r="D393" s="113">
        <v>1</v>
      </c>
      <c r="E393" s="13"/>
      <c r="F393" s="113">
        <v>0</v>
      </c>
      <c r="G393" s="113"/>
      <c r="H393" s="113">
        <v>0</v>
      </c>
      <c r="I393" s="113">
        <v>1</v>
      </c>
      <c r="J393" s="13"/>
      <c r="K393" s="113"/>
      <c r="L393" s="113">
        <v>0</v>
      </c>
      <c r="M393" s="113"/>
      <c r="N393" s="113">
        <v>1</v>
      </c>
      <c r="O393" s="113">
        <v>0.50717205272262444</v>
      </c>
      <c r="P393" s="113">
        <v>0.49282794727737556</v>
      </c>
      <c r="Q393" s="113">
        <v>0</v>
      </c>
    </row>
    <row r="394" spans="1:17" x14ac:dyDescent="0.25">
      <c r="A394" s="104">
        <v>26</v>
      </c>
      <c r="B394" s="193" t="s">
        <v>891</v>
      </c>
      <c r="C394" s="194" t="s">
        <v>1727</v>
      </c>
      <c r="D394" s="113">
        <v>1</v>
      </c>
      <c r="E394" s="13"/>
      <c r="F394" s="113">
        <v>0</v>
      </c>
      <c r="G394" s="113"/>
      <c r="H394" s="113">
        <v>0</v>
      </c>
      <c r="I394" s="113">
        <v>1</v>
      </c>
      <c r="J394" s="13"/>
      <c r="K394" s="113"/>
      <c r="L394" s="113">
        <v>0</v>
      </c>
      <c r="M394" s="113"/>
      <c r="N394" s="113">
        <v>1</v>
      </c>
      <c r="O394" s="113">
        <v>0.50717205272262444</v>
      </c>
      <c r="P394" s="113">
        <v>0.4928279472773755</v>
      </c>
      <c r="Q394" s="113">
        <v>0</v>
      </c>
    </row>
    <row r="395" spans="1:17" x14ac:dyDescent="0.25">
      <c r="A395" s="104">
        <v>27</v>
      </c>
      <c r="B395" s="193" t="s">
        <v>892</v>
      </c>
      <c r="C395" s="194" t="s">
        <v>893</v>
      </c>
      <c r="D395" s="113">
        <v>1</v>
      </c>
      <c r="E395" s="13"/>
      <c r="F395" s="113">
        <v>0.95484801861125845</v>
      </c>
      <c r="G395" s="113"/>
      <c r="H395" s="113">
        <v>4.4466058761154961E-2</v>
      </c>
      <c r="I395" s="113">
        <v>6.8592262758657195E-4</v>
      </c>
      <c r="J395" s="13"/>
      <c r="K395" s="113"/>
      <c r="L395" s="113">
        <v>3.0572108709151843E-6</v>
      </c>
      <c r="M395" s="113"/>
      <c r="N395" s="113">
        <v>6.8286541671565672E-4</v>
      </c>
      <c r="O395" s="113">
        <v>3.4633025512897003E-4</v>
      </c>
      <c r="P395" s="113">
        <v>3.3653516158668674E-4</v>
      </c>
      <c r="Q395" s="113">
        <v>0</v>
      </c>
    </row>
    <row r="396" spans="1:17" x14ac:dyDescent="0.25">
      <c r="A396" s="104">
        <v>28</v>
      </c>
      <c r="B396" s="193" t="s">
        <v>1416</v>
      </c>
      <c r="C396" s="194" t="s">
        <v>1313</v>
      </c>
      <c r="D396" s="113">
        <v>0.99999999999999989</v>
      </c>
      <c r="E396" s="13"/>
      <c r="F396" s="113">
        <v>0.12102305144291675</v>
      </c>
      <c r="G396" s="113"/>
      <c r="H396" s="113">
        <v>0.8789765600899474</v>
      </c>
      <c r="I396" s="113">
        <v>3.8846713565807527E-7</v>
      </c>
      <c r="J396" s="13"/>
      <c r="K396" s="113"/>
      <c r="L396" s="113">
        <v>3.8846713565807527E-7</v>
      </c>
      <c r="M396" s="113"/>
      <c r="N396" s="113">
        <v>0</v>
      </c>
      <c r="O396" s="113">
        <v>0</v>
      </c>
      <c r="P396" s="113">
        <v>0</v>
      </c>
      <c r="Q396" s="113">
        <v>0</v>
      </c>
    </row>
    <row r="397" spans="1:17" x14ac:dyDescent="0.25">
      <c r="A397" s="104">
        <v>29</v>
      </c>
      <c r="B397" s="193" t="s">
        <v>1314</v>
      </c>
      <c r="C397" s="197" t="s">
        <v>1838</v>
      </c>
      <c r="D397" s="113">
        <v>1</v>
      </c>
      <c r="E397" s="13"/>
      <c r="F397" s="113">
        <v>0.92994293030131592</v>
      </c>
      <c r="G397" s="113"/>
      <c r="H397" s="113">
        <v>6.9947015624459652E-2</v>
      </c>
      <c r="I397" s="113">
        <v>1.100540742244918E-4</v>
      </c>
      <c r="J397" s="13"/>
      <c r="K397" s="113"/>
      <c r="L397" s="113">
        <v>1.100540742244918E-4</v>
      </c>
      <c r="M397" s="113"/>
      <c r="N397" s="113">
        <v>0</v>
      </c>
      <c r="O397" s="113">
        <v>0</v>
      </c>
      <c r="P397" s="113">
        <v>0</v>
      </c>
      <c r="Q397" s="113">
        <v>0</v>
      </c>
    </row>
    <row r="398" spans="1:17" x14ac:dyDescent="0.25">
      <c r="A398" s="104">
        <v>30</v>
      </c>
      <c r="B398" s="193" t="s">
        <v>1315</v>
      </c>
      <c r="C398" s="194" t="s">
        <v>1316</v>
      </c>
      <c r="D398" s="113">
        <v>0.99999999999999989</v>
      </c>
      <c r="E398" s="13"/>
      <c r="F398" s="113">
        <v>0.93500194448323959</v>
      </c>
      <c r="G398" s="113"/>
      <c r="H398" s="113">
        <v>5.0458836848136387E-2</v>
      </c>
      <c r="I398" s="113">
        <v>1.4539218668623956E-2</v>
      </c>
      <c r="J398" s="13"/>
      <c r="K398" s="113"/>
      <c r="L398" s="113">
        <v>7.059977040600656E-5</v>
      </c>
      <c r="M398" s="113"/>
      <c r="N398" s="113">
        <v>1.4468618898217949E-2</v>
      </c>
      <c r="O398" s="113">
        <v>7.5200192250905445E-3</v>
      </c>
      <c r="P398" s="113">
        <v>6.9485996731274043E-3</v>
      </c>
      <c r="Q398" s="113">
        <v>1.495437747038747E-21</v>
      </c>
    </row>
    <row r="399" spans="1:17" x14ac:dyDescent="0.25">
      <c r="A399" s="104">
        <v>31</v>
      </c>
      <c r="B399" s="193" t="s">
        <v>1317</v>
      </c>
      <c r="C399" s="194" t="s">
        <v>1318</v>
      </c>
      <c r="D399" s="113">
        <v>1</v>
      </c>
      <c r="E399" s="13"/>
      <c r="F399" s="113">
        <v>1</v>
      </c>
      <c r="G399" s="113"/>
      <c r="H399" s="113">
        <v>0</v>
      </c>
      <c r="I399" s="113">
        <v>0</v>
      </c>
      <c r="J399" s="13"/>
      <c r="K399" s="113"/>
      <c r="L399" s="113">
        <v>0</v>
      </c>
      <c r="M399" s="113"/>
      <c r="N399" s="113">
        <v>0</v>
      </c>
      <c r="O399" s="113">
        <v>0</v>
      </c>
      <c r="P399" s="113">
        <v>0</v>
      </c>
      <c r="Q399" s="113">
        <v>0</v>
      </c>
    </row>
    <row r="400" spans="1:17" x14ac:dyDescent="0.25">
      <c r="A400" s="104">
        <v>32</v>
      </c>
      <c r="B400" s="193" t="s">
        <v>1319</v>
      </c>
      <c r="C400" s="194" t="s">
        <v>1320</v>
      </c>
      <c r="D400" s="113">
        <v>1</v>
      </c>
      <c r="E400" s="13"/>
      <c r="F400" s="113">
        <v>0.98468816389132285</v>
      </c>
      <c r="G400" s="113"/>
      <c r="H400" s="113">
        <v>0</v>
      </c>
      <c r="I400" s="113">
        <v>1.5311836108677096E-2</v>
      </c>
      <c r="J400" s="13"/>
      <c r="K400" s="113"/>
      <c r="L400" s="113">
        <v>7.435145852093542E-5</v>
      </c>
      <c r="M400" s="113"/>
      <c r="N400" s="113">
        <v>1.5237484650156161E-2</v>
      </c>
      <c r="O400" s="113">
        <v>7.9196347845826246E-3</v>
      </c>
      <c r="P400" s="113">
        <v>7.317849865573536E-3</v>
      </c>
      <c r="Q400" s="113">
        <v>1.5749056545109212E-21</v>
      </c>
    </row>
    <row r="401" spans="1:17" x14ac:dyDescent="0.25">
      <c r="A401" s="104">
        <v>33</v>
      </c>
      <c r="B401" s="193" t="s">
        <v>1321</v>
      </c>
      <c r="C401" s="194" t="s">
        <v>1322</v>
      </c>
      <c r="D401" s="113">
        <v>1</v>
      </c>
      <c r="E401" s="13"/>
      <c r="F401" s="113">
        <v>0</v>
      </c>
      <c r="G401" s="113"/>
      <c r="H401" s="113">
        <v>1</v>
      </c>
      <c r="I401" s="113">
        <v>0</v>
      </c>
      <c r="J401" s="13"/>
      <c r="K401" s="113"/>
      <c r="L401" s="113">
        <v>0</v>
      </c>
      <c r="M401" s="113"/>
      <c r="N401" s="113">
        <v>0</v>
      </c>
      <c r="O401" s="113">
        <v>0</v>
      </c>
      <c r="P401" s="113">
        <v>0</v>
      </c>
      <c r="Q401" s="113">
        <v>0</v>
      </c>
    </row>
    <row r="402" spans="1:17" x14ac:dyDescent="0.25">
      <c r="A402" s="104">
        <v>34</v>
      </c>
      <c r="B402" s="193" t="s">
        <v>1323</v>
      </c>
      <c r="C402" s="194" t="s">
        <v>1324</v>
      </c>
      <c r="D402" s="113">
        <v>0.99999999999999989</v>
      </c>
      <c r="E402" s="13"/>
      <c r="F402" s="113">
        <v>0.93543588279995615</v>
      </c>
      <c r="G402" s="113"/>
      <c r="H402" s="113">
        <v>4.3601034523909232E-2</v>
      </c>
      <c r="I402" s="113">
        <v>2.0963082676134542E-2</v>
      </c>
      <c r="J402" s="13"/>
      <c r="K402" s="113"/>
      <c r="L402" s="113">
        <v>2.9861914912378194E-6</v>
      </c>
      <c r="M402" s="113"/>
      <c r="N402" s="113">
        <v>2.0960096484643302E-2</v>
      </c>
      <c r="O402" s="113">
        <v>1.063037515938081E-2</v>
      </c>
      <c r="P402" s="113">
        <v>1.0329721325262491E-2</v>
      </c>
      <c r="Q402" s="113">
        <v>0</v>
      </c>
    </row>
    <row r="403" spans="1:17" x14ac:dyDescent="0.25">
      <c r="A403" s="104">
        <v>35</v>
      </c>
      <c r="B403" s="193" t="s">
        <v>1325</v>
      </c>
      <c r="C403" s="194" t="s">
        <v>1326</v>
      </c>
      <c r="D403" s="113">
        <v>1</v>
      </c>
      <c r="E403" s="13"/>
      <c r="F403" s="113">
        <v>0.93702754024909529</v>
      </c>
      <c r="G403" s="113"/>
      <c r="H403" s="113">
        <v>4.2827654513430367E-2</v>
      </c>
      <c r="I403" s="113">
        <v>2.0144805237474261E-2</v>
      </c>
      <c r="J403" s="13"/>
      <c r="K403" s="113"/>
      <c r="L403" s="113">
        <v>3.0016940411848834E-6</v>
      </c>
      <c r="M403" s="113"/>
      <c r="N403" s="113">
        <v>2.0141803543433076E-2</v>
      </c>
      <c r="O403" s="113">
        <v>1.0215359848658786E-2</v>
      </c>
      <c r="P403" s="113">
        <v>9.926443694774292E-3</v>
      </c>
      <c r="Q403" s="113">
        <v>0</v>
      </c>
    </row>
    <row r="404" spans="1:17" x14ac:dyDescent="0.25">
      <c r="A404" s="104">
        <v>36</v>
      </c>
      <c r="B404" s="193" t="s">
        <v>1327</v>
      </c>
      <c r="C404" s="194" t="s">
        <v>1328</v>
      </c>
      <c r="D404" s="113">
        <v>1</v>
      </c>
      <c r="E404" s="13"/>
      <c r="F404" s="113">
        <v>0.93667637631422729</v>
      </c>
      <c r="G404" s="113"/>
      <c r="H404" s="113">
        <v>4.2725949738459466E-2</v>
      </c>
      <c r="I404" s="113">
        <v>2.0597673947313263E-2</v>
      </c>
      <c r="J404" s="13"/>
      <c r="K404" s="113"/>
      <c r="L404" s="113">
        <v>2.9949502028358116E-6</v>
      </c>
      <c r="M404" s="113"/>
      <c r="N404" s="113">
        <v>2.0594678997110427E-2</v>
      </c>
      <c r="O404" s="113">
        <v>1.0445045622128018E-2</v>
      </c>
      <c r="P404" s="113">
        <v>1.014963337498241E-2</v>
      </c>
      <c r="Q404" s="113">
        <v>0</v>
      </c>
    </row>
    <row r="405" spans="1:17" x14ac:dyDescent="0.25">
      <c r="A405" s="104">
        <v>37</v>
      </c>
      <c r="B405" s="193" t="s">
        <v>826</v>
      </c>
      <c r="C405" s="197" t="s">
        <v>1839</v>
      </c>
      <c r="D405" s="113">
        <v>1</v>
      </c>
      <c r="E405" s="13"/>
      <c r="F405" s="113">
        <v>0.95311597272981619</v>
      </c>
      <c r="G405" s="113"/>
      <c r="H405" s="113">
        <v>3.2663857470036348E-2</v>
      </c>
      <c r="I405" s="113">
        <v>1.4220169800147569E-2</v>
      </c>
      <c r="J405" s="13"/>
      <c r="K405" s="113"/>
      <c r="L405" s="113">
        <v>1.9193136920073999E-3</v>
      </c>
      <c r="M405" s="113"/>
      <c r="N405" s="113">
        <v>1.2300856108140169E-2</v>
      </c>
      <c r="O405" s="113">
        <v>1.2300856108140169E-2</v>
      </c>
      <c r="P405" s="113">
        <v>0</v>
      </c>
      <c r="Q405" s="113">
        <v>0</v>
      </c>
    </row>
    <row r="406" spans="1:17" x14ac:dyDescent="0.25">
      <c r="A406" s="104">
        <v>38</v>
      </c>
      <c r="B406" s="193" t="s">
        <v>827</v>
      </c>
      <c r="C406" s="197" t="s">
        <v>1840</v>
      </c>
      <c r="D406" s="113">
        <v>1</v>
      </c>
      <c r="E406" s="13"/>
      <c r="F406" s="113">
        <v>0.97711121638856713</v>
      </c>
      <c r="G406" s="113"/>
      <c r="H406" s="113">
        <v>2.2888783611432865E-2</v>
      </c>
      <c r="I406" s="113">
        <v>0</v>
      </c>
      <c r="J406" s="13"/>
      <c r="K406" s="113"/>
      <c r="L406" s="113">
        <v>0</v>
      </c>
      <c r="M406" s="113"/>
      <c r="N406" s="113">
        <v>0</v>
      </c>
      <c r="O406" s="113">
        <v>0</v>
      </c>
      <c r="P406" s="113">
        <v>0</v>
      </c>
      <c r="Q406" s="113">
        <v>0</v>
      </c>
    </row>
    <row r="407" spans="1:17" x14ac:dyDescent="0.25">
      <c r="A407" s="104">
        <v>39</v>
      </c>
      <c r="B407" s="193" t="s">
        <v>828</v>
      </c>
      <c r="C407" s="197" t="s">
        <v>1841</v>
      </c>
      <c r="D407" s="113">
        <v>1</v>
      </c>
      <c r="E407" s="13"/>
      <c r="F407" s="113">
        <v>0.96949142516512432</v>
      </c>
      <c r="G407" s="113"/>
      <c r="H407" s="113">
        <v>3.0508574834875662E-2</v>
      </c>
      <c r="I407" s="113">
        <v>0</v>
      </c>
      <c r="J407" s="13"/>
      <c r="K407" s="113"/>
      <c r="L407" s="113">
        <v>0</v>
      </c>
      <c r="M407" s="113"/>
      <c r="N407" s="113">
        <v>0</v>
      </c>
      <c r="O407" s="113">
        <v>0</v>
      </c>
      <c r="P407" s="113">
        <v>0</v>
      </c>
      <c r="Q407" s="113">
        <v>0</v>
      </c>
    </row>
    <row r="408" spans="1:17" x14ac:dyDescent="0.25">
      <c r="A408" s="104">
        <v>40</v>
      </c>
      <c r="B408" s="193" t="s">
        <v>829</v>
      </c>
      <c r="C408" s="197" t="s">
        <v>1842</v>
      </c>
      <c r="D408" s="113">
        <v>1</v>
      </c>
      <c r="E408" s="13"/>
      <c r="F408" s="113">
        <v>0.95360863349392455</v>
      </c>
      <c r="G408" s="113"/>
      <c r="H408" s="113">
        <v>4.5768300742858072E-2</v>
      </c>
      <c r="I408" s="113">
        <v>6.2306576321740433E-4</v>
      </c>
      <c r="J408" s="13"/>
      <c r="K408" s="113"/>
      <c r="L408" s="113">
        <v>5.079646099177487E-5</v>
      </c>
      <c r="M408" s="113"/>
      <c r="N408" s="113">
        <v>5.7226930222562943E-4</v>
      </c>
      <c r="O408" s="113">
        <v>2.4744949789311482E-4</v>
      </c>
      <c r="P408" s="113">
        <v>3.2481980433251461E-4</v>
      </c>
      <c r="Q408" s="113">
        <v>0</v>
      </c>
    </row>
    <row r="409" spans="1:17" x14ac:dyDescent="0.25">
      <c r="A409" s="104">
        <v>41</v>
      </c>
      <c r="B409" s="193" t="s">
        <v>830</v>
      </c>
      <c r="C409" s="197" t="s">
        <v>1843</v>
      </c>
      <c r="D409" s="113">
        <v>1</v>
      </c>
      <c r="E409" s="13"/>
      <c r="F409" s="113">
        <v>1</v>
      </c>
      <c r="G409" s="113"/>
      <c r="H409" s="113">
        <v>0</v>
      </c>
      <c r="I409" s="113">
        <v>0</v>
      </c>
      <c r="J409" s="13"/>
      <c r="K409" s="113"/>
      <c r="L409" s="113">
        <v>0</v>
      </c>
      <c r="M409" s="113"/>
      <c r="N409" s="113">
        <v>0</v>
      </c>
      <c r="O409" s="113">
        <v>0</v>
      </c>
      <c r="P409" s="113">
        <v>0</v>
      </c>
      <c r="Q409" s="113">
        <v>0</v>
      </c>
    </row>
    <row r="410" spans="1:17" x14ac:dyDescent="0.25">
      <c r="A410" s="104">
        <v>42</v>
      </c>
      <c r="B410" s="193" t="s">
        <v>831</v>
      </c>
      <c r="C410" s="197" t="s">
        <v>1844</v>
      </c>
      <c r="D410" s="113">
        <v>1</v>
      </c>
      <c r="E410" s="13"/>
      <c r="F410" s="113">
        <v>0.96581993379923559</v>
      </c>
      <c r="G410" s="113"/>
      <c r="H410" s="113">
        <v>3.4170534739469287E-2</v>
      </c>
      <c r="I410" s="113">
        <v>9.5314612952256327E-6</v>
      </c>
      <c r="J410" s="13"/>
      <c r="K410" s="113"/>
      <c r="L410" s="113">
        <v>9.5314612952256327E-6</v>
      </c>
      <c r="M410" s="113"/>
      <c r="N410" s="113">
        <v>0</v>
      </c>
      <c r="O410" s="113">
        <v>0</v>
      </c>
      <c r="P410" s="113">
        <v>0</v>
      </c>
      <c r="Q410" s="113">
        <v>0</v>
      </c>
    </row>
    <row r="411" spans="1:17" x14ac:dyDescent="0.25">
      <c r="A411" s="104">
        <v>43</v>
      </c>
      <c r="B411" s="193" t="s">
        <v>832</v>
      </c>
      <c r="C411" s="197" t="s">
        <v>1845</v>
      </c>
      <c r="D411" s="113">
        <v>1.0000000000000002</v>
      </c>
      <c r="E411" s="13"/>
      <c r="F411" s="113">
        <v>0.95003195393362816</v>
      </c>
      <c r="G411" s="113"/>
      <c r="H411" s="113">
        <v>4.9682107773700274E-2</v>
      </c>
      <c r="I411" s="113">
        <v>2.859382926716783E-4</v>
      </c>
      <c r="J411" s="13"/>
      <c r="K411" s="113"/>
      <c r="L411" s="113">
        <v>6.5884399233105599E-6</v>
      </c>
      <c r="M411" s="113"/>
      <c r="N411" s="113">
        <v>2.7934985274836777E-4</v>
      </c>
      <c r="O411" s="113">
        <v>1.1200347869627952E-4</v>
      </c>
      <c r="P411" s="113">
        <v>1.6734637405208823E-4</v>
      </c>
      <c r="Q411" s="113">
        <v>0</v>
      </c>
    </row>
    <row r="412" spans="1:17" x14ac:dyDescent="0.25">
      <c r="A412" s="104">
        <v>44</v>
      </c>
      <c r="B412" s="193" t="s">
        <v>833</v>
      </c>
      <c r="C412" s="197" t="s">
        <v>1846</v>
      </c>
      <c r="D412" s="113">
        <v>1</v>
      </c>
      <c r="E412" s="13"/>
      <c r="F412" s="113">
        <v>0.99069472996649699</v>
      </c>
      <c r="G412" s="113"/>
      <c r="H412" s="113">
        <v>9.3042775066559807E-3</v>
      </c>
      <c r="I412" s="113">
        <v>9.9252684706354029E-7</v>
      </c>
      <c r="J412" s="13"/>
      <c r="K412" s="113"/>
      <c r="L412" s="113">
        <v>9.9252684706354029E-7</v>
      </c>
      <c r="M412" s="113"/>
      <c r="N412" s="113">
        <v>0</v>
      </c>
      <c r="O412" s="113">
        <v>0</v>
      </c>
      <c r="P412" s="113">
        <v>0</v>
      </c>
      <c r="Q412" s="113">
        <v>0</v>
      </c>
    </row>
    <row r="413" spans="1:17" x14ac:dyDescent="0.25">
      <c r="A413" s="104">
        <v>45</v>
      </c>
      <c r="B413" s="193" t="s">
        <v>834</v>
      </c>
      <c r="C413" s="194" t="s">
        <v>835</v>
      </c>
      <c r="D413" s="113">
        <v>1</v>
      </c>
      <c r="E413" s="13"/>
      <c r="F413" s="113">
        <v>0.93317600966394321</v>
      </c>
      <c r="G413" s="113"/>
      <c r="H413" s="113">
        <v>6.5228446112549979E-2</v>
      </c>
      <c r="I413" s="113">
        <v>1.5955442235068013E-3</v>
      </c>
      <c r="J413" s="13"/>
      <c r="K413" s="113"/>
      <c r="L413" s="113">
        <v>2.1089371516474307E-4</v>
      </c>
      <c r="M413" s="113"/>
      <c r="N413" s="113">
        <v>1.3846505083420582E-3</v>
      </c>
      <c r="O413" s="113">
        <v>1.2624209267221127E-3</v>
      </c>
      <c r="P413" s="113">
        <v>1.2222958161994552E-4</v>
      </c>
      <c r="Q413" s="113">
        <v>0</v>
      </c>
    </row>
    <row r="414" spans="1:17" x14ac:dyDescent="0.25">
      <c r="A414" s="13"/>
      <c r="B414" s="13"/>
      <c r="C414" s="103"/>
      <c r="D414" s="13"/>
      <c r="E414" s="13"/>
      <c r="F414" s="13"/>
      <c r="G414" s="13"/>
      <c r="H414" s="13"/>
      <c r="I414" s="13"/>
      <c r="J414" s="13"/>
      <c r="K414" s="13"/>
      <c r="L414" s="13"/>
      <c r="M414" s="13"/>
      <c r="N414" s="13"/>
      <c r="O414" s="13"/>
      <c r="P414" s="13"/>
      <c r="Q414" s="13"/>
    </row>
    <row r="415" spans="1:17" x14ac:dyDescent="0.25">
      <c r="A415" s="13"/>
      <c r="B415" s="201" t="s">
        <v>836</v>
      </c>
      <c r="C415" s="103"/>
      <c r="D415" s="13"/>
      <c r="E415" s="13"/>
      <c r="F415" s="13"/>
      <c r="G415" s="13"/>
      <c r="H415" s="13"/>
      <c r="I415" s="13"/>
      <c r="J415" s="13"/>
      <c r="K415" s="13"/>
      <c r="L415" s="13"/>
      <c r="M415" s="13"/>
      <c r="N415" s="13"/>
      <c r="O415" s="13"/>
      <c r="P415" s="13"/>
      <c r="Q415" s="13"/>
    </row>
    <row r="416" spans="1:17" x14ac:dyDescent="0.25">
      <c r="A416" s="13"/>
      <c r="B416" s="200" t="s">
        <v>1234</v>
      </c>
      <c r="C416" s="103"/>
      <c r="D416" s="13"/>
      <c r="E416" s="13"/>
      <c r="F416" s="13"/>
      <c r="G416" s="13"/>
      <c r="H416" s="13"/>
      <c r="I416" s="13"/>
      <c r="J416" s="13"/>
      <c r="K416" s="13"/>
      <c r="L416" s="13"/>
      <c r="M416" s="13"/>
      <c r="N416" s="13"/>
      <c r="O416" s="13"/>
      <c r="P416" s="13"/>
      <c r="Q416" s="13"/>
    </row>
    <row r="417" spans="1:17" x14ac:dyDescent="0.25">
      <c r="A417" s="104">
        <v>1</v>
      </c>
      <c r="B417" s="193" t="s">
        <v>837</v>
      </c>
      <c r="C417" s="197" t="s">
        <v>1847</v>
      </c>
      <c r="D417" s="113">
        <v>1</v>
      </c>
      <c r="E417" s="13"/>
      <c r="F417" s="113">
        <v>0.94892097697757327</v>
      </c>
      <c r="G417" s="113"/>
      <c r="H417" s="113">
        <v>5.1073574787019391E-2</v>
      </c>
      <c r="I417" s="113">
        <v>5.4482354073554802E-6</v>
      </c>
      <c r="J417" s="13"/>
      <c r="K417" s="113"/>
      <c r="L417" s="113">
        <v>5.4482354073554802E-6</v>
      </c>
      <c r="M417" s="113"/>
      <c r="N417" s="113">
        <v>0</v>
      </c>
      <c r="O417" s="113">
        <v>0</v>
      </c>
      <c r="P417" s="113">
        <v>0</v>
      </c>
      <c r="Q417" s="113">
        <v>0</v>
      </c>
    </row>
    <row r="418" spans="1:17" x14ac:dyDescent="0.25">
      <c r="A418" s="104">
        <v>2</v>
      </c>
      <c r="B418" s="193" t="s">
        <v>838</v>
      </c>
      <c r="C418" s="194" t="s">
        <v>839</v>
      </c>
      <c r="D418" s="113">
        <v>1</v>
      </c>
      <c r="E418" s="13"/>
      <c r="F418" s="113">
        <v>0</v>
      </c>
      <c r="G418" s="113"/>
      <c r="H418" s="113">
        <v>0</v>
      </c>
      <c r="I418" s="113">
        <v>1</v>
      </c>
      <c r="J418" s="13"/>
      <c r="K418" s="113"/>
      <c r="L418" s="113">
        <v>0</v>
      </c>
      <c r="M418" s="113"/>
      <c r="N418" s="113">
        <v>1</v>
      </c>
      <c r="O418" s="113">
        <v>0.50632304693712848</v>
      </c>
      <c r="P418" s="113">
        <v>0.49367695306287152</v>
      </c>
      <c r="Q418" s="113">
        <v>0</v>
      </c>
    </row>
    <row r="419" spans="1:17" x14ac:dyDescent="0.25">
      <c r="A419" s="104">
        <v>3</v>
      </c>
      <c r="B419" s="193" t="s">
        <v>840</v>
      </c>
      <c r="C419" s="194" t="s">
        <v>841</v>
      </c>
      <c r="D419" s="113">
        <v>1</v>
      </c>
      <c r="E419" s="13"/>
      <c r="F419" s="113">
        <v>0</v>
      </c>
      <c r="G419" s="113"/>
      <c r="H419" s="113">
        <v>1</v>
      </c>
      <c r="I419" s="113">
        <v>0</v>
      </c>
      <c r="J419" s="13"/>
      <c r="K419" s="113"/>
      <c r="L419" s="113">
        <v>0</v>
      </c>
      <c r="M419" s="113"/>
      <c r="N419" s="113">
        <v>0</v>
      </c>
      <c r="O419" s="113">
        <v>0</v>
      </c>
      <c r="P419" s="113">
        <v>0</v>
      </c>
      <c r="Q419" s="113">
        <v>0</v>
      </c>
    </row>
    <row r="420" spans="1:17" x14ac:dyDescent="0.25">
      <c r="A420" s="104">
        <v>4</v>
      </c>
      <c r="B420" s="193" t="s">
        <v>842</v>
      </c>
      <c r="C420" s="194" t="s">
        <v>843</v>
      </c>
      <c r="D420" s="113">
        <v>1</v>
      </c>
      <c r="E420" s="13"/>
      <c r="F420" s="113">
        <v>0.94298756914344861</v>
      </c>
      <c r="G420" s="113"/>
      <c r="H420" s="113">
        <v>4.2222562236253675E-2</v>
      </c>
      <c r="I420" s="113">
        <v>1.4789868620297776E-2</v>
      </c>
      <c r="J420" s="13"/>
      <c r="K420" s="113"/>
      <c r="L420" s="113">
        <v>2.5186850734283827E-8</v>
      </c>
      <c r="M420" s="113"/>
      <c r="N420" s="113">
        <v>1.4789843433447043E-2</v>
      </c>
      <c r="O420" s="113">
        <v>7.4884385909459884E-3</v>
      </c>
      <c r="P420" s="113">
        <v>7.3014048425010542E-3</v>
      </c>
      <c r="Q420" s="113">
        <v>0</v>
      </c>
    </row>
    <row r="421" spans="1:17" x14ac:dyDescent="0.25">
      <c r="A421" s="104">
        <v>5</v>
      </c>
      <c r="B421" s="193" t="s">
        <v>844</v>
      </c>
      <c r="C421" s="194" t="s">
        <v>845</v>
      </c>
      <c r="D421" s="113">
        <v>1</v>
      </c>
      <c r="E421" s="13"/>
      <c r="F421" s="113">
        <v>0</v>
      </c>
      <c r="G421" s="113"/>
      <c r="H421" s="113">
        <v>1</v>
      </c>
      <c r="I421" s="113">
        <v>0</v>
      </c>
      <c r="J421" s="13"/>
      <c r="K421" s="113"/>
      <c r="L421" s="113">
        <v>0</v>
      </c>
      <c r="M421" s="113"/>
      <c r="N421" s="113">
        <v>0</v>
      </c>
      <c r="O421" s="113">
        <v>0</v>
      </c>
      <c r="P421" s="113">
        <v>0</v>
      </c>
      <c r="Q421" s="113">
        <v>0</v>
      </c>
    </row>
    <row r="422" spans="1:17" x14ac:dyDescent="0.25">
      <c r="A422" s="104">
        <v>6</v>
      </c>
      <c r="B422" s="193" t="s">
        <v>846</v>
      </c>
      <c r="C422" s="194" t="s">
        <v>847</v>
      </c>
      <c r="D422" s="113">
        <v>0.99999999999999989</v>
      </c>
      <c r="E422" s="13"/>
      <c r="F422" s="113">
        <v>0.95714357272741712</v>
      </c>
      <c r="G422" s="113"/>
      <c r="H422" s="113">
        <v>4.2856401707630436E-2</v>
      </c>
      <c r="I422" s="113">
        <v>2.5564952377328037E-8</v>
      </c>
      <c r="J422" s="13"/>
      <c r="K422" s="113"/>
      <c r="L422" s="113">
        <v>2.5564952377328037E-8</v>
      </c>
      <c r="M422" s="113"/>
      <c r="N422" s="113">
        <v>0</v>
      </c>
      <c r="O422" s="113">
        <v>0</v>
      </c>
      <c r="P422" s="113">
        <v>0</v>
      </c>
      <c r="Q422" s="113">
        <v>0</v>
      </c>
    </row>
    <row r="423" spans="1:17" x14ac:dyDescent="0.25">
      <c r="A423" s="104">
        <v>7</v>
      </c>
      <c r="B423" s="193" t="s">
        <v>894</v>
      </c>
      <c r="C423" s="194" t="s">
        <v>895</v>
      </c>
      <c r="D423" s="113">
        <v>1</v>
      </c>
      <c r="E423" s="13"/>
      <c r="F423" s="113">
        <v>0.99810520022843596</v>
      </c>
      <c r="G423" s="113"/>
      <c r="H423" s="113">
        <v>0</v>
      </c>
      <c r="I423" s="113">
        <v>1.8947997715640604E-3</v>
      </c>
      <c r="J423" s="13"/>
      <c r="K423" s="113"/>
      <c r="L423" s="113">
        <v>0</v>
      </c>
      <c r="M423" s="113"/>
      <c r="N423" s="113">
        <v>1.8947997715640604E-3</v>
      </c>
      <c r="O423" s="113">
        <v>1.8809171743553493E-3</v>
      </c>
      <c r="P423" s="113">
        <v>1.3882597208711188E-5</v>
      </c>
      <c r="Q423" s="113">
        <v>0</v>
      </c>
    </row>
    <row r="424" spans="1:17" x14ac:dyDescent="0.25">
      <c r="A424" s="104">
        <v>8</v>
      </c>
      <c r="B424" s="193" t="s">
        <v>27</v>
      </c>
      <c r="C424" s="194" t="s">
        <v>28</v>
      </c>
      <c r="D424" s="113">
        <v>1</v>
      </c>
      <c r="E424" s="13"/>
      <c r="F424" s="113">
        <v>0</v>
      </c>
      <c r="G424" s="113"/>
      <c r="H424" s="113">
        <v>1</v>
      </c>
      <c r="I424" s="113">
        <v>0</v>
      </c>
      <c r="J424" s="13"/>
      <c r="K424" s="113"/>
      <c r="L424" s="113">
        <v>0</v>
      </c>
      <c r="M424" s="113"/>
      <c r="N424" s="113">
        <v>0</v>
      </c>
      <c r="O424" s="113">
        <v>0</v>
      </c>
      <c r="P424" s="113">
        <v>0</v>
      </c>
      <c r="Q424" s="113">
        <v>0</v>
      </c>
    </row>
    <row r="425" spans="1:17" x14ac:dyDescent="0.25">
      <c r="A425" s="104">
        <v>9</v>
      </c>
      <c r="B425" s="193" t="s">
        <v>29</v>
      </c>
      <c r="C425" s="194" t="s">
        <v>30</v>
      </c>
      <c r="D425" s="113">
        <v>1</v>
      </c>
      <c r="E425" s="13"/>
      <c r="F425" s="113">
        <v>0</v>
      </c>
      <c r="G425" s="113"/>
      <c r="H425" s="113">
        <v>0</v>
      </c>
      <c r="I425" s="113">
        <v>1</v>
      </c>
      <c r="J425" s="13"/>
      <c r="K425" s="113"/>
      <c r="L425" s="113">
        <v>1</v>
      </c>
      <c r="M425" s="113"/>
      <c r="N425" s="113">
        <v>0</v>
      </c>
      <c r="O425" s="113">
        <v>0</v>
      </c>
      <c r="P425" s="113">
        <v>0</v>
      </c>
      <c r="Q425" s="113">
        <v>0</v>
      </c>
    </row>
    <row r="426" spans="1:17" x14ac:dyDescent="0.25">
      <c r="A426" s="104">
        <v>10</v>
      </c>
      <c r="B426" s="193" t="s">
        <v>31</v>
      </c>
      <c r="C426" s="194" t="s">
        <v>32</v>
      </c>
      <c r="D426" s="113">
        <v>1.0000000000000002</v>
      </c>
      <c r="E426" s="13"/>
      <c r="F426" s="113">
        <v>0.93811409830939052</v>
      </c>
      <c r="G426" s="113"/>
      <c r="H426" s="113">
        <v>4.7621062903140693E-2</v>
      </c>
      <c r="I426" s="113">
        <v>1.4264838787468872E-2</v>
      </c>
      <c r="J426" s="13"/>
      <c r="K426" s="113"/>
      <c r="L426" s="113">
        <v>8.2242803142685593E-5</v>
      </c>
      <c r="M426" s="113"/>
      <c r="N426" s="113">
        <v>1.4182595984326186E-2</v>
      </c>
      <c r="O426" s="113">
        <v>7.3734895598169094E-3</v>
      </c>
      <c r="P426" s="113">
        <v>6.8091064245092755E-3</v>
      </c>
      <c r="Q426" s="113">
        <v>1.4947299767629089E-21</v>
      </c>
    </row>
    <row r="427" spans="1:17" x14ac:dyDescent="0.25">
      <c r="A427" s="104">
        <v>11</v>
      </c>
      <c r="B427" s="193" t="s">
        <v>33</v>
      </c>
      <c r="C427" s="194" t="s">
        <v>34</v>
      </c>
      <c r="D427" s="113">
        <v>0.99999999999999989</v>
      </c>
      <c r="E427" s="13"/>
      <c r="F427" s="113">
        <v>0.93818723051555686</v>
      </c>
      <c r="G427" s="113"/>
      <c r="H427" s="113">
        <v>4.7362482254638266E-2</v>
      </c>
      <c r="I427" s="113">
        <v>1.4450287229804824E-2</v>
      </c>
      <c r="J427" s="13"/>
      <c r="K427" s="113"/>
      <c r="L427" s="113">
        <v>7.9492289548238349E-5</v>
      </c>
      <c r="M427" s="113"/>
      <c r="N427" s="113">
        <v>1.4370794940256585E-2</v>
      </c>
      <c r="O427" s="113">
        <v>7.4551227369687601E-3</v>
      </c>
      <c r="P427" s="113">
        <v>6.9156722032878253E-3</v>
      </c>
      <c r="Q427" s="113">
        <v>1.5146892369096561E-21</v>
      </c>
    </row>
    <row r="428" spans="1:17" x14ac:dyDescent="0.25">
      <c r="A428" s="104">
        <v>12</v>
      </c>
      <c r="B428" s="193" t="s">
        <v>35</v>
      </c>
      <c r="C428" s="194" t="s">
        <v>502</v>
      </c>
      <c r="D428" s="113">
        <v>1</v>
      </c>
      <c r="E428" s="13"/>
      <c r="F428" s="113">
        <v>0.7788225176236363</v>
      </c>
      <c r="G428" s="113"/>
      <c r="H428" s="113">
        <v>0</v>
      </c>
      <c r="I428" s="113">
        <v>0.2211774823763637</v>
      </c>
      <c r="J428" s="13"/>
      <c r="K428" s="113"/>
      <c r="L428" s="113">
        <v>0</v>
      </c>
      <c r="M428" s="113"/>
      <c r="N428" s="113">
        <v>0.2211774823763637</v>
      </c>
      <c r="O428" s="113">
        <v>0.11217503775284247</v>
      </c>
      <c r="P428" s="113">
        <v>0.10900244462352121</v>
      </c>
      <c r="Q428" s="113">
        <v>0</v>
      </c>
    </row>
    <row r="429" spans="1:17" x14ac:dyDescent="0.25">
      <c r="A429" s="104">
        <v>13</v>
      </c>
      <c r="B429" s="193" t="s">
        <v>1417</v>
      </c>
      <c r="C429" s="194" t="s">
        <v>2022</v>
      </c>
      <c r="D429" s="113">
        <v>1</v>
      </c>
      <c r="E429" s="13"/>
      <c r="F429" s="113">
        <v>0.93945361739915301</v>
      </c>
      <c r="G429" s="113"/>
      <c r="H429" s="113">
        <v>4.5937866752472585E-2</v>
      </c>
      <c r="I429" s="113">
        <v>1.460851584837441E-2</v>
      </c>
      <c r="J429" s="13"/>
      <c r="K429" s="113"/>
      <c r="L429" s="113">
        <v>7.0947413438758703E-5</v>
      </c>
      <c r="M429" s="113"/>
      <c r="N429" s="113">
        <v>1.4537568434935651E-2</v>
      </c>
      <c r="O429" s="113">
        <v>7.5558411863154342E-3</v>
      </c>
      <c r="P429" s="113">
        <v>6.9817272486202156E-3</v>
      </c>
      <c r="Q429" s="113">
        <v>0</v>
      </c>
    </row>
    <row r="430" spans="1:17" x14ac:dyDescent="0.25">
      <c r="A430" s="104">
        <v>14</v>
      </c>
      <c r="B430" s="193" t="s">
        <v>37</v>
      </c>
      <c r="C430" s="197" t="s">
        <v>1848</v>
      </c>
      <c r="D430" s="113">
        <v>0.99999999999999989</v>
      </c>
      <c r="E430" s="13"/>
      <c r="F430" s="113">
        <v>0.94019099233219072</v>
      </c>
      <c r="G430" s="113"/>
      <c r="H430" s="113">
        <v>3.9135792051128208E-2</v>
      </c>
      <c r="I430" s="113">
        <v>2.0673215616681014E-2</v>
      </c>
      <c r="J430" s="13"/>
      <c r="K430" s="113"/>
      <c r="L430" s="113">
        <v>4.0512878422399452E-6</v>
      </c>
      <c r="M430" s="113"/>
      <c r="N430" s="113">
        <v>2.0669164328838772E-2</v>
      </c>
      <c r="O430" s="113">
        <v>1.046961486931368E-2</v>
      </c>
      <c r="P430" s="113">
        <v>1.0199549459525092E-2</v>
      </c>
      <c r="Q430" s="113">
        <v>0</v>
      </c>
    </row>
    <row r="431" spans="1:17" x14ac:dyDescent="0.25">
      <c r="A431" s="104">
        <v>15</v>
      </c>
      <c r="B431" s="193" t="s">
        <v>38</v>
      </c>
      <c r="C431" s="197" t="s">
        <v>1849</v>
      </c>
      <c r="D431" s="113">
        <v>0.99999999999999989</v>
      </c>
      <c r="E431" s="13"/>
      <c r="F431" s="113">
        <v>0.92729553775695028</v>
      </c>
      <c r="G431" s="113"/>
      <c r="H431" s="113">
        <v>4.7520725497934235E-2</v>
      </c>
      <c r="I431" s="113">
        <v>2.5183736745115457E-2</v>
      </c>
      <c r="J431" s="13"/>
      <c r="K431" s="113"/>
      <c r="L431" s="113">
        <v>2.722254131274248E-6</v>
      </c>
      <c r="M431" s="113"/>
      <c r="N431" s="113">
        <v>2.5181014490984182E-2</v>
      </c>
      <c r="O431" s="113">
        <v>1.2753941508101227E-2</v>
      </c>
      <c r="P431" s="113">
        <v>1.2427072982882955E-2</v>
      </c>
      <c r="Q431" s="113">
        <v>0</v>
      </c>
    </row>
    <row r="432" spans="1:17" x14ac:dyDescent="0.25">
      <c r="A432" s="104">
        <v>16</v>
      </c>
      <c r="B432" s="193" t="s">
        <v>39</v>
      </c>
      <c r="C432" s="197" t="s">
        <v>1850</v>
      </c>
      <c r="D432" s="113">
        <v>1</v>
      </c>
      <c r="E432" s="13"/>
      <c r="F432" s="113">
        <v>0.9370275402490954</v>
      </c>
      <c r="G432" s="113"/>
      <c r="H432" s="113">
        <v>4.2827654513430367E-2</v>
      </c>
      <c r="I432" s="113">
        <v>2.0144805237474261E-2</v>
      </c>
      <c r="J432" s="13"/>
      <c r="K432" s="113"/>
      <c r="L432" s="113">
        <v>3.0016940411848834E-6</v>
      </c>
      <c r="M432" s="113"/>
      <c r="N432" s="113">
        <v>2.0141803543433076E-2</v>
      </c>
      <c r="O432" s="113">
        <v>1.0215359848658786E-2</v>
      </c>
      <c r="P432" s="113">
        <v>9.926443694774292E-3</v>
      </c>
      <c r="Q432" s="113">
        <v>0</v>
      </c>
    </row>
    <row r="433" spans="1:17" x14ac:dyDescent="0.25">
      <c r="A433" s="104">
        <v>17</v>
      </c>
      <c r="B433" s="193" t="s">
        <v>40</v>
      </c>
      <c r="C433" s="197" t="s">
        <v>1851</v>
      </c>
      <c r="D433" s="113">
        <v>1</v>
      </c>
      <c r="E433" s="13"/>
      <c r="F433" s="113">
        <v>0.93758639334427918</v>
      </c>
      <c r="G433" s="113"/>
      <c r="H433" s="113">
        <v>4.2204636173819997E-2</v>
      </c>
      <c r="I433" s="113">
        <v>2.0208970481900818E-2</v>
      </c>
      <c r="J433" s="13"/>
      <c r="K433" s="113"/>
      <c r="L433" s="113">
        <v>3.1714922459272975E-6</v>
      </c>
      <c r="M433" s="113"/>
      <c r="N433" s="113">
        <v>2.020579898965489E-2</v>
      </c>
      <c r="O433" s="113">
        <v>1.0245606636399167E-2</v>
      </c>
      <c r="P433" s="113">
        <v>9.9601923532557229E-3</v>
      </c>
      <c r="Q433" s="113">
        <v>0</v>
      </c>
    </row>
    <row r="434" spans="1:17" x14ac:dyDescent="0.25">
      <c r="A434" s="104">
        <v>18</v>
      </c>
      <c r="B434" s="193" t="s">
        <v>41</v>
      </c>
      <c r="C434" s="197" t="s">
        <v>1852</v>
      </c>
      <c r="D434" s="113">
        <v>1</v>
      </c>
      <c r="E434" s="13"/>
      <c r="F434" s="113">
        <v>0.94098748733512572</v>
      </c>
      <c r="G434" s="113"/>
      <c r="H434" s="113">
        <v>3.8410575486746312E-2</v>
      </c>
      <c r="I434" s="113">
        <v>2.0601937178127985E-2</v>
      </c>
      <c r="J434" s="13"/>
      <c r="K434" s="113"/>
      <c r="L434" s="113">
        <v>4.2053579558951627E-6</v>
      </c>
      <c r="M434" s="113"/>
      <c r="N434" s="113">
        <v>2.0597731820172091E-2</v>
      </c>
      <c r="O434" s="113">
        <v>1.0430927871492074E-2</v>
      </c>
      <c r="P434" s="113">
        <v>1.0166803948680017E-2</v>
      </c>
      <c r="Q434" s="113">
        <v>0</v>
      </c>
    </row>
    <row r="435" spans="1:17" x14ac:dyDescent="0.25">
      <c r="A435" s="104">
        <v>19</v>
      </c>
      <c r="B435" s="193" t="s">
        <v>42</v>
      </c>
      <c r="C435" s="197" t="s">
        <v>1853</v>
      </c>
      <c r="D435" s="113">
        <v>1.0000000000000002</v>
      </c>
      <c r="E435" s="13"/>
      <c r="F435" s="113">
        <v>0.91165109277845602</v>
      </c>
      <c r="G435" s="113"/>
      <c r="H435" s="113">
        <v>5.9593968669697975E-2</v>
      </c>
      <c r="I435" s="113">
        <v>2.8754938551846087E-2</v>
      </c>
      <c r="J435" s="13"/>
      <c r="K435" s="113"/>
      <c r="L435" s="113">
        <v>2.265694603616043E-6</v>
      </c>
      <c r="M435" s="113"/>
      <c r="N435" s="113">
        <v>2.8752672857242471E-2</v>
      </c>
      <c r="O435" s="113">
        <v>1.4582552114269754E-2</v>
      </c>
      <c r="P435" s="113">
        <v>1.4170120742972718E-2</v>
      </c>
      <c r="Q435" s="113">
        <v>0</v>
      </c>
    </row>
    <row r="436" spans="1:17" x14ac:dyDescent="0.25">
      <c r="A436" s="104">
        <v>20</v>
      </c>
      <c r="B436" s="193" t="s">
        <v>1418</v>
      </c>
      <c r="C436" s="194" t="s">
        <v>44</v>
      </c>
      <c r="D436" s="113">
        <v>0</v>
      </c>
      <c r="E436" s="13"/>
      <c r="F436" s="113">
        <v>0</v>
      </c>
      <c r="G436" s="113"/>
      <c r="H436" s="113">
        <v>0</v>
      </c>
      <c r="I436" s="113">
        <v>0</v>
      </c>
      <c r="J436" s="13"/>
      <c r="K436" s="113"/>
      <c r="L436" s="113">
        <v>0</v>
      </c>
      <c r="M436" s="113"/>
      <c r="N436" s="113">
        <v>0</v>
      </c>
      <c r="O436" s="113">
        <v>0</v>
      </c>
      <c r="P436" s="113">
        <v>0</v>
      </c>
      <c r="Q436" s="113">
        <v>0</v>
      </c>
    </row>
    <row r="437" spans="1:17" x14ac:dyDescent="0.25">
      <c r="A437" s="104">
        <v>21</v>
      </c>
      <c r="B437" s="193" t="s">
        <v>1419</v>
      </c>
      <c r="C437" s="194" t="s">
        <v>46</v>
      </c>
      <c r="D437" s="113">
        <v>0</v>
      </c>
      <c r="E437" s="13"/>
      <c r="F437" s="113">
        <v>0</v>
      </c>
      <c r="G437" s="113"/>
      <c r="H437" s="113">
        <v>0</v>
      </c>
      <c r="I437" s="113">
        <v>0</v>
      </c>
      <c r="J437" s="13"/>
      <c r="K437" s="113"/>
      <c r="L437" s="113">
        <v>0</v>
      </c>
      <c r="M437" s="113"/>
      <c r="N437" s="113">
        <v>0</v>
      </c>
      <c r="O437" s="113">
        <v>0</v>
      </c>
      <c r="P437" s="113">
        <v>0</v>
      </c>
      <c r="Q437" s="113">
        <v>0</v>
      </c>
    </row>
    <row r="438" spans="1:17" x14ac:dyDescent="0.25">
      <c r="A438" s="104">
        <v>22</v>
      </c>
      <c r="B438" s="193" t="s">
        <v>1420</v>
      </c>
      <c r="C438" s="194" t="s">
        <v>48</v>
      </c>
      <c r="D438" s="113">
        <v>0</v>
      </c>
      <c r="E438" s="13"/>
      <c r="F438" s="113">
        <v>0</v>
      </c>
      <c r="G438" s="113"/>
      <c r="H438" s="113">
        <v>0</v>
      </c>
      <c r="I438" s="113">
        <v>0</v>
      </c>
      <c r="J438" s="13"/>
      <c r="K438" s="113"/>
      <c r="L438" s="113">
        <v>0</v>
      </c>
      <c r="M438" s="113"/>
      <c r="N438" s="113">
        <v>0</v>
      </c>
      <c r="O438" s="113">
        <v>0</v>
      </c>
      <c r="P438" s="113">
        <v>0</v>
      </c>
      <c r="Q438" s="113">
        <v>0</v>
      </c>
    </row>
    <row r="439" spans="1:17" x14ac:dyDescent="0.25">
      <c r="A439" s="104">
        <v>23</v>
      </c>
      <c r="B439" s="193" t="s">
        <v>1421</v>
      </c>
      <c r="C439" s="194" t="s">
        <v>50</v>
      </c>
      <c r="D439" s="113">
        <v>0</v>
      </c>
      <c r="E439" s="13"/>
      <c r="F439" s="113">
        <v>0</v>
      </c>
      <c r="G439" s="113"/>
      <c r="H439" s="113">
        <v>0</v>
      </c>
      <c r="I439" s="113">
        <v>0</v>
      </c>
      <c r="J439" s="13"/>
      <c r="K439" s="113"/>
      <c r="L439" s="113">
        <v>0</v>
      </c>
      <c r="M439" s="113"/>
      <c r="N439" s="113">
        <v>0</v>
      </c>
      <c r="O439" s="113">
        <v>0</v>
      </c>
      <c r="P439" s="113">
        <v>0</v>
      </c>
      <c r="Q439" s="113">
        <v>0</v>
      </c>
    </row>
    <row r="440" spans="1:17" x14ac:dyDescent="0.25">
      <c r="A440" s="104">
        <v>24</v>
      </c>
      <c r="B440" s="193" t="s">
        <v>1422</v>
      </c>
      <c r="C440" s="194" t="s">
        <v>52</v>
      </c>
      <c r="D440" s="113">
        <v>0</v>
      </c>
      <c r="E440" s="13"/>
      <c r="F440" s="113">
        <v>0</v>
      </c>
      <c r="G440" s="113"/>
      <c r="H440" s="113">
        <v>0</v>
      </c>
      <c r="I440" s="113">
        <v>0</v>
      </c>
      <c r="J440" s="13"/>
      <c r="K440" s="113"/>
      <c r="L440" s="113">
        <v>0</v>
      </c>
      <c r="M440" s="113"/>
      <c r="N440" s="113">
        <v>0</v>
      </c>
      <c r="O440" s="113">
        <v>0</v>
      </c>
      <c r="P440" s="113">
        <v>0</v>
      </c>
      <c r="Q440" s="113">
        <v>0</v>
      </c>
    </row>
    <row r="441" spans="1:17" x14ac:dyDescent="0.25">
      <c r="A441" s="104">
        <v>25</v>
      </c>
      <c r="B441" s="193" t="s">
        <v>1423</v>
      </c>
      <c r="C441" s="194" t="s">
        <v>494</v>
      </c>
      <c r="D441" s="113">
        <v>0</v>
      </c>
      <c r="E441" s="13"/>
      <c r="F441" s="113">
        <v>0</v>
      </c>
      <c r="G441" s="113"/>
      <c r="H441" s="113">
        <v>0</v>
      </c>
      <c r="I441" s="113">
        <v>0</v>
      </c>
      <c r="J441" s="13"/>
      <c r="K441" s="113"/>
      <c r="L441" s="113">
        <v>0</v>
      </c>
      <c r="M441" s="113"/>
      <c r="N441" s="113">
        <v>0</v>
      </c>
      <c r="O441" s="113">
        <v>0</v>
      </c>
      <c r="P441" s="113">
        <v>0</v>
      </c>
      <c r="Q441" s="113">
        <v>0</v>
      </c>
    </row>
    <row r="442" spans="1:17" x14ac:dyDescent="0.25">
      <c r="A442" s="104">
        <v>26</v>
      </c>
      <c r="B442" s="193" t="s">
        <v>495</v>
      </c>
      <c r="C442" s="197" t="s">
        <v>1854</v>
      </c>
      <c r="D442" s="113">
        <v>1.0000000000000002</v>
      </c>
      <c r="E442" s="13"/>
      <c r="F442" s="113">
        <v>0.905770863043873</v>
      </c>
      <c r="G442" s="113"/>
      <c r="H442" s="113">
        <v>9.4226236821089077E-2</v>
      </c>
      <c r="I442" s="113">
        <v>2.9001350380139979E-6</v>
      </c>
      <c r="J442" s="13"/>
      <c r="K442" s="113"/>
      <c r="L442" s="113">
        <v>2.9001350380139979E-6</v>
      </c>
      <c r="M442" s="113"/>
      <c r="N442" s="113">
        <v>0</v>
      </c>
      <c r="O442" s="113">
        <v>0</v>
      </c>
      <c r="P442" s="113">
        <v>0</v>
      </c>
      <c r="Q442" s="113">
        <v>0</v>
      </c>
    </row>
    <row r="443" spans="1:17" x14ac:dyDescent="0.25">
      <c r="A443" s="104">
        <v>27</v>
      </c>
      <c r="B443" s="193" t="s">
        <v>496</v>
      </c>
      <c r="C443" s="197" t="s">
        <v>1855</v>
      </c>
      <c r="D443" s="113">
        <v>0.99999999999999989</v>
      </c>
      <c r="E443" s="13"/>
      <c r="F443" s="113">
        <v>0.90608149546282879</v>
      </c>
      <c r="G443" s="113"/>
      <c r="H443" s="113">
        <v>9.3915613962615052E-2</v>
      </c>
      <c r="I443" s="113">
        <v>2.8905745560732928E-6</v>
      </c>
      <c r="J443" s="13"/>
      <c r="K443" s="113"/>
      <c r="L443" s="113">
        <v>2.8905745560732928E-6</v>
      </c>
      <c r="M443" s="113"/>
      <c r="N443" s="113">
        <v>0</v>
      </c>
      <c r="O443" s="113">
        <v>0</v>
      </c>
      <c r="P443" s="113">
        <v>0</v>
      </c>
      <c r="Q443" s="113">
        <v>0</v>
      </c>
    </row>
    <row r="444" spans="1:17" x14ac:dyDescent="0.25">
      <c r="A444" s="104">
        <v>28</v>
      </c>
      <c r="B444" s="193" t="s">
        <v>497</v>
      </c>
      <c r="C444" s="194" t="s">
        <v>498</v>
      </c>
      <c r="D444" s="113">
        <v>1</v>
      </c>
      <c r="E444" s="13"/>
      <c r="F444" s="113">
        <v>0.90577086304387289</v>
      </c>
      <c r="G444" s="113"/>
      <c r="H444" s="113">
        <v>9.4226236821089077E-2</v>
      </c>
      <c r="I444" s="113">
        <v>2.9001350380139979E-6</v>
      </c>
      <c r="J444" s="13"/>
      <c r="K444" s="113"/>
      <c r="L444" s="113">
        <v>2.9001350380139979E-6</v>
      </c>
      <c r="M444" s="113"/>
      <c r="N444" s="113">
        <v>0</v>
      </c>
      <c r="O444" s="113">
        <v>0</v>
      </c>
      <c r="P444" s="113">
        <v>0</v>
      </c>
      <c r="Q444" s="113">
        <v>0</v>
      </c>
    </row>
    <row r="445" spans="1:17" x14ac:dyDescent="0.25">
      <c r="A445" s="104">
        <v>29</v>
      </c>
      <c r="B445" s="193" t="s">
        <v>499</v>
      </c>
      <c r="C445" s="194" t="s">
        <v>500</v>
      </c>
      <c r="D445" s="113">
        <v>0</v>
      </c>
      <c r="E445" s="13"/>
      <c r="F445" s="113">
        <v>0</v>
      </c>
      <c r="G445" s="113"/>
      <c r="H445" s="113">
        <v>0</v>
      </c>
      <c r="I445" s="113">
        <v>0</v>
      </c>
      <c r="J445" s="13"/>
      <c r="K445" s="113"/>
      <c r="L445" s="113">
        <v>0</v>
      </c>
      <c r="M445" s="113"/>
      <c r="N445" s="113">
        <v>0</v>
      </c>
      <c r="O445" s="113">
        <v>0</v>
      </c>
      <c r="P445" s="113">
        <v>0</v>
      </c>
      <c r="Q445" s="113">
        <v>0</v>
      </c>
    </row>
    <row r="446" spans="1:17" x14ac:dyDescent="0.25">
      <c r="A446" s="104">
        <v>30</v>
      </c>
      <c r="B446" s="193" t="s">
        <v>501</v>
      </c>
      <c r="C446" s="197" t="s">
        <v>1856</v>
      </c>
      <c r="D446" s="113">
        <v>1</v>
      </c>
      <c r="E446" s="13"/>
      <c r="F446" s="113">
        <v>0.94647022099099021</v>
      </c>
      <c r="G446" s="113"/>
      <c r="H446" s="113">
        <v>5.1380427017536291E-2</v>
      </c>
      <c r="I446" s="113">
        <v>2.1493519914734509E-3</v>
      </c>
      <c r="J446" s="13"/>
      <c r="K446" s="113"/>
      <c r="L446" s="113">
        <v>3.1341838879544678E-4</v>
      </c>
      <c r="M446" s="113"/>
      <c r="N446" s="113">
        <v>1.8359336026780044E-3</v>
      </c>
      <c r="O446" s="113">
        <v>1.7148288357051536E-3</v>
      </c>
      <c r="P446" s="113">
        <v>1.2110476697285079E-4</v>
      </c>
      <c r="Q446" s="113">
        <v>0</v>
      </c>
    </row>
    <row r="447" spans="1:17" x14ac:dyDescent="0.25">
      <c r="A447" s="104">
        <v>31</v>
      </c>
      <c r="B447" s="193" t="s">
        <v>509</v>
      </c>
      <c r="C447" s="197" t="s">
        <v>1857</v>
      </c>
      <c r="D447" s="113">
        <v>1</v>
      </c>
      <c r="E447" s="13"/>
      <c r="F447" s="113">
        <v>0.9406762052542389</v>
      </c>
      <c r="G447" s="113"/>
      <c r="H447" s="113">
        <v>5.8699263745593644E-2</v>
      </c>
      <c r="I447" s="113">
        <v>6.2453100016745167E-4</v>
      </c>
      <c r="J447" s="13"/>
      <c r="K447" s="113"/>
      <c r="L447" s="113">
        <v>1.6158331523374549E-4</v>
      </c>
      <c r="M447" s="113"/>
      <c r="N447" s="113">
        <v>4.6294768493370617E-4</v>
      </c>
      <c r="O447" s="113">
        <v>4.6281434872881306E-4</v>
      </c>
      <c r="P447" s="113">
        <v>1.3333620489310622E-7</v>
      </c>
      <c r="Q447" s="113">
        <v>0</v>
      </c>
    </row>
    <row r="448" spans="1:17" x14ac:dyDescent="0.25">
      <c r="A448" s="104">
        <v>32</v>
      </c>
      <c r="B448" s="193" t="s">
        <v>510</v>
      </c>
      <c r="C448" s="194" t="s">
        <v>511</v>
      </c>
      <c r="D448" s="113">
        <v>0.99999999999999989</v>
      </c>
      <c r="E448" s="13"/>
      <c r="F448" s="113">
        <v>0.94888382749771294</v>
      </c>
      <c r="G448" s="113"/>
      <c r="H448" s="113">
        <v>4.8987181715533103E-2</v>
      </c>
      <c r="I448" s="113">
        <v>2.1289907867539275E-3</v>
      </c>
      <c r="J448" s="13"/>
      <c r="K448" s="113"/>
      <c r="L448" s="113">
        <v>3.2763271430625044E-4</v>
      </c>
      <c r="M448" s="113"/>
      <c r="N448" s="113">
        <v>1.8013580724476768E-3</v>
      </c>
      <c r="O448" s="113">
        <v>1.7881600929441175E-3</v>
      </c>
      <c r="P448" s="113">
        <v>1.319797950355939E-5</v>
      </c>
      <c r="Q448" s="113">
        <v>0</v>
      </c>
    </row>
    <row r="449" spans="1:17" x14ac:dyDescent="0.25">
      <c r="A449" s="104">
        <v>33</v>
      </c>
      <c r="B449" s="193" t="s">
        <v>512</v>
      </c>
      <c r="C449" s="194" t="s">
        <v>513</v>
      </c>
      <c r="D449" s="113">
        <v>0</v>
      </c>
      <c r="E449" s="13"/>
      <c r="F449" s="113">
        <v>0</v>
      </c>
      <c r="G449" s="113"/>
      <c r="H449" s="113">
        <v>0</v>
      </c>
      <c r="I449" s="113">
        <v>0</v>
      </c>
      <c r="J449" s="13"/>
      <c r="K449" s="113"/>
      <c r="L449" s="113">
        <v>0</v>
      </c>
      <c r="M449" s="113"/>
      <c r="N449" s="113">
        <v>0</v>
      </c>
      <c r="O449" s="113">
        <v>0</v>
      </c>
      <c r="P449" s="113">
        <v>0</v>
      </c>
      <c r="Q449" s="113">
        <v>0</v>
      </c>
    </row>
    <row r="450" spans="1:17" x14ac:dyDescent="0.25">
      <c r="A450" s="104">
        <v>34</v>
      </c>
      <c r="B450" s="193" t="s">
        <v>514</v>
      </c>
      <c r="C450" s="197" t="s">
        <v>1858</v>
      </c>
      <c r="D450" s="113">
        <v>1</v>
      </c>
      <c r="E450" s="13"/>
      <c r="F450" s="113">
        <v>0.95003195393362805</v>
      </c>
      <c r="G450" s="113"/>
      <c r="H450" s="113">
        <v>4.9682107773700267E-2</v>
      </c>
      <c r="I450" s="113">
        <v>2.8593829267167825E-4</v>
      </c>
      <c r="J450" s="13"/>
      <c r="K450" s="113"/>
      <c r="L450" s="113">
        <v>6.5884399233105591E-6</v>
      </c>
      <c r="M450" s="113"/>
      <c r="N450" s="113">
        <v>2.7934985274836771E-4</v>
      </c>
      <c r="O450" s="113">
        <v>1.1200347869627951E-4</v>
      </c>
      <c r="P450" s="113">
        <v>1.6734637405208821E-4</v>
      </c>
      <c r="Q450" s="113">
        <v>0</v>
      </c>
    </row>
    <row r="451" spans="1:17" x14ac:dyDescent="0.25">
      <c r="A451" s="104">
        <v>35</v>
      </c>
      <c r="B451" s="193" t="s">
        <v>515</v>
      </c>
      <c r="C451" s="194" t="s">
        <v>516</v>
      </c>
      <c r="D451" s="113">
        <v>1</v>
      </c>
      <c r="E451" s="13"/>
      <c r="F451" s="113">
        <v>0.95003195393362805</v>
      </c>
      <c r="G451" s="113"/>
      <c r="H451" s="113">
        <v>4.9682107773700267E-2</v>
      </c>
      <c r="I451" s="113">
        <v>2.8593829267167825E-4</v>
      </c>
      <c r="J451" s="13"/>
      <c r="K451" s="113"/>
      <c r="L451" s="113">
        <v>6.5884399233105591E-6</v>
      </c>
      <c r="M451" s="113"/>
      <c r="N451" s="113">
        <v>2.7934985274836771E-4</v>
      </c>
      <c r="O451" s="113">
        <v>1.1200347869627951E-4</v>
      </c>
      <c r="P451" s="113">
        <v>1.6734637405208823E-4</v>
      </c>
      <c r="Q451" s="113">
        <v>0</v>
      </c>
    </row>
    <row r="452" spans="1:17" x14ac:dyDescent="0.25">
      <c r="A452" s="104">
        <v>36</v>
      </c>
      <c r="B452" s="193" t="s">
        <v>1424</v>
      </c>
      <c r="C452" s="197" t="s">
        <v>1859</v>
      </c>
      <c r="D452" s="113">
        <v>0.99999999999999989</v>
      </c>
      <c r="E452" s="13"/>
      <c r="F452" s="113">
        <v>0.98727798895375041</v>
      </c>
      <c r="G452" s="113"/>
      <c r="H452" s="113">
        <v>1.2720654079985606E-2</v>
      </c>
      <c r="I452" s="113">
        <v>1.3569662639105649E-6</v>
      </c>
      <c r="J452" s="13"/>
      <c r="K452" s="113"/>
      <c r="L452" s="113">
        <v>1.3569662639105649E-6</v>
      </c>
      <c r="M452" s="113"/>
      <c r="N452" s="113">
        <v>0</v>
      </c>
      <c r="O452" s="113">
        <v>0</v>
      </c>
      <c r="P452" s="113">
        <v>0</v>
      </c>
      <c r="Q452" s="113">
        <v>0</v>
      </c>
    </row>
    <row r="453" spans="1:17" x14ac:dyDescent="0.25">
      <c r="A453" s="104">
        <v>37</v>
      </c>
      <c r="B453" s="193" t="s">
        <v>518</v>
      </c>
      <c r="C453" s="194" t="s">
        <v>519</v>
      </c>
      <c r="D453" s="113">
        <v>1</v>
      </c>
      <c r="E453" s="13"/>
      <c r="F453" s="113">
        <v>0.95003195393362805</v>
      </c>
      <c r="G453" s="113"/>
      <c r="H453" s="113">
        <v>4.9682107773700267E-2</v>
      </c>
      <c r="I453" s="113">
        <v>2.8593829267167825E-4</v>
      </c>
      <c r="J453" s="13"/>
      <c r="K453" s="113"/>
      <c r="L453" s="113">
        <v>6.5884399233105591E-6</v>
      </c>
      <c r="M453" s="113"/>
      <c r="N453" s="113">
        <v>2.7934985274836771E-4</v>
      </c>
      <c r="O453" s="113">
        <v>1.1200347869627951E-4</v>
      </c>
      <c r="P453" s="113">
        <v>1.6734637405208823E-4</v>
      </c>
      <c r="Q453" s="113">
        <v>0</v>
      </c>
    </row>
    <row r="454" spans="1:17" x14ac:dyDescent="0.25">
      <c r="A454" s="104">
        <v>38</v>
      </c>
      <c r="B454" s="193" t="s">
        <v>520</v>
      </c>
      <c r="C454" s="197" t="s">
        <v>1860</v>
      </c>
      <c r="D454" s="113">
        <v>1</v>
      </c>
      <c r="E454" s="13"/>
      <c r="F454" s="113">
        <v>0.94892097697757327</v>
      </c>
      <c r="G454" s="113"/>
      <c r="H454" s="113">
        <v>5.1073574787019391E-2</v>
      </c>
      <c r="I454" s="113">
        <v>5.4482354073554802E-6</v>
      </c>
      <c r="J454" s="13"/>
      <c r="K454" s="113"/>
      <c r="L454" s="113">
        <v>5.4482354073554802E-6</v>
      </c>
      <c r="M454" s="113"/>
      <c r="N454" s="113">
        <v>0</v>
      </c>
      <c r="O454" s="113">
        <v>0</v>
      </c>
      <c r="P454" s="113">
        <v>0</v>
      </c>
      <c r="Q454" s="113">
        <v>0</v>
      </c>
    </row>
    <row r="455" spans="1:17" x14ac:dyDescent="0.25">
      <c r="A455" s="104">
        <v>39</v>
      </c>
      <c r="B455" s="193" t="s">
        <v>521</v>
      </c>
      <c r="C455" s="194" t="s">
        <v>522</v>
      </c>
      <c r="D455" s="113">
        <v>1</v>
      </c>
      <c r="E455" s="13"/>
      <c r="F455" s="113">
        <v>0.98727798895375052</v>
      </c>
      <c r="G455" s="113"/>
      <c r="H455" s="113">
        <v>1.2720654079985608E-2</v>
      </c>
      <c r="I455" s="113">
        <v>1.3569662639105649E-6</v>
      </c>
      <c r="J455" s="13"/>
      <c r="K455" s="113"/>
      <c r="L455" s="113">
        <v>1.3569662639105649E-6</v>
      </c>
      <c r="M455" s="113"/>
      <c r="N455" s="113">
        <v>0</v>
      </c>
      <c r="O455" s="113">
        <v>0</v>
      </c>
      <c r="P455" s="113">
        <v>0</v>
      </c>
      <c r="Q455" s="113">
        <v>0</v>
      </c>
    </row>
    <row r="456" spans="1:17" x14ac:dyDescent="0.25">
      <c r="A456" s="104">
        <v>40</v>
      </c>
      <c r="B456" s="193" t="s">
        <v>523</v>
      </c>
      <c r="C456" s="194" t="s">
        <v>524</v>
      </c>
      <c r="D456" s="113">
        <v>1</v>
      </c>
      <c r="E456" s="13"/>
      <c r="F456" s="113">
        <v>0.94015460579740817</v>
      </c>
      <c r="G456" s="113"/>
      <c r="H456" s="113">
        <v>4.7624719185309E-2</v>
      </c>
      <c r="I456" s="113">
        <v>1.222067501728287E-2</v>
      </c>
      <c r="J456" s="13"/>
      <c r="K456" s="113"/>
      <c r="L456" s="113">
        <v>6.824037595493786E-5</v>
      </c>
      <c r="M456" s="113"/>
      <c r="N456" s="113">
        <v>1.2152434641327932E-2</v>
      </c>
      <c r="O456" s="113">
        <v>6.3319475542846877E-3</v>
      </c>
      <c r="P456" s="113">
        <v>5.8204870870432442E-3</v>
      </c>
      <c r="Q456" s="113">
        <v>4.9496560629351418E-20</v>
      </c>
    </row>
    <row r="457" spans="1:17" x14ac:dyDescent="0.25">
      <c r="A457" s="13"/>
      <c r="B457" s="13"/>
      <c r="C457" s="103"/>
      <c r="D457" s="13"/>
      <c r="E457" s="13"/>
      <c r="F457" s="13"/>
      <c r="G457" s="13"/>
      <c r="H457" s="13"/>
      <c r="I457" s="13"/>
      <c r="J457" s="13"/>
      <c r="K457" s="13"/>
      <c r="L457" s="13"/>
      <c r="M457" s="13"/>
      <c r="N457" s="13"/>
      <c r="O457" s="13"/>
      <c r="P457" s="13"/>
      <c r="Q457" s="13"/>
    </row>
    <row r="458" spans="1:17" x14ac:dyDescent="0.25">
      <c r="A458" s="13"/>
      <c r="B458" s="201" t="s">
        <v>836</v>
      </c>
      <c r="C458" s="13"/>
      <c r="D458" s="13"/>
      <c r="E458" s="13"/>
      <c r="F458" s="13"/>
      <c r="G458" s="13"/>
      <c r="H458" s="13"/>
      <c r="I458" s="13"/>
      <c r="J458" s="13"/>
      <c r="K458" s="13"/>
      <c r="L458" s="13"/>
      <c r="M458" s="13"/>
      <c r="N458" s="13"/>
      <c r="O458" s="13"/>
      <c r="P458" s="13"/>
      <c r="Q458" s="13"/>
    </row>
    <row r="459" spans="1:17" x14ac:dyDescent="0.25">
      <c r="A459" s="13"/>
      <c r="B459" s="200" t="s">
        <v>1234</v>
      </c>
      <c r="C459" s="13"/>
      <c r="D459" s="13"/>
      <c r="E459" s="13"/>
      <c r="F459" s="13"/>
      <c r="G459" s="13"/>
      <c r="H459" s="13"/>
      <c r="I459" s="13"/>
      <c r="J459" s="13"/>
      <c r="K459" s="13"/>
      <c r="L459" s="13"/>
      <c r="M459" s="13"/>
      <c r="N459" s="13"/>
      <c r="O459" s="13"/>
      <c r="P459" s="13"/>
      <c r="Q459" s="13"/>
    </row>
    <row r="460" spans="1:17" x14ac:dyDescent="0.25">
      <c r="A460" s="104">
        <v>1</v>
      </c>
      <c r="B460" s="193" t="s">
        <v>525</v>
      </c>
      <c r="C460" s="194" t="s">
        <v>526</v>
      </c>
      <c r="D460" s="113">
        <v>0.99999999999999989</v>
      </c>
      <c r="E460" s="13"/>
      <c r="F460" s="113">
        <v>0.94234636829119844</v>
      </c>
      <c r="G460" s="113"/>
      <c r="H460" s="113">
        <v>4.6018286710491067E-2</v>
      </c>
      <c r="I460" s="113">
        <v>1.1635344998310405E-2</v>
      </c>
      <c r="J460" s="13"/>
      <c r="K460" s="113"/>
      <c r="L460" s="113">
        <v>6.7191831434167419E-5</v>
      </c>
      <c r="M460" s="113"/>
      <c r="N460" s="113">
        <v>1.1568153166876236E-2</v>
      </c>
      <c r="O460" s="113">
        <v>6.0297129719647184E-3</v>
      </c>
      <c r="P460" s="113">
        <v>5.5384401949115187E-3</v>
      </c>
      <c r="Q460" s="113">
        <v>5.1781982729476976E-20</v>
      </c>
    </row>
    <row r="461" spans="1:17" x14ac:dyDescent="0.25">
      <c r="A461" s="104">
        <v>2</v>
      </c>
      <c r="B461" s="193" t="s">
        <v>527</v>
      </c>
      <c r="C461" s="194" t="s">
        <v>528</v>
      </c>
      <c r="D461" s="113">
        <v>1</v>
      </c>
      <c r="E461" s="13"/>
      <c r="F461" s="113">
        <v>0.99051360669709199</v>
      </c>
      <c r="G461" s="113"/>
      <c r="H461" s="113">
        <v>9.4853814569324166E-3</v>
      </c>
      <c r="I461" s="113">
        <v>1.0118459755643872E-6</v>
      </c>
      <c r="J461" s="13"/>
      <c r="K461" s="113"/>
      <c r="L461" s="113">
        <v>1.0118459755643872E-6</v>
      </c>
      <c r="M461" s="113"/>
      <c r="N461" s="113">
        <v>0</v>
      </c>
      <c r="O461" s="113">
        <v>0</v>
      </c>
      <c r="P461" s="113">
        <v>0</v>
      </c>
      <c r="Q461" s="113">
        <v>0</v>
      </c>
    </row>
    <row r="462" spans="1:17" x14ac:dyDescent="0.25">
      <c r="A462" s="104">
        <v>3</v>
      </c>
      <c r="B462" s="193" t="s">
        <v>903</v>
      </c>
      <c r="C462" s="194" t="s">
        <v>904</v>
      </c>
      <c r="D462" s="113">
        <v>0.99999999999999989</v>
      </c>
      <c r="E462" s="13"/>
      <c r="F462" s="113">
        <v>0.99776134375286918</v>
      </c>
      <c r="G462" s="113"/>
      <c r="H462" s="113">
        <v>0</v>
      </c>
      <c r="I462" s="113">
        <v>2.2386562471307337E-3</v>
      </c>
      <c r="J462" s="13"/>
      <c r="K462" s="113"/>
      <c r="L462" s="113">
        <v>3.4450925161794084E-4</v>
      </c>
      <c r="M462" s="113"/>
      <c r="N462" s="113">
        <v>1.8941469955127931E-3</v>
      </c>
      <c r="O462" s="113">
        <v>1.8802691809872568E-3</v>
      </c>
      <c r="P462" s="113">
        <v>1.3877814525536301E-5</v>
      </c>
      <c r="Q462" s="113">
        <v>0</v>
      </c>
    </row>
    <row r="463" spans="1:17" x14ac:dyDescent="0.25">
      <c r="A463" s="104">
        <v>4</v>
      </c>
      <c r="B463" s="193" t="s">
        <v>905</v>
      </c>
      <c r="C463" s="194" t="s">
        <v>906</v>
      </c>
      <c r="D463" s="113">
        <v>1</v>
      </c>
      <c r="E463" s="13"/>
      <c r="F463" s="113">
        <v>1</v>
      </c>
      <c r="G463" s="113"/>
      <c r="H463" s="113">
        <v>0</v>
      </c>
      <c r="I463" s="113">
        <v>0</v>
      </c>
      <c r="J463" s="13"/>
      <c r="K463" s="113"/>
      <c r="L463" s="113">
        <v>0</v>
      </c>
      <c r="M463" s="113"/>
      <c r="N463" s="113">
        <v>0</v>
      </c>
      <c r="O463" s="113">
        <v>0</v>
      </c>
      <c r="P463" s="113">
        <v>0</v>
      </c>
      <c r="Q463" s="113">
        <v>0</v>
      </c>
    </row>
    <row r="464" spans="1:17" x14ac:dyDescent="0.25">
      <c r="A464" s="104">
        <v>5</v>
      </c>
      <c r="B464" s="193" t="s">
        <v>907</v>
      </c>
      <c r="C464" s="194" t="s">
        <v>908</v>
      </c>
      <c r="D464" s="113">
        <v>1</v>
      </c>
      <c r="E464" s="13"/>
      <c r="F464" s="113">
        <v>0</v>
      </c>
      <c r="G464" s="113"/>
      <c r="H464" s="113">
        <v>1</v>
      </c>
      <c r="I464" s="113">
        <v>0</v>
      </c>
      <c r="J464" s="13"/>
      <c r="K464" s="113"/>
      <c r="L464" s="113">
        <v>0</v>
      </c>
      <c r="M464" s="113"/>
      <c r="N464" s="113">
        <v>0</v>
      </c>
      <c r="O464" s="113">
        <v>0</v>
      </c>
      <c r="P464" s="113">
        <v>0</v>
      </c>
      <c r="Q464" s="113">
        <v>0</v>
      </c>
    </row>
    <row r="465" spans="1:17" x14ac:dyDescent="0.25">
      <c r="A465" s="104">
        <v>6</v>
      </c>
      <c r="B465" s="193" t="s">
        <v>909</v>
      </c>
      <c r="C465" s="194" t="s">
        <v>910</v>
      </c>
      <c r="D465" s="113">
        <v>0</v>
      </c>
      <c r="E465" s="13"/>
      <c r="F465" s="113">
        <v>0</v>
      </c>
      <c r="G465" s="113"/>
      <c r="H465" s="113">
        <v>0</v>
      </c>
      <c r="I465" s="113">
        <v>0</v>
      </c>
      <c r="J465" s="13"/>
      <c r="K465" s="113"/>
      <c r="L465" s="113">
        <v>0</v>
      </c>
      <c r="M465" s="113"/>
      <c r="N465" s="113">
        <v>0</v>
      </c>
      <c r="O465" s="113">
        <v>0</v>
      </c>
      <c r="P465" s="113">
        <v>0</v>
      </c>
      <c r="Q465" s="113">
        <v>0</v>
      </c>
    </row>
    <row r="466" spans="1:17" x14ac:dyDescent="0.25">
      <c r="A466" s="104">
        <v>7</v>
      </c>
      <c r="B466" s="193" t="s">
        <v>911</v>
      </c>
      <c r="C466" s="194" t="s">
        <v>53</v>
      </c>
      <c r="D466" s="113">
        <v>1</v>
      </c>
      <c r="E466" s="13"/>
      <c r="F466" s="113">
        <v>0</v>
      </c>
      <c r="G466" s="113"/>
      <c r="H466" s="113">
        <v>0</v>
      </c>
      <c r="I466" s="113">
        <v>1</v>
      </c>
      <c r="J466" s="13"/>
      <c r="K466" s="113"/>
      <c r="L466" s="113">
        <v>0</v>
      </c>
      <c r="M466" s="113"/>
      <c r="N466" s="113">
        <v>1</v>
      </c>
      <c r="O466" s="113">
        <v>0.52170146811482121</v>
      </c>
      <c r="P466" s="113">
        <v>0.47829853188517879</v>
      </c>
      <c r="Q466" s="113">
        <v>0</v>
      </c>
    </row>
    <row r="467" spans="1:17" x14ac:dyDescent="0.25">
      <c r="A467" s="104">
        <v>8</v>
      </c>
      <c r="B467" s="196" t="s">
        <v>2023</v>
      </c>
      <c r="C467" s="194" t="s">
        <v>2024</v>
      </c>
      <c r="D467" s="113">
        <v>1</v>
      </c>
      <c r="E467" s="13"/>
      <c r="F467" s="113">
        <v>0.98468781745721656</v>
      </c>
      <c r="G467" s="113"/>
      <c r="H467" s="113">
        <v>0</v>
      </c>
      <c r="I467" s="113">
        <v>1.5312182542783465E-2</v>
      </c>
      <c r="J467" s="13"/>
      <c r="K467" s="113"/>
      <c r="L467" s="113">
        <v>7.4236149097444716E-5</v>
      </c>
      <c r="M467" s="113"/>
      <c r="N467" s="113">
        <v>1.523794639368602E-2</v>
      </c>
      <c r="O467" s="113">
        <v>7.9198249589747596E-3</v>
      </c>
      <c r="P467" s="113">
        <v>7.3181214347112604E-3</v>
      </c>
      <c r="Q467" s="113">
        <v>0</v>
      </c>
    </row>
    <row r="468" spans="1:17" x14ac:dyDescent="0.25">
      <c r="A468" s="104">
        <v>9</v>
      </c>
      <c r="B468" s="193" t="s">
        <v>2025</v>
      </c>
      <c r="C468" s="194" t="s">
        <v>2026</v>
      </c>
      <c r="D468" s="113">
        <v>0.99999999999999989</v>
      </c>
      <c r="E468" s="13"/>
      <c r="F468" s="113">
        <v>0.95203513071213586</v>
      </c>
      <c r="G468" s="113"/>
      <c r="H468" s="113">
        <v>4.7894937337195E-2</v>
      </c>
      <c r="I468" s="113">
        <v>6.993195066901865E-5</v>
      </c>
      <c r="J468" s="13"/>
      <c r="K468" s="113"/>
      <c r="L468" s="113">
        <v>6.993195066901865E-5</v>
      </c>
      <c r="M468" s="113"/>
      <c r="N468" s="113">
        <v>0</v>
      </c>
      <c r="O468" s="113">
        <v>0</v>
      </c>
      <c r="P468" s="113">
        <v>0</v>
      </c>
      <c r="Q468" s="113">
        <v>0</v>
      </c>
    </row>
    <row r="469" spans="1:17" x14ac:dyDescent="0.25">
      <c r="A469" s="104">
        <v>10</v>
      </c>
      <c r="B469" s="193" t="s">
        <v>2027</v>
      </c>
      <c r="C469" s="194" t="s">
        <v>2028</v>
      </c>
      <c r="D469" s="113">
        <v>1</v>
      </c>
      <c r="E469" s="13"/>
      <c r="F469" s="113">
        <v>0.95550049685621619</v>
      </c>
      <c r="G469" s="113"/>
      <c r="H469" s="113">
        <v>4.4496443843822737E-2</v>
      </c>
      <c r="I469" s="113">
        <v>3.05929996105795E-6</v>
      </c>
      <c r="J469" s="13"/>
      <c r="K469" s="113"/>
      <c r="L469" s="113">
        <v>3.05929996105795E-6</v>
      </c>
      <c r="M469" s="113"/>
      <c r="N469" s="113">
        <v>0</v>
      </c>
      <c r="O469" s="113">
        <v>0</v>
      </c>
      <c r="P469" s="113">
        <v>0</v>
      </c>
      <c r="Q469" s="113">
        <v>0</v>
      </c>
    </row>
    <row r="470" spans="1:17" x14ac:dyDescent="0.25">
      <c r="A470" s="104">
        <v>11</v>
      </c>
      <c r="B470" s="13"/>
      <c r="C470" s="13"/>
      <c r="D470" s="13"/>
      <c r="E470" s="13"/>
      <c r="F470" s="13"/>
      <c r="G470" s="13"/>
      <c r="H470" s="13"/>
      <c r="I470" s="13"/>
      <c r="J470" s="13"/>
      <c r="K470" s="13"/>
      <c r="L470" s="13"/>
      <c r="M470" s="13"/>
      <c r="N470" s="13"/>
      <c r="O470" s="13"/>
      <c r="P470" s="13"/>
      <c r="Q470" s="13"/>
    </row>
    <row r="471" spans="1:17" x14ac:dyDescent="0.25">
      <c r="A471" s="104">
        <v>12</v>
      </c>
      <c r="B471" s="13"/>
      <c r="C471" s="13"/>
      <c r="D471" s="13"/>
      <c r="E471" s="13"/>
      <c r="F471" s="13"/>
      <c r="G471" s="13"/>
      <c r="H471" s="13"/>
      <c r="I471" s="13"/>
      <c r="J471" s="13"/>
      <c r="K471" s="13"/>
      <c r="L471" s="13"/>
      <c r="M471" s="13"/>
      <c r="N471" s="13"/>
      <c r="O471" s="13"/>
      <c r="P471" s="13"/>
      <c r="Q471" s="13"/>
    </row>
    <row r="472" spans="1:17" x14ac:dyDescent="0.25">
      <c r="A472" s="104">
        <v>13</v>
      </c>
      <c r="B472" s="13"/>
      <c r="C472" s="13"/>
      <c r="D472" s="13"/>
      <c r="E472" s="13"/>
      <c r="F472" s="13"/>
      <c r="G472" s="13"/>
      <c r="H472" s="13"/>
      <c r="I472" s="13"/>
      <c r="J472" s="13"/>
      <c r="K472" s="13"/>
      <c r="L472" s="13"/>
      <c r="M472" s="13"/>
      <c r="N472" s="13"/>
      <c r="O472" s="13"/>
      <c r="P472" s="13"/>
      <c r="Q472" s="13"/>
    </row>
    <row r="473" spans="1:17" x14ac:dyDescent="0.25">
      <c r="A473" s="104">
        <v>14</v>
      </c>
      <c r="B473" s="13"/>
      <c r="C473" s="13"/>
      <c r="D473" s="13"/>
      <c r="E473" s="13"/>
      <c r="F473" s="13"/>
      <c r="G473" s="13"/>
      <c r="H473" s="13"/>
      <c r="I473" s="13"/>
      <c r="J473" s="13"/>
      <c r="K473" s="13"/>
      <c r="L473" s="13"/>
      <c r="M473" s="13"/>
      <c r="N473" s="13"/>
      <c r="O473" s="13"/>
      <c r="P473" s="13"/>
      <c r="Q473" s="13"/>
    </row>
    <row r="474" spans="1:17" x14ac:dyDescent="0.25">
      <c r="A474" s="104">
        <v>15</v>
      </c>
      <c r="B474" s="13"/>
      <c r="C474" s="13"/>
      <c r="D474" s="13"/>
      <c r="E474" s="13"/>
      <c r="F474" s="13"/>
      <c r="G474" s="13"/>
      <c r="H474" s="13"/>
      <c r="I474" s="13"/>
      <c r="J474" s="13"/>
      <c r="K474" s="13"/>
      <c r="L474" s="13"/>
      <c r="M474" s="13"/>
      <c r="N474" s="13"/>
      <c r="O474" s="13"/>
      <c r="P474" s="13"/>
      <c r="Q474" s="13"/>
    </row>
    <row r="475" spans="1:17" x14ac:dyDescent="0.25">
      <c r="A475" s="104">
        <v>16</v>
      </c>
      <c r="B475" s="13"/>
      <c r="C475" s="13"/>
      <c r="D475" s="13"/>
      <c r="E475" s="13"/>
      <c r="F475" s="13"/>
      <c r="G475" s="13"/>
      <c r="H475" s="13"/>
      <c r="I475" s="13"/>
      <c r="J475" s="13"/>
      <c r="K475" s="13"/>
      <c r="L475" s="13"/>
      <c r="M475" s="13"/>
      <c r="N475" s="13"/>
      <c r="O475" s="13"/>
      <c r="P475" s="13"/>
      <c r="Q475" s="13"/>
    </row>
    <row r="476" spans="1:17" x14ac:dyDescent="0.25">
      <c r="A476" s="104">
        <v>17</v>
      </c>
      <c r="B476" s="13"/>
      <c r="C476" s="13"/>
      <c r="D476" s="13"/>
      <c r="E476" s="13"/>
      <c r="F476" s="13"/>
      <c r="G476" s="13"/>
      <c r="H476" s="13"/>
      <c r="I476" s="13"/>
      <c r="J476" s="13"/>
      <c r="K476" s="13"/>
      <c r="L476" s="13"/>
      <c r="M476" s="13"/>
      <c r="N476" s="13"/>
      <c r="O476" s="13"/>
      <c r="P476" s="13"/>
      <c r="Q476" s="13"/>
    </row>
    <row r="477" spans="1:17" x14ac:dyDescent="0.25">
      <c r="A477" s="104">
        <v>18</v>
      </c>
      <c r="B477" s="13"/>
      <c r="C477" s="103"/>
      <c r="D477" s="13"/>
      <c r="E477" s="13"/>
      <c r="F477" s="13"/>
      <c r="G477" s="13"/>
      <c r="H477" s="13"/>
      <c r="I477" s="13"/>
      <c r="J477" s="13"/>
      <c r="K477" s="13"/>
      <c r="L477" s="13"/>
      <c r="M477" s="13"/>
      <c r="N477" s="13"/>
      <c r="O477" s="13"/>
      <c r="P477" s="13"/>
      <c r="Q477" s="13"/>
    </row>
    <row r="478" spans="1:17" x14ac:dyDescent="0.25">
      <c r="A478" s="104">
        <v>19</v>
      </c>
      <c r="B478" s="13"/>
      <c r="C478" s="103"/>
      <c r="D478" s="13"/>
      <c r="E478" s="13"/>
      <c r="F478" s="13"/>
      <c r="G478" s="13"/>
      <c r="H478" s="13"/>
      <c r="I478" s="13"/>
      <c r="J478" s="13"/>
      <c r="K478" s="13"/>
      <c r="L478" s="13"/>
      <c r="M478" s="13"/>
      <c r="N478" s="13"/>
      <c r="O478" s="13"/>
      <c r="P478" s="13"/>
      <c r="Q478" s="13"/>
    </row>
    <row r="479" spans="1:17" x14ac:dyDescent="0.25">
      <c r="A479" s="104">
        <v>20</v>
      </c>
      <c r="B479" s="13"/>
      <c r="C479" s="103"/>
      <c r="D479" s="13"/>
      <c r="E479" s="13"/>
      <c r="F479" s="13"/>
      <c r="G479" s="13"/>
      <c r="H479" s="13"/>
      <c r="I479" s="13"/>
      <c r="J479" s="13"/>
      <c r="K479" s="13"/>
      <c r="L479" s="13"/>
      <c r="M479" s="13"/>
      <c r="N479" s="13"/>
      <c r="O479" s="13"/>
      <c r="P479" s="13"/>
      <c r="Q479" s="13"/>
    </row>
    <row r="480" spans="1:17" x14ac:dyDescent="0.25">
      <c r="A480" s="104">
        <v>21</v>
      </c>
      <c r="B480" s="13"/>
      <c r="C480" s="103"/>
      <c r="D480" s="13"/>
      <c r="E480" s="13"/>
      <c r="F480" s="13"/>
      <c r="G480" s="13"/>
      <c r="H480" s="13"/>
      <c r="I480" s="13"/>
      <c r="J480" s="13"/>
      <c r="K480" s="13"/>
      <c r="L480" s="13"/>
      <c r="M480" s="13"/>
      <c r="N480" s="13"/>
      <c r="O480" s="13"/>
      <c r="P480" s="13"/>
      <c r="Q480" s="13"/>
    </row>
    <row r="481" spans="1:17" x14ac:dyDescent="0.25">
      <c r="A481" s="104">
        <v>22</v>
      </c>
      <c r="B481" s="13"/>
      <c r="C481" s="103"/>
      <c r="D481" s="13"/>
      <c r="E481" s="13"/>
      <c r="F481" s="13"/>
      <c r="G481" s="13"/>
      <c r="H481" s="13"/>
      <c r="I481" s="13"/>
      <c r="J481" s="13"/>
      <c r="K481" s="13"/>
      <c r="L481" s="13"/>
      <c r="M481" s="13"/>
      <c r="N481" s="13"/>
      <c r="O481" s="13"/>
      <c r="P481" s="13"/>
      <c r="Q481" s="13"/>
    </row>
    <row r="482" spans="1:17" x14ac:dyDescent="0.25">
      <c r="A482" s="104">
        <v>23</v>
      </c>
      <c r="B482" s="13"/>
      <c r="C482" s="103"/>
      <c r="D482" s="13"/>
      <c r="E482" s="13"/>
      <c r="F482" s="13"/>
      <c r="G482" s="13"/>
      <c r="H482" s="13"/>
      <c r="I482" s="13"/>
      <c r="J482" s="13"/>
      <c r="K482" s="13"/>
      <c r="L482" s="13"/>
      <c r="M482" s="13"/>
      <c r="N482" s="13"/>
      <c r="O482" s="13"/>
      <c r="P482" s="13"/>
      <c r="Q482" s="13"/>
    </row>
    <row r="483" spans="1:17" x14ac:dyDescent="0.25">
      <c r="A483" s="104">
        <v>24</v>
      </c>
      <c r="B483" s="13"/>
      <c r="C483" s="103"/>
      <c r="D483" s="13"/>
      <c r="E483" s="13"/>
      <c r="F483" s="13"/>
      <c r="G483" s="13"/>
      <c r="H483" s="13"/>
      <c r="I483" s="13"/>
      <c r="J483" s="13"/>
      <c r="K483" s="13"/>
      <c r="L483" s="13"/>
      <c r="M483" s="13"/>
      <c r="N483" s="13"/>
      <c r="O483" s="13"/>
      <c r="P483" s="13"/>
      <c r="Q483" s="13"/>
    </row>
    <row r="484" spans="1:17" x14ac:dyDescent="0.25">
      <c r="A484" s="104">
        <v>25</v>
      </c>
      <c r="B484" s="13"/>
      <c r="C484" s="103"/>
      <c r="D484" s="13"/>
      <c r="E484" s="13"/>
      <c r="F484" s="13"/>
      <c r="G484" s="13"/>
      <c r="H484" s="13"/>
      <c r="I484" s="13"/>
      <c r="J484" s="13"/>
      <c r="K484" s="13"/>
      <c r="L484" s="13"/>
      <c r="M484" s="13"/>
      <c r="N484" s="13"/>
      <c r="O484" s="13"/>
      <c r="P484" s="13"/>
      <c r="Q484" s="13"/>
    </row>
    <row r="485" spans="1:17" x14ac:dyDescent="0.25">
      <c r="A485" s="104">
        <v>26</v>
      </c>
      <c r="B485" s="13"/>
      <c r="C485" s="103"/>
      <c r="D485" s="13"/>
      <c r="E485" s="13"/>
      <c r="F485" s="13"/>
      <c r="G485" s="13"/>
      <c r="H485" s="13"/>
      <c r="I485" s="13"/>
      <c r="J485" s="13"/>
      <c r="K485" s="13"/>
      <c r="L485" s="13"/>
      <c r="M485" s="13"/>
      <c r="N485" s="13"/>
      <c r="O485" s="13"/>
      <c r="P485" s="13"/>
      <c r="Q485" s="13"/>
    </row>
    <row r="486" spans="1:17" x14ac:dyDescent="0.25">
      <c r="A486" s="104">
        <v>27</v>
      </c>
      <c r="B486" s="13"/>
      <c r="C486" s="103"/>
      <c r="D486" s="13"/>
      <c r="E486" s="13"/>
      <c r="F486" s="13"/>
      <c r="G486" s="13"/>
      <c r="H486" s="13"/>
      <c r="I486" s="13"/>
      <c r="J486" s="13"/>
      <c r="K486" s="13"/>
      <c r="L486" s="13"/>
      <c r="M486" s="13"/>
      <c r="N486" s="13"/>
      <c r="O486" s="13"/>
      <c r="P486" s="13"/>
      <c r="Q486" s="13"/>
    </row>
    <row r="487" spans="1:17" x14ac:dyDescent="0.25">
      <c r="A487" s="104">
        <v>28</v>
      </c>
      <c r="B487" s="13"/>
      <c r="C487" s="103"/>
      <c r="D487" s="13"/>
      <c r="E487" s="13"/>
      <c r="F487" s="13"/>
      <c r="G487" s="13"/>
      <c r="H487" s="13"/>
      <c r="I487" s="13"/>
      <c r="J487" s="13"/>
      <c r="K487" s="13"/>
      <c r="L487" s="13"/>
      <c r="M487" s="13"/>
      <c r="N487" s="13"/>
      <c r="O487" s="13"/>
      <c r="P487" s="13"/>
      <c r="Q487" s="13"/>
    </row>
    <row r="488" spans="1:17" x14ac:dyDescent="0.25">
      <c r="A488" s="104">
        <v>29</v>
      </c>
      <c r="B488" s="13"/>
      <c r="C488" s="103"/>
      <c r="D488" s="13"/>
      <c r="E488" s="13"/>
      <c r="F488" s="13"/>
      <c r="G488" s="13"/>
      <c r="H488" s="13"/>
      <c r="I488" s="13"/>
      <c r="J488" s="13"/>
      <c r="K488" s="13"/>
      <c r="L488" s="13"/>
      <c r="M488" s="13"/>
      <c r="N488" s="13"/>
      <c r="O488" s="13"/>
      <c r="P488" s="13"/>
      <c r="Q488" s="13"/>
    </row>
    <row r="489" spans="1:17" x14ac:dyDescent="0.25">
      <c r="A489" s="104">
        <v>30</v>
      </c>
      <c r="B489" s="13"/>
      <c r="C489" s="103"/>
      <c r="D489" s="13"/>
      <c r="E489" s="13"/>
      <c r="F489" s="13"/>
      <c r="G489" s="13"/>
      <c r="H489" s="13"/>
      <c r="I489" s="13"/>
      <c r="J489" s="13"/>
      <c r="K489" s="13"/>
      <c r="L489" s="13"/>
      <c r="M489" s="13"/>
      <c r="N489" s="13"/>
      <c r="O489" s="13"/>
      <c r="P489" s="13"/>
      <c r="Q489" s="13"/>
    </row>
    <row r="490" spans="1:17" x14ac:dyDescent="0.25">
      <c r="A490" s="104">
        <v>31</v>
      </c>
      <c r="B490" s="13"/>
      <c r="C490" s="103"/>
      <c r="D490" s="13"/>
      <c r="E490" s="13"/>
      <c r="F490" s="13"/>
      <c r="G490" s="13"/>
      <c r="H490" s="13"/>
      <c r="I490" s="13"/>
      <c r="J490" s="13"/>
      <c r="K490" s="13"/>
      <c r="L490" s="13"/>
      <c r="M490" s="13"/>
      <c r="N490" s="13"/>
      <c r="O490" s="13"/>
      <c r="P490" s="13"/>
      <c r="Q490" s="13"/>
    </row>
    <row r="491" spans="1:17" x14ac:dyDescent="0.25">
      <c r="A491" s="104">
        <v>32</v>
      </c>
      <c r="B491" s="13"/>
      <c r="C491" s="103"/>
      <c r="D491" s="13"/>
      <c r="E491" s="13"/>
      <c r="F491" s="13"/>
      <c r="G491" s="13"/>
      <c r="H491" s="13"/>
      <c r="I491" s="13"/>
      <c r="J491" s="13"/>
      <c r="K491" s="13"/>
      <c r="L491" s="13"/>
      <c r="M491" s="13"/>
      <c r="N491" s="13"/>
      <c r="O491" s="13"/>
      <c r="P491" s="13"/>
      <c r="Q491" s="13"/>
    </row>
    <row r="492" spans="1:17" x14ac:dyDescent="0.25">
      <c r="A492" s="104">
        <v>33</v>
      </c>
      <c r="B492" s="13"/>
      <c r="C492" s="103"/>
      <c r="D492" s="13"/>
      <c r="E492" s="13"/>
      <c r="F492" s="13"/>
      <c r="G492" s="13"/>
      <c r="H492" s="13"/>
      <c r="I492" s="13"/>
      <c r="J492" s="13"/>
      <c r="K492" s="13"/>
      <c r="L492" s="13"/>
      <c r="M492" s="13"/>
      <c r="N492" s="13"/>
      <c r="O492" s="13"/>
      <c r="P492" s="13"/>
      <c r="Q492" s="13"/>
    </row>
    <row r="493" spans="1:17" x14ac:dyDescent="0.25">
      <c r="A493" s="104">
        <v>34</v>
      </c>
      <c r="B493" s="13"/>
      <c r="C493" s="103"/>
      <c r="D493" s="13"/>
      <c r="E493" s="13"/>
      <c r="F493" s="13"/>
      <c r="G493" s="13"/>
      <c r="H493" s="13"/>
      <c r="I493" s="13"/>
      <c r="J493" s="13"/>
      <c r="K493" s="13"/>
      <c r="L493" s="13"/>
      <c r="M493" s="13"/>
      <c r="N493" s="13"/>
      <c r="O493" s="13"/>
      <c r="P493" s="13"/>
      <c r="Q493" s="13"/>
    </row>
    <row r="494" spans="1:17" x14ac:dyDescent="0.25">
      <c r="A494" s="104">
        <v>35</v>
      </c>
      <c r="B494" s="13"/>
      <c r="C494" s="103"/>
      <c r="D494" s="13"/>
      <c r="E494" s="13"/>
      <c r="F494" s="13"/>
      <c r="G494" s="13"/>
      <c r="H494" s="13"/>
      <c r="I494" s="13"/>
      <c r="J494" s="13"/>
      <c r="K494" s="13"/>
      <c r="L494" s="13"/>
      <c r="M494" s="13"/>
      <c r="N494" s="13"/>
      <c r="O494" s="13"/>
      <c r="P494" s="13"/>
      <c r="Q494" s="13"/>
    </row>
    <row r="495" spans="1:17" x14ac:dyDescent="0.25">
      <c r="A495" s="104">
        <v>36</v>
      </c>
      <c r="B495" s="13"/>
      <c r="C495" s="103"/>
      <c r="D495" s="13"/>
      <c r="E495" s="13"/>
      <c r="F495" s="13"/>
      <c r="G495" s="13"/>
      <c r="H495" s="13"/>
      <c r="I495" s="13"/>
      <c r="J495" s="13"/>
      <c r="K495" s="13"/>
      <c r="L495" s="13"/>
      <c r="M495" s="13"/>
      <c r="N495" s="13"/>
      <c r="O495" s="13"/>
      <c r="P495" s="13"/>
      <c r="Q495" s="13"/>
    </row>
    <row r="496" spans="1:17" x14ac:dyDescent="0.25">
      <c r="A496" s="104">
        <v>37</v>
      </c>
      <c r="B496" s="13"/>
      <c r="C496" s="103"/>
      <c r="D496" s="13"/>
      <c r="E496" s="13"/>
      <c r="F496" s="13"/>
      <c r="G496" s="13"/>
      <c r="H496" s="13"/>
      <c r="I496" s="13"/>
      <c r="J496" s="13"/>
      <c r="K496" s="13"/>
      <c r="L496" s="13"/>
      <c r="M496" s="13"/>
      <c r="N496" s="13"/>
      <c r="O496" s="13"/>
      <c r="P496" s="13"/>
      <c r="Q496" s="13"/>
    </row>
    <row r="497" spans="1:17" x14ac:dyDescent="0.25">
      <c r="A497" s="104">
        <v>38</v>
      </c>
      <c r="B497" s="13"/>
      <c r="C497" s="103"/>
      <c r="D497" s="13"/>
      <c r="E497" s="13"/>
      <c r="F497" s="13"/>
      <c r="G497" s="13"/>
      <c r="H497" s="13"/>
      <c r="I497" s="13"/>
      <c r="J497" s="13"/>
      <c r="K497" s="13"/>
      <c r="L497" s="13"/>
      <c r="M497" s="13"/>
      <c r="N497" s="13"/>
      <c r="O497" s="13"/>
      <c r="P497" s="13"/>
      <c r="Q497" s="13"/>
    </row>
    <row r="498" spans="1:17" x14ac:dyDescent="0.25">
      <c r="A498" s="104">
        <v>39</v>
      </c>
      <c r="B498" s="13"/>
      <c r="C498" s="103"/>
      <c r="D498" s="13"/>
      <c r="E498" s="13"/>
      <c r="F498" s="13"/>
      <c r="G498" s="13"/>
      <c r="H498" s="13"/>
      <c r="I498" s="13"/>
      <c r="J498" s="13"/>
      <c r="K498" s="13"/>
      <c r="L498" s="13"/>
      <c r="M498" s="13"/>
      <c r="N498" s="13"/>
      <c r="O498" s="13"/>
      <c r="P498" s="13"/>
      <c r="Q498" s="13"/>
    </row>
    <row r="499" spans="1:17" x14ac:dyDescent="0.25">
      <c r="A499" s="104">
        <v>40</v>
      </c>
      <c r="B499" s="13"/>
      <c r="C499" s="103"/>
      <c r="D499" s="13"/>
      <c r="E499" s="13"/>
      <c r="F499" s="13"/>
      <c r="G499" s="13"/>
      <c r="H499" s="13"/>
      <c r="I499" s="13"/>
      <c r="J499" s="13"/>
      <c r="K499" s="13"/>
      <c r="L499" s="13"/>
      <c r="M499" s="13"/>
      <c r="N499" s="13"/>
      <c r="O499" s="13"/>
      <c r="P499" s="13"/>
      <c r="Q499" s="13"/>
    </row>
    <row r="500" spans="1:17" x14ac:dyDescent="0.25">
      <c r="A500" s="13"/>
      <c r="B500" s="13"/>
      <c r="C500" s="13"/>
      <c r="D500" s="13"/>
      <c r="E500" s="13"/>
      <c r="F500" s="13"/>
      <c r="G500" s="13"/>
      <c r="H500" s="13"/>
      <c r="I500" s="13"/>
      <c r="J500" s="13"/>
      <c r="K500" s="13"/>
      <c r="L500" s="13"/>
      <c r="M500" s="13"/>
      <c r="N500" s="13"/>
      <c r="O500" s="13"/>
      <c r="P500" s="13"/>
      <c r="Q500" s="13"/>
    </row>
    <row r="501" spans="1:17" x14ac:dyDescent="0.25">
      <c r="A501" s="13"/>
      <c r="B501" s="195" t="s">
        <v>54</v>
      </c>
      <c r="C501" s="103"/>
      <c r="D501" s="13"/>
      <c r="E501" s="13"/>
      <c r="F501" s="13"/>
      <c r="G501" s="13"/>
      <c r="H501" s="13"/>
      <c r="I501" s="13"/>
      <c r="J501" s="13"/>
      <c r="K501" s="13"/>
      <c r="L501" s="13"/>
      <c r="M501" s="13"/>
      <c r="N501" s="13"/>
      <c r="O501" s="13"/>
      <c r="P501" s="13"/>
      <c r="Q501" s="13"/>
    </row>
    <row r="502" spans="1:17" x14ac:dyDescent="0.25">
      <c r="A502" s="13"/>
      <c r="B502" s="200" t="s">
        <v>1234</v>
      </c>
      <c r="C502" s="103"/>
      <c r="D502" s="13"/>
      <c r="E502" s="13"/>
      <c r="F502" s="13"/>
      <c r="G502" s="13"/>
      <c r="H502" s="13"/>
      <c r="I502" s="13"/>
      <c r="J502" s="13"/>
      <c r="K502" s="13"/>
      <c r="L502" s="13"/>
      <c r="M502" s="13"/>
      <c r="N502" s="13"/>
      <c r="O502" s="13"/>
      <c r="P502" s="13"/>
      <c r="Q502" s="13"/>
    </row>
    <row r="503" spans="1:17" x14ac:dyDescent="0.25">
      <c r="A503" s="102">
        <v>1</v>
      </c>
      <c r="B503" s="107" t="s">
        <v>1861</v>
      </c>
      <c r="C503" s="103"/>
      <c r="D503" s="113">
        <v>1</v>
      </c>
      <c r="E503" s="13"/>
      <c r="F503" s="113">
        <v>0.94267533727327779</v>
      </c>
      <c r="G503" s="113"/>
      <c r="H503" s="113">
        <v>5.7324662726722285E-2</v>
      </c>
      <c r="I503" s="113">
        <v>0</v>
      </c>
      <c r="J503" s="13"/>
      <c r="K503" s="113"/>
      <c r="L503" s="113">
        <v>0</v>
      </c>
      <c r="M503" s="113"/>
      <c r="N503" s="113">
        <v>0</v>
      </c>
      <c r="O503" s="113">
        <v>0</v>
      </c>
      <c r="P503" s="113">
        <v>0</v>
      </c>
      <c r="Q503" s="113">
        <v>0</v>
      </c>
    </row>
    <row r="504" spans="1:17" x14ac:dyDescent="0.25">
      <c r="A504" s="102">
        <v>2</v>
      </c>
      <c r="B504" s="107" t="s">
        <v>2029</v>
      </c>
      <c r="C504" s="103"/>
      <c r="D504" s="113">
        <v>1</v>
      </c>
      <c r="E504" s="13"/>
      <c r="F504" s="113">
        <v>0.95715997639487915</v>
      </c>
      <c r="G504" s="113"/>
      <c r="H504" s="113">
        <v>4.2840023605120833E-2</v>
      </c>
      <c r="I504" s="113">
        <v>0</v>
      </c>
      <c r="J504" s="13"/>
      <c r="K504" s="113"/>
      <c r="L504" s="113">
        <v>0</v>
      </c>
      <c r="M504" s="113"/>
      <c r="N504" s="113">
        <v>0</v>
      </c>
      <c r="O504" s="113">
        <v>0</v>
      </c>
      <c r="P504" s="113">
        <v>0</v>
      </c>
      <c r="Q504" s="113">
        <v>0</v>
      </c>
    </row>
    <row r="505" spans="1:17" x14ac:dyDescent="0.25">
      <c r="A505" s="102">
        <v>3</v>
      </c>
      <c r="B505" s="107" t="s">
        <v>1862</v>
      </c>
      <c r="C505" s="103"/>
      <c r="D505" s="113">
        <v>0</v>
      </c>
      <c r="E505" s="13"/>
      <c r="F505" s="113">
        <v>0</v>
      </c>
      <c r="G505" s="113"/>
      <c r="H505" s="113">
        <v>0</v>
      </c>
      <c r="I505" s="113">
        <v>0</v>
      </c>
      <c r="J505" s="13"/>
      <c r="K505" s="113"/>
      <c r="L505" s="113">
        <v>0</v>
      </c>
      <c r="M505" s="113"/>
      <c r="N505" s="113">
        <v>0</v>
      </c>
      <c r="O505" s="113">
        <v>0</v>
      </c>
      <c r="P505" s="113">
        <v>0</v>
      </c>
      <c r="Q505" s="113">
        <v>0</v>
      </c>
    </row>
    <row r="506" spans="1:17" x14ac:dyDescent="0.25">
      <c r="A506" s="102">
        <v>4</v>
      </c>
      <c r="B506" s="107" t="s">
        <v>1863</v>
      </c>
      <c r="C506" s="103"/>
      <c r="D506" s="113">
        <v>1</v>
      </c>
      <c r="E506" s="13"/>
      <c r="F506" s="113">
        <v>0.98122026760521874</v>
      </c>
      <c r="G506" s="113"/>
      <c r="H506" s="113">
        <v>1.8779732394781215E-2</v>
      </c>
      <c r="I506" s="113">
        <v>0</v>
      </c>
      <c r="J506" s="13"/>
      <c r="K506" s="113"/>
      <c r="L506" s="113">
        <v>0</v>
      </c>
      <c r="M506" s="113"/>
      <c r="N506" s="113">
        <v>0</v>
      </c>
      <c r="O506" s="113">
        <v>0</v>
      </c>
      <c r="P506" s="113">
        <v>0</v>
      </c>
      <c r="Q506" s="113">
        <v>0</v>
      </c>
    </row>
    <row r="507" spans="1:17" x14ac:dyDescent="0.25">
      <c r="A507" s="102">
        <v>5</v>
      </c>
      <c r="B507" s="107" t="s">
        <v>1864</v>
      </c>
      <c r="C507" s="103"/>
      <c r="D507" s="113">
        <v>0</v>
      </c>
      <c r="E507" s="13"/>
      <c r="F507" s="113">
        <v>0</v>
      </c>
      <c r="G507" s="113"/>
      <c r="H507" s="113">
        <v>0</v>
      </c>
      <c r="I507" s="113">
        <v>0</v>
      </c>
      <c r="J507" s="13"/>
      <c r="K507" s="113"/>
      <c r="L507" s="113">
        <v>0</v>
      </c>
      <c r="M507" s="113"/>
      <c r="N507" s="113">
        <v>0</v>
      </c>
      <c r="O507" s="113">
        <v>0</v>
      </c>
      <c r="P507" s="113">
        <v>0</v>
      </c>
      <c r="Q507" s="113">
        <v>0</v>
      </c>
    </row>
    <row r="508" spans="1:17" x14ac:dyDescent="0.25">
      <c r="A508" s="102">
        <v>6</v>
      </c>
      <c r="B508" s="107" t="s">
        <v>1865</v>
      </c>
      <c r="C508" s="103"/>
      <c r="D508" s="113">
        <v>0.99999999999999989</v>
      </c>
      <c r="E508" s="13"/>
      <c r="F508" s="113">
        <v>0.96659457412968752</v>
      </c>
      <c r="G508" s="113"/>
      <c r="H508" s="113">
        <v>3.3405425870312415E-2</v>
      </c>
      <c r="I508" s="113">
        <v>0</v>
      </c>
      <c r="J508" s="13"/>
      <c r="K508" s="113"/>
      <c r="L508" s="113">
        <v>0</v>
      </c>
      <c r="M508" s="113"/>
      <c r="N508" s="113">
        <v>0</v>
      </c>
      <c r="O508" s="113">
        <v>0</v>
      </c>
      <c r="P508" s="113">
        <v>0</v>
      </c>
      <c r="Q508" s="113">
        <v>0</v>
      </c>
    </row>
    <row r="509" spans="1:17" x14ac:dyDescent="0.25">
      <c r="A509" s="102">
        <v>7</v>
      </c>
      <c r="B509" s="107" t="s">
        <v>1866</v>
      </c>
      <c r="C509" s="103"/>
      <c r="D509" s="113">
        <v>1</v>
      </c>
      <c r="E509" s="13"/>
      <c r="F509" s="113">
        <v>0.94987663509140041</v>
      </c>
      <c r="G509" s="113"/>
      <c r="H509" s="113">
        <v>5.012336490859965E-2</v>
      </c>
      <c r="I509" s="113">
        <v>0</v>
      </c>
      <c r="J509" s="13"/>
      <c r="K509" s="113"/>
      <c r="L509" s="113">
        <v>0</v>
      </c>
      <c r="M509" s="113"/>
      <c r="N509" s="113">
        <v>0</v>
      </c>
      <c r="O509" s="113">
        <v>0</v>
      </c>
      <c r="P509" s="113">
        <v>0</v>
      </c>
      <c r="Q509" s="113">
        <v>0</v>
      </c>
    </row>
    <row r="510" spans="1:17" x14ac:dyDescent="0.25">
      <c r="A510" s="102">
        <v>8</v>
      </c>
      <c r="B510" s="107" t="s">
        <v>1867</v>
      </c>
      <c r="C510" s="103"/>
      <c r="D510" s="113">
        <v>0</v>
      </c>
      <c r="E510" s="13"/>
      <c r="F510" s="113">
        <v>0</v>
      </c>
      <c r="G510" s="113"/>
      <c r="H510" s="113">
        <v>0</v>
      </c>
      <c r="I510" s="113">
        <v>0</v>
      </c>
      <c r="J510" s="13"/>
      <c r="K510" s="113"/>
      <c r="L510" s="113">
        <v>0</v>
      </c>
      <c r="M510" s="113"/>
      <c r="N510" s="113">
        <v>0</v>
      </c>
      <c r="O510" s="113">
        <v>0</v>
      </c>
      <c r="P510" s="113">
        <v>0</v>
      </c>
      <c r="Q510" s="113">
        <v>0</v>
      </c>
    </row>
    <row r="511" spans="1:17" x14ac:dyDescent="0.25">
      <c r="A511" s="102">
        <v>9</v>
      </c>
      <c r="B511" s="107" t="s">
        <v>1868</v>
      </c>
      <c r="C511" s="103"/>
      <c r="D511" s="113">
        <v>1</v>
      </c>
      <c r="E511" s="13"/>
      <c r="F511" s="113">
        <v>0</v>
      </c>
      <c r="G511" s="113"/>
      <c r="H511" s="113">
        <v>0</v>
      </c>
      <c r="I511" s="113">
        <v>1</v>
      </c>
      <c r="J511" s="13"/>
      <c r="K511" s="113"/>
      <c r="L511" s="113">
        <v>0</v>
      </c>
      <c r="M511" s="113"/>
      <c r="N511" s="113">
        <v>1</v>
      </c>
      <c r="O511" s="113">
        <v>0.50632233628322387</v>
      </c>
      <c r="P511" s="113">
        <v>0.49367766371677618</v>
      </c>
      <c r="Q511" s="113">
        <v>0</v>
      </c>
    </row>
    <row r="512" spans="1:17" x14ac:dyDescent="0.25">
      <c r="A512" s="104">
        <v>10</v>
      </c>
      <c r="B512" s="193" t="s">
        <v>55</v>
      </c>
      <c r="C512" s="103"/>
      <c r="D512" s="113">
        <v>0</v>
      </c>
      <c r="E512" s="13"/>
      <c r="F512" s="113">
        <v>0</v>
      </c>
      <c r="G512" s="113"/>
      <c r="H512" s="113">
        <v>0</v>
      </c>
      <c r="I512" s="113">
        <v>0</v>
      </c>
      <c r="J512" s="13"/>
      <c r="K512" s="113"/>
      <c r="L512" s="113">
        <v>0</v>
      </c>
      <c r="M512" s="113"/>
      <c r="N512" s="113">
        <v>0</v>
      </c>
      <c r="O512" s="113">
        <v>0</v>
      </c>
      <c r="P512" s="113">
        <v>0</v>
      </c>
      <c r="Q512" s="113">
        <v>0</v>
      </c>
    </row>
    <row r="513" spans="1:17" x14ac:dyDescent="0.25">
      <c r="A513" s="104">
        <v>11</v>
      </c>
      <c r="B513" s="202" t="s">
        <v>1869</v>
      </c>
      <c r="C513" s="103"/>
      <c r="D513" s="113">
        <v>0</v>
      </c>
      <c r="E513" s="13"/>
      <c r="F513" s="113">
        <v>0</v>
      </c>
      <c r="G513" s="113"/>
      <c r="H513" s="113">
        <v>0</v>
      </c>
      <c r="I513" s="113">
        <v>0</v>
      </c>
      <c r="J513" s="13"/>
      <c r="K513" s="113"/>
      <c r="L513" s="113">
        <v>0</v>
      </c>
      <c r="M513" s="113"/>
      <c r="N513" s="113">
        <v>0</v>
      </c>
      <c r="O513" s="113">
        <v>0</v>
      </c>
      <c r="P513" s="113">
        <v>0</v>
      </c>
      <c r="Q513" s="113">
        <v>0</v>
      </c>
    </row>
    <row r="514" spans="1:17" x14ac:dyDescent="0.25">
      <c r="A514" s="104">
        <v>12</v>
      </c>
      <c r="B514" s="13"/>
      <c r="C514" s="103"/>
      <c r="D514" s="113"/>
      <c r="E514" s="13"/>
      <c r="F514" s="113"/>
      <c r="G514" s="113"/>
      <c r="H514" s="113"/>
      <c r="I514" s="113"/>
      <c r="J514" s="13"/>
      <c r="K514" s="113"/>
      <c r="L514" s="113"/>
      <c r="M514" s="113"/>
      <c r="N514" s="113"/>
      <c r="O514" s="113"/>
      <c r="P514" s="113"/>
      <c r="Q514" s="113"/>
    </row>
    <row r="515" spans="1:17" x14ac:dyDescent="0.25">
      <c r="A515" s="104">
        <v>13</v>
      </c>
      <c r="B515" s="13"/>
      <c r="C515" s="103"/>
      <c r="D515" s="113"/>
      <c r="E515" s="13"/>
      <c r="F515" s="113"/>
      <c r="G515" s="113"/>
      <c r="H515" s="113"/>
      <c r="I515" s="113"/>
      <c r="J515" s="13"/>
      <c r="K515" s="113"/>
      <c r="L515" s="113"/>
      <c r="M515" s="113"/>
      <c r="N515" s="113"/>
      <c r="O515" s="113"/>
      <c r="P515" s="113"/>
      <c r="Q515" s="113"/>
    </row>
    <row r="516" spans="1:17" x14ac:dyDescent="0.25">
      <c r="A516" s="104">
        <v>14</v>
      </c>
      <c r="B516" s="13"/>
      <c r="C516" s="103"/>
      <c r="D516" s="13"/>
      <c r="E516" s="13"/>
      <c r="F516" s="13"/>
      <c r="G516" s="13"/>
      <c r="H516" s="13"/>
      <c r="I516" s="13"/>
      <c r="J516" s="13"/>
      <c r="K516" s="13"/>
      <c r="L516" s="13"/>
      <c r="M516" s="13"/>
      <c r="N516" s="13"/>
      <c r="O516" s="13"/>
      <c r="P516" s="13"/>
      <c r="Q516" s="13"/>
    </row>
    <row r="517" spans="1:17" x14ac:dyDescent="0.25">
      <c r="A517" s="104">
        <v>15</v>
      </c>
      <c r="B517" s="13"/>
      <c r="C517" s="103"/>
      <c r="D517" s="13"/>
      <c r="E517" s="13"/>
      <c r="F517" s="13"/>
      <c r="G517" s="13"/>
      <c r="H517" s="13"/>
      <c r="I517" s="13"/>
      <c r="J517" s="13"/>
      <c r="K517" s="13"/>
      <c r="L517" s="13"/>
      <c r="M517" s="13"/>
      <c r="N517" s="13"/>
      <c r="O517" s="13"/>
      <c r="P517" s="13"/>
      <c r="Q517" s="13"/>
    </row>
    <row r="518" spans="1:17" x14ac:dyDescent="0.25">
      <c r="A518" s="104">
        <v>16</v>
      </c>
      <c r="B518" s="13"/>
      <c r="C518" s="103"/>
      <c r="D518" s="13"/>
      <c r="E518" s="13"/>
      <c r="F518" s="13"/>
      <c r="G518" s="13"/>
      <c r="H518" s="13"/>
      <c r="I518" s="13"/>
      <c r="J518" s="13"/>
      <c r="K518" s="13"/>
      <c r="L518" s="13"/>
      <c r="M518" s="13"/>
      <c r="N518" s="13"/>
      <c r="O518" s="13"/>
      <c r="P518" s="13"/>
      <c r="Q518" s="13"/>
    </row>
    <row r="519" spans="1:17" x14ac:dyDescent="0.25">
      <c r="A519" s="104">
        <v>17</v>
      </c>
      <c r="B519" s="13"/>
      <c r="C519" s="103"/>
      <c r="D519" s="13"/>
      <c r="E519" s="13"/>
      <c r="F519" s="13"/>
      <c r="G519" s="13"/>
      <c r="H519" s="13"/>
      <c r="I519" s="13"/>
      <c r="J519" s="13"/>
      <c r="K519" s="13"/>
      <c r="L519" s="13"/>
      <c r="M519" s="13"/>
      <c r="N519" s="13"/>
      <c r="O519" s="13"/>
      <c r="P519" s="13"/>
      <c r="Q519" s="13"/>
    </row>
    <row r="520" spans="1:17" x14ac:dyDescent="0.25">
      <c r="A520" s="104">
        <v>18</v>
      </c>
      <c r="B520" s="13"/>
      <c r="C520" s="103"/>
      <c r="D520" s="13"/>
      <c r="E520" s="13"/>
      <c r="F520" s="13"/>
      <c r="G520" s="13"/>
      <c r="H520" s="13"/>
      <c r="I520" s="13"/>
      <c r="J520" s="13"/>
      <c r="K520" s="13"/>
      <c r="L520" s="13"/>
      <c r="M520" s="13"/>
      <c r="N520" s="13"/>
      <c r="O520" s="13"/>
      <c r="P520" s="13"/>
      <c r="Q520" s="13"/>
    </row>
    <row r="521" spans="1:17" x14ac:dyDescent="0.25">
      <c r="A521" s="13"/>
      <c r="B521" s="13"/>
      <c r="C521" s="103"/>
      <c r="D521" s="13"/>
      <c r="E521" s="13"/>
      <c r="F521" s="13"/>
      <c r="G521" s="13"/>
      <c r="H521" s="13"/>
      <c r="I521" s="13"/>
      <c r="J521" s="13"/>
      <c r="K521" s="13"/>
      <c r="L521" s="13"/>
      <c r="M521" s="13"/>
      <c r="N521" s="13"/>
      <c r="O521" s="13"/>
      <c r="P521" s="13"/>
      <c r="Q521" s="13"/>
    </row>
    <row r="522" spans="1:17" x14ac:dyDescent="0.25">
      <c r="A522" s="13"/>
      <c r="B522" s="13"/>
      <c r="C522" s="103"/>
      <c r="D522" s="13"/>
      <c r="E522" s="13"/>
      <c r="F522" s="13"/>
      <c r="G522" s="13"/>
      <c r="H522" s="13"/>
      <c r="I522" s="13"/>
      <c r="J522" s="13"/>
      <c r="K522" s="13"/>
      <c r="L522" s="13"/>
      <c r="M522" s="13"/>
      <c r="N522" s="13"/>
      <c r="O522" s="13"/>
      <c r="P522" s="13"/>
      <c r="Q522" s="13"/>
    </row>
    <row r="523" spans="1:17" x14ac:dyDescent="0.25">
      <c r="A523" s="13"/>
      <c r="B523" s="13"/>
      <c r="C523" s="103"/>
      <c r="D523" s="13"/>
      <c r="E523" s="13"/>
      <c r="F523" s="13"/>
      <c r="G523" s="13"/>
      <c r="H523" s="13"/>
      <c r="I523" s="13"/>
      <c r="J523" s="13"/>
      <c r="K523" s="13"/>
      <c r="L523" s="13"/>
      <c r="M523" s="13"/>
      <c r="N523" s="13"/>
      <c r="O523" s="13"/>
      <c r="P523" s="13"/>
      <c r="Q523" s="13"/>
    </row>
    <row r="524" spans="1:17" x14ac:dyDescent="0.25">
      <c r="A524" s="13"/>
      <c r="B524" s="13"/>
      <c r="C524" s="103"/>
      <c r="D524" s="13"/>
      <c r="E524" s="13"/>
      <c r="F524" s="13"/>
      <c r="G524" s="13"/>
      <c r="H524" s="13"/>
      <c r="I524" s="13"/>
      <c r="J524" s="13"/>
      <c r="K524" s="13"/>
      <c r="L524" s="13"/>
      <c r="M524" s="13"/>
      <c r="N524" s="13"/>
      <c r="O524" s="13"/>
      <c r="P524" s="13"/>
      <c r="Q524" s="13"/>
    </row>
    <row r="525" spans="1:17" x14ac:dyDescent="0.25">
      <c r="A525" s="13"/>
      <c r="B525" s="13"/>
      <c r="C525" s="103"/>
      <c r="D525" s="13"/>
      <c r="E525" s="13"/>
      <c r="F525" s="13"/>
      <c r="G525" s="13"/>
      <c r="H525" s="13"/>
      <c r="I525" s="13"/>
      <c r="J525" s="13"/>
      <c r="K525" s="13"/>
      <c r="L525" s="13"/>
      <c r="M525" s="13"/>
      <c r="N525" s="13"/>
      <c r="O525" s="13"/>
      <c r="P525" s="13"/>
      <c r="Q525" s="13"/>
    </row>
    <row r="526" spans="1:17" x14ac:dyDescent="0.25">
      <c r="A526" s="13"/>
      <c r="B526" s="13"/>
      <c r="C526" s="103"/>
      <c r="D526" s="13"/>
      <c r="E526" s="13"/>
      <c r="F526" s="13"/>
      <c r="G526" s="13"/>
      <c r="H526" s="13"/>
      <c r="I526" s="13"/>
      <c r="J526" s="13"/>
      <c r="K526" s="13"/>
      <c r="L526" s="13"/>
      <c r="M526" s="13"/>
      <c r="N526" s="13"/>
      <c r="O526" s="13"/>
      <c r="P526" s="13"/>
      <c r="Q526" s="13"/>
    </row>
    <row r="527" spans="1:17" x14ac:dyDescent="0.25">
      <c r="A527" s="13"/>
      <c r="B527" s="13"/>
      <c r="C527" s="103"/>
      <c r="D527" s="13"/>
      <c r="E527" s="13"/>
      <c r="F527" s="13"/>
      <c r="G527" s="13"/>
      <c r="H527" s="13"/>
      <c r="I527" s="13"/>
      <c r="J527" s="13"/>
      <c r="K527" s="13"/>
      <c r="L527" s="13"/>
      <c r="M527" s="13"/>
      <c r="N527" s="13"/>
      <c r="O527" s="13"/>
      <c r="P527" s="13"/>
      <c r="Q527" s="13"/>
    </row>
    <row r="528" spans="1:17" x14ac:dyDescent="0.25">
      <c r="A528" s="13"/>
      <c r="B528" s="13"/>
      <c r="C528" s="103"/>
      <c r="D528" s="13"/>
      <c r="E528" s="13"/>
      <c r="F528" s="13"/>
      <c r="G528" s="13"/>
      <c r="H528" s="13"/>
      <c r="I528" s="13"/>
      <c r="J528" s="13"/>
      <c r="K528" s="13"/>
      <c r="L528" s="13"/>
      <c r="M528" s="13"/>
      <c r="N528" s="13"/>
      <c r="O528" s="13"/>
      <c r="P528" s="13"/>
      <c r="Q528" s="13"/>
    </row>
    <row r="529" spans="1:17" x14ac:dyDescent="0.25">
      <c r="A529" s="13"/>
      <c r="B529" s="13"/>
      <c r="C529" s="103"/>
      <c r="D529" s="13"/>
      <c r="E529" s="13"/>
      <c r="F529" s="13"/>
      <c r="G529" s="13"/>
      <c r="H529" s="13"/>
      <c r="I529" s="13"/>
      <c r="J529" s="13"/>
      <c r="K529" s="13"/>
      <c r="L529" s="13"/>
      <c r="M529" s="13"/>
      <c r="N529" s="13"/>
      <c r="O529" s="13"/>
      <c r="P529" s="13"/>
      <c r="Q529" s="13"/>
    </row>
    <row r="530" spans="1:17" x14ac:dyDescent="0.25">
      <c r="A530" s="13"/>
      <c r="B530" s="203"/>
      <c r="C530" s="103"/>
      <c r="D530" s="13"/>
      <c r="E530" s="13"/>
      <c r="F530" s="13"/>
      <c r="G530" s="13"/>
      <c r="H530" s="13"/>
      <c r="I530" s="13"/>
      <c r="J530" s="13"/>
      <c r="K530" s="13"/>
      <c r="L530" s="13"/>
      <c r="M530" s="13"/>
      <c r="N530" s="13"/>
      <c r="O530" s="13"/>
      <c r="P530" s="13"/>
      <c r="Q530" s="13"/>
    </row>
    <row r="531" spans="1:17" x14ac:dyDescent="0.25">
      <c r="A531" s="13"/>
      <c r="B531" s="13"/>
      <c r="C531" s="103"/>
      <c r="D531" s="13"/>
      <c r="E531" s="13"/>
      <c r="F531" s="13"/>
      <c r="G531" s="13"/>
      <c r="H531" s="13"/>
      <c r="I531" s="13"/>
      <c r="J531" s="13"/>
      <c r="K531" s="13"/>
      <c r="L531" s="13"/>
      <c r="M531" s="13"/>
      <c r="N531" s="13"/>
      <c r="O531" s="13"/>
      <c r="P531" s="13"/>
      <c r="Q531" s="13"/>
    </row>
    <row r="532" spans="1:17" x14ac:dyDescent="0.25">
      <c r="A532" s="13"/>
      <c r="B532" s="13"/>
      <c r="C532" s="103"/>
      <c r="D532" s="13"/>
      <c r="E532" s="13"/>
      <c r="F532" s="13"/>
      <c r="G532" s="13"/>
      <c r="H532" s="13"/>
      <c r="I532" s="13"/>
      <c r="J532" s="13"/>
      <c r="K532" s="13"/>
      <c r="L532" s="13"/>
      <c r="M532" s="13"/>
      <c r="N532" s="13"/>
      <c r="O532" s="13"/>
      <c r="P532" s="13"/>
      <c r="Q532" s="13"/>
    </row>
    <row r="533" spans="1:17" x14ac:dyDescent="0.25">
      <c r="A533" s="13"/>
      <c r="B533" s="13"/>
      <c r="C533" s="103"/>
      <c r="D533" s="13"/>
      <c r="E533" s="13"/>
      <c r="F533" s="13"/>
      <c r="G533" s="13"/>
      <c r="H533" s="13"/>
      <c r="I533" s="13"/>
      <c r="J533" s="13"/>
      <c r="K533" s="13"/>
      <c r="L533" s="13"/>
      <c r="M533" s="13"/>
      <c r="N533" s="13"/>
      <c r="O533" s="13"/>
      <c r="P533" s="13"/>
      <c r="Q533" s="13"/>
    </row>
    <row r="534" spans="1:17" x14ac:dyDescent="0.25">
      <c r="A534" s="13"/>
      <c r="B534" s="13"/>
      <c r="C534" s="103"/>
      <c r="D534" s="13"/>
      <c r="E534" s="13"/>
      <c r="F534" s="13"/>
      <c r="G534" s="13"/>
      <c r="H534" s="13"/>
      <c r="I534" s="13"/>
      <c r="J534" s="13"/>
      <c r="K534" s="13"/>
      <c r="L534" s="13"/>
      <c r="M534" s="13"/>
      <c r="N534" s="13"/>
      <c r="O534" s="13"/>
      <c r="P534" s="13"/>
      <c r="Q534" s="13"/>
    </row>
    <row r="535" spans="1:17" x14ac:dyDescent="0.25">
      <c r="A535" s="13"/>
      <c r="B535" s="13"/>
      <c r="C535" s="103"/>
      <c r="D535" s="13"/>
      <c r="E535" s="13"/>
      <c r="F535" s="13"/>
      <c r="G535" s="13"/>
      <c r="H535" s="13"/>
      <c r="I535" s="13"/>
      <c r="J535" s="13"/>
      <c r="K535" s="13"/>
      <c r="L535" s="13"/>
      <c r="M535" s="13"/>
      <c r="N535" s="13"/>
      <c r="O535" s="13"/>
      <c r="P535" s="13"/>
      <c r="Q535" s="13"/>
    </row>
    <row r="536" spans="1:17" x14ac:dyDescent="0.25">
      <c r="A536" s="13"/>
      <c r="B536" s="13"/>
      <c r="C536" s="103"/>
      <c r="D536" s="13"/>
      <c r="E536" s="13"/>
      <c r="F536" s="13"/>
      <c r="G536" s="13"/>
      <c r="H536" s="13"/>
      <c r="I536" s="13"/>
      <c r="J536" s="13"/>
      <c r="K536" s="13"/>
      <c r="L536" s="13"/>
      <c r="M536" s="13"/>
      <c r="N536" s="13"/>
      <c r="O536" s="13"/>
      <c r="P536" s="13"/>
      <c r="Q536" s="13"/>
    </row>
    <row r="537" spans="1:17" x14ac:dyDescent="0.25">
      <c r="A537" s="13"/>
      <c r="B537" s="13"/>
      <c r="C537" s="103"/>
      <c r="D537" s="13"/>
      <c r="E537" s="13"/>
      <c r="F537" s="13"/>
      <c r="G537" s="13"/>
      <c r="H537" s="13"/>
      <c r="I537" s="13"/>
      <c r="J537" s="13"/>
      <c r="K537" s="13"/>
      <c r="L537" s="13"/>
      <c r="M537" s="13"/>
      <c r="N537" s="13"/>
      <c r="O537" s="13"/>
      <c r="P537" s="13"/>
      <c r="Q537" s="13"/>
    </row>
    <row r="538" spans="1:17" x14ac:dyDescent="0.25">
      <c r="A538" s="13"/>
      <c r="B538" s="13"/>
      <c r="C538" s="103"/>
      <c r="D538" s="13"/>
      <c r="E538" s="13"/>
      <c r="F538" s="13"/>
      <c r="G538" s="13"/>
      <c r="H538" s="13"/>
      <c r="I538" s="13"/>
      <c r="J538" s="13"/>
      <c r="K538" s="13"/>
      <c r="L538" s="13"/>
      <c r="M538" s="13"/>
      <c r="N538" s="13"/>
      <c r="O538" s="13"/>
      <c r="P538" s="13"/>
      <c r="Q538" s="13"/>
    </row>
    <row r="539" spans="1:17" x14ac:dyDescent="0.25">
      <c r="A539" s="13"/>
      <c r="B539" s="195" t="s">
        <v>1425</v>
      </c>
      <c r="C539" s="103"/>
      <c r="D539" s="103"/>
      <c r="E539" s="103"/>
      <c r="F539" s="103"/>
      <c r="G539" s="103"/>
      <c r="H539" s="13"/>
      <c r="I539" s="103"/>
      <c r="J539" s="103"/>
      <c r="K539" s="103"/>
      <c r="L539" s="13"/>
      <c r="M539" s="13"/>
      <c r="N539" s="13"/>
      <c r="O539" s="13"/>
      <c r="P539" s="13"/>
      <c r="Q539" s="13"/>
    </row>
    <row r="540" spans="1:17" x14ac:dyDescent="0.25">
      <c r="A540" s="13"/>
      <c r="B540" s="13"/>
      <c r="C540" s="103"/>
      <c r="D540" s="13"/>
      <c r="E540" s="13"/>
      <c r="F540" s="13"/>
      <c r="G540" s="13"/>
      <c r="H540" s="13"/>
      <c r="I540" s="13"/>
      <c r="J540" s="13"/>
      <c r="K540" s="13"/>
      <c r="L540" s="13"/>
      <c r="M540" s="13"/>
      <c r="N540" s="13"/>
      <c r="O540" s="13"/>
      <c r="P540" s="13"/>
      <c r="Q540" s="13"/>
    </row>
    <row r="541" spans="1:17" x14ac:dyDescent="0.25">
      <c r="A541" s="13"/>
      <c r="B541" s="193" t="s">
        <v>1426</v>
      </c>
      <c r="C541" s="103"/>
      <c r="D541" s="13"/>
      <c r="E541" s="13"/>
      <c r="F541" s="13"/>
      <c r="G541" s="13"/>
      <c r="H541" s="13"/>
      <c r="I541" s="13"/>
      <c r="J541" s="13"/>
      <c r="K541" s="13"/>
      <c r="L541" s="13"/>
      <c r="M541" s="13"/>
      <c r="N541" s="13"/>
      <c r="O541" s="13"/>
      <c r="P541" s="13"/>
      <c r="Q541" s="13"/>
    </row>
    <row r="542" spans="1:17" x14ac:dyDescent="0.25">
      <c r="A542" s="13"/>
      <c r="B542" s="13"/>
      <c r="C542" s="103"/>
      <c r="D542" s="13"/>
      <c r="E542" s="13"/>
      <c r="F542" s="13"/>
      <c r="G542" s="13"/>
      <c r="H542" s="13"/>
      <c r="I542" s="13"/>
      <c r="J542" s="13"/>
      <c r="K542" s="13"/>
      <c r="L542" s="13"/>
      <c r="M542" s="13"/>
      <c r="N542" s="13"/>
      <c r="O542" s="13"/>
      <c r="P542" s="13"/>
      <c r="Q542" s="13"/>
    </row>
    <row r="543" spans="1:17" x14ac:dyDescent="0.25">
      <c r="A543" s="104">
        <v>1</v>
      </c>
      <c r="B543" s="193" t="s">
        <v>1427</v>
      </c>
      <c r="C543" s="103"/>
      <c r="D543" s="105">
        <v>10080695046.917683</v>
      </c>
      <c r="E543" s="13"/>
      <c r="F543" s="105">
        <v>9425469470.6105957</v>
      </c>
      <c r="G543" s="105"/>
      <c r="H543" s="105">
        <v>508660146.68823594</v>
      </c>
      <c r="I543" s="105">
        <v>146565429.61885062</v>
      </c>
      <c r="J543" s="105"/>
      <c r="K543" s="105"/>
      <c r="L543" s="105">
        <v>711694.75584535592</v>
      </c>
      <c r="M543" s="105"/>
      <c r="N543" s="105">
        <v>145853734.86300525</v>
      </c>
      <c r="O543" s="105">
        <v>75807020.555096</v>
      </c>
      <c r="P543" s="105">
        <v>70046714.30790925</v>
      </c>
      <c r="Q543" s="105">
        <v>1.5075051889547236E-11</v>
      </c>
    </row>
    <row r="544" spans="1:17" x14ac:dyDescent="0.25">
      <c r="A544" s="13"/>
      <c r="B544" s="13"/>
      <c r="C544" s="103"/>
      <c r="D544" s="13"/>
      <c r="E544" s="13"/>
      <c r="F544" s="13"/>
      <c r="G544" s="13"/>
      <c r="H544" s="13"/>
      <c r="I544" s="13"/>
      <c r="J544" s="13"/>
      <c r="K544" s="13"/>
      <c r="L544" s="13"/>
      <c r="M544" s="13"/>
      <c r="N544" s="13"/>
      <c r="O544" s="13"/>
      <c r="P544" s="13"/>
      <c r="Q544" s="13"/>
    </row>
    <row r="545" spans="1:17" x14ac:dyDescent="0.25">
      <c r="A545" s="104">
        <v>2</v>
      </c>
      <c r="B545" s="193" t="s">
        <v>1428</v>
      </c>
      <c r="C545" s="103"/>
      <c r="D545" s="105">
        <v>3497188448.2267771</v>
      </c>
      <c r="E545" s="105"/>
      <c r="F545" s="105">
        <v>3249389114.0657554</v>
      </c>
      <c r="G545" s="105"/>
      <c r="H545" s="105">
        <v>195146564.82873458</v>
      </c>
      <c r="I545" s="105">
        <v>52652769.332287349</v>
      </c>
      <c r="J545" s="105"/>
      <c r="K545" s="105"/>
      <c r="L545" s="105">
        <v>170248.71866064827</v>
      </c>
      <c r="M545" s="105"/>
      <c r="N545" s="105">
        <v>52482520.613626704</v>
      </c>
      <c r="O545" s="105">
        <v>27263603.382662892</v>
      </c>
      <c r="P545" s="105">
        <v>25218917.230963811</v>
      </c>
      <c r="Q545" s="105">
        <v>5.2344872242675233E-12</v>
      </c>
    </row>
    <row r="546" spans="1:17" x14ac:dyDescent="0.25">
      <c r="A546" s="104">
        <v>3</v>
      </c>
      <c r="B546" s="193" t="s">
        <v>1429</v>
      </c>
      <c r="C546" s="103"/>
      <c r="D546" s="105">
        <v>6583506598.6909037</v>
      </c>
      <c r="E546" s="105"/>
      <c r="F546" s="105">
        <v>6176080356.5448399</v>
      </c>
      <c r="G546" s="105"/>
      <c r="H546" s="105">
        <v>313513581.85950136</v>
      </c>
      <c r="I546" s="105">
        <v>93912660.286563247</v>
      </c>
      <c r="J546" s="105"/>
      <c r="K546" s="105"/>
      <c r="L546" s="105">
        <v>541446.03718470759</v>
      </c>
      <c r="M546" s="105"/>
      <c r="N546" s="105">
        <v>93371214.249378547</v>
      </c>
      <c r="O546" s="105">
        <v>48543417.172433108</v>
      </c>
      <c r="P546" s="105">
        <v>44827797.076945439</v>
      </c>
      <c r="Q546" s="105">
        <v>9.8405646652797123E-12</v>
      </c>
    </row>
    <row r="547" spans="1:17" x14ac:dyDescent="0.25">
      <c r="A547" s="13"/>
      <c r="B547" s="13"/>
      <c r="C547" s="103"/>
      <c r="D547" s="105"/>
      <c r="E547" s="105"/>
      <c r="F547" s="105"/>
      <c r="G547" s="105"/>
      <c r="H547" s="105"/>
      <c r="I547" s="105"/>
      <c r="J547" s="105"/>
      <c r="K547" s="105"/>
      <c r="L547" s="105"/>
      <c r="M547" s="105"/>
      <c r="N547" s="105"/>
      <c r="O547" s="105"/>
      <c r="P547" s="105"/>
      <c r="Q547" s="105"/>
    </row>
    <row r="548" spans="1:17" x14ac:dyDescent="0.25">
      <c r="A548" s="104">
        <v>4</v>
      </c>
      <c r="B548" s="193" t="s">
        <v>1430</v>
      </c>
      <c r="C548" s="103"/>
      <c r="D548" s="105">
        <v>238614173.85720006</v>
      </c>
      <c r="E548" s="105"/>
      <c r="F548" s="105">
        <v>222778375.43355778</v>
      </c>
      <c r="G548" s="105"/>
      <c r="H548" s="105">
        <v>12835579.242854822</v>
      </c>
      <c r="I548" s="105">
        <v>3000219.1807874544</v>
      </c>
      <c r="J548" s="105"/>
      <c r="K548" s="105"/>
      <c r="L548" s="105">
        <v>2168.6294365222516</v>
      </c>
      <c r="M548" s="105"/>
      <c r="N548" s="105">
        <v>2998050.5513509321</v>
      </c>
      <c r="O548" s="105">
        <v>1524395.9972412861</v>
      </c>
      <c r="P548" s="105">
        <v>1473654.554109646</v>
      </c>
      <c r="Q548" s="105">
        <v>1.5644837784903401E-12</v>
      </c>
    </row>
    <row r="549" spans="1:17" x14ac:dyDescent="0.25">
      <c r="A549" s="104">
        <v>5</v>
      </c>
      <c r="B549" s="193" t="s">
        <v>1431</v>
      </c>
      <c r="C549" s="103"/>
      <c r="D549" s="105">
        <v>6822120772.5481043</v>
      </c>
      <c r="E549" s="105"/>
      <c r="F549" s="105">
        <v>6398858731.9783974</v>
      </c>
      <c r="G549" s="105"/>
      <c r="H549" s="105">
        <v>326349161.1023562</v>
      </c>
      <c r="I549" s="105">
        <v>96912879.467350706</v>
      </c>
      <c r="J549" s="105"/>
      <c r="K549" s="105"/>
      <c r="L549" s="105">
        <v>543614.66662122984</v>
      </c>
      <c r="M549" s="105"/>
      <c r="N549" s="105">
        <v>96369264.800729483</v>
      </c>
      <c r="O549" s="105">
        <v>50067813.169674397</v>
      </c>
      <c r="P549" s="105">
        <v>46301451.631055087</v>
      </c>
      <c r="Q549" s="105">
        <v>1.1405048443770053E-11</v>
      </c>
    </row>
    <row r="550" spans="1:17" x14ac:dyDescent="0.25">
      <c r="A550" s="13"/>
      <c r="B550" s="13"/>
      <c r="C550" s="103"/>
      <c r="D550" s="105"/>
      <c r="E550" s="105"/>
      <c r="F550" s="105"/>
      <c r="G550" s="105"/>
      <c r="H550" s="105"/>
      <c r="I550" s="105"/>
      <c r="J550" s="105"/>
      <c r="K550" s="105"/>
      <c r="L550" s="105"/>
      <c r="M550" s="105"/>
      <c r="N550" s="105"/>
      <c r="O550" s="105"/>
      <c r="P550" s="105"/>
      <c r="Q550" s="105"/>
    </row>
    <row r="551" spans="1:17" x14ac:dyDescent="0.25">
      <c r="A551" s="13"/>
      <c r="B551" s="193" t="s">
        <v>1432</v>
      </c>
      <c r="C551" s="103"/>
      <c r="D551" s="105"/>
      <c r="E551" s="105"/>
      <c r="F551" s="105"/>
      <c r="G551" s="105"/>
      <c r="H551" s="105"/>
      <c r="I551" s="105"/>
      <c r="J551" s="105"/>
      <c r="K551" s="105"/>
      <c r="L551" s="105"/>
      <c r="M551" s="105"/>
      <c r="N551" s="105"/>
      <c r="O551" s="105"/>
      <c r="P551" s="105"/>
      <c r="Q551" s="105"/>
    </row>
    <row r="552" spans="1:17" x14ac:dyDescent="0.25">
      <c r="A552" s="104">
        <v>6</v>
      </c>
      <c r="B552" s="193" t="s">
        <v>1435</v>
      </c>
      <c r="C552" s="103"/>
      <c r="D552" s="105">
        <v>60204949</v>
      </c>
      <c r="E552" s="105"/>
      <c r="F552" s="105">
        <v>56084636.798406467</v>
      </c>
      <c r="G552" s="105"/>
      <c r="H552" s="105">
        <v>3279783.3207973223</v>
      </c>
      <c r="I552" s="105">
        <v>840528.88079620863</v>
      </c>
      <c r="J552" s="105"/>
      <c r="K552" s="105"/>
      <c r="L552" s="105">
        <v>3023.6233394026872</v>
      </c>
      <c r="M552" s="105"/>
      <c r="N552" s="105">
        <v>837505.25745680591</v>
      </c>
      <c r="O552" s="105">
        <v>432422.89569136029</v>
      </c>
      <c r="P552" s="105">
        <v>405082.36176544562</v>
      </c>
      <c r="Q552" s="105">
        <v>0</v>
      </c>
    </row>
    <row r="553" spans="1:17" x14ac:dyDescent="0.25">
      <c r="A553" s="104">
        <v>7</v>
      </c>
      <c r="B553" s="193" t="s">
        <v>1436</v>
      </c>
      <c r="C553" s="103"/>
      <c r="D553" s="105">
        <v>62955456.000000007</v>
      </c>
      <c r="E553" s="105"/>
      <c r="F553" s="105">
        <v>59241660.740988947</v>
      </c>
      <c r="G553" s="105"/>
      <c r="H553" s="105">
        <v>2416789.5602463312</v>
      </c>
      <c r="I553" s="105">
        <v>1297005.6987647284</v>
      </c>
      <c r="J553" s="105"/>
      <c r="K553" s="105"/>
      <c r="L553" s="105">
        <v>265.13329903306823</v>
      </c>
      <c r="M553" s="105"/>
      <c r="N553" s="105">
        <v>1296740.5654656952</v>
      </c>
      <c r="O553" s="105">
        <v>656679.3526504836</v>
      </c>
      <c r="P553" s="105">
        <v>640061.2128152115</v>
      </c>
      <c r="Q553" s="105">
        <v>0</v>
      </c>
    </row>
    <row r="554" spans="1:17" x14ac:dyDescent="0.25">
      <c r="A554" s="104">
        <v>8</v>
      </c>
      <c r="B554" s="193" t="s">
        <v>912</v>
      </c>
      <c r="C554" s="103"/>
      <c r="D554" s="105">
        <v>15827969.641744697</v>
      </c>
      <c r="E554" s="105"/>
      <c r="F554" s="105">
        <v>15605033.931140801</v>
      </c>
      <c r="G554" s="105"/>
      <c r="H554" s="105">
        <v>0</v>
      </c>
      <c r="I554" s="105">
        <v>222935.7106038967</v>
      </c>
      <c r="J554" s="105"/>
      <c r="K554" s="105"/>
      <c r="L554" s="105">
        <v>1163.9364484895309</v>
      </c>
      <c r="M554" s="105"/>
      <c r="N554" s="105">
        <v>221771.77415540718</v>
      </c>
      <c r="O554" s="105">
        <v>115396.90264337357</v>
      </c>
      <c r="P554" s="105">
        <v>106374.87151203361</v>
      </c>
      <c r="Q554" s="105">
        <v>4.1027953474999583E-13</v>
      </c>
    </row>
    <row r="555" spans="1:17" x14ac:dyDescent="0.25">
      <c r="A555" s="104">
        <v>9</v>
      </c>
      <c r="B555" s="193" t="s">
        <v>913</v>
      </c>
      <c r="C555" s="103"/>
      <c r="D555" s="105">
        <v>106088753.94732079</v>
      </c>
      <c r="E555" s="105"/>
      <c r="F555" s="105">
        <v>97134648.882647425</v>
      </c>
      <c r="G555" s="105"/>
      <c r="H555" s="105">
        <v>7165285.0791509133</v>
      </c>
      <c r="I555" s="105">
        <v>1788819.9855224532</v>
      </c>
      <c r="J555" s="105"/>
      <c r="K555" s="105"/>
      <c r="L555" s="105">
        <v>3192.818508687782</v>
      </c>
      <c r="M555" s="105"/>
      <c r="N555" s="105">
        <v>1785627.1670137653</v>
      </c>
      <c r="O555" s="105">
        <v>910888.79298492882</v>
      </c>
      <c r="P555" s="105">
        <v>874738.37402883638</v>
      </c>
      <c r="Q555" s="105">
        <v>7.1759110057666899E-13</v>
      </c>
    </row>
    <row r="556" spans="1:17" x14ac:dyDescent="0.25">
      <c r="A556" s="104">
        <v>10</v>
      </c>
      <c r="B556" s="193" t="s">
        <v>914</v>
      </c>
      <c r="C556" s="103"/>
      <c r="D556" s="105">
        <v>129522</v>
      </c>
      <c r="E556" s="105"/>
      <c r="F556" s="105">
        <v>121415.99914063678</v>
      </c>
      <c r="G556" s="105"/>
      <c r="H556" s="105">
        <v>5559.7880225348144</v>
      </c>
      <c r="I556" s="105">
        <v>2546.2128368284079</v>
      </c>
      <c r="J556" s="105"/>
      <c r="K556" s="105"/>
      <c r="L556" s="105">
        <v>0.3897284430270167</v>
      </c>
      <c r="M556" s="105"/>
      <c r="N556" s="105">
        <v>2545.8231083853811</v>
      </c>
      <c r="O556" s="105">
        <v>1291.1703317485064</v>
      </c>
      <c r="P556" s="105">
        <v>1254.6527766368747</v>
      </c>
      <c r="Q556" s="105">
        <v>0</v>
      </c>
    </row>
    <row r="557" spans="1:17" x14ac:dyDescent="0.25">
      <c r="A557" s="104">
        <v>11</v>
      </c>
      <c r="B557" s="193" t="s">
        <v>2139</v>
      </c>
      <c r="C557" s="103"/>
      <c r="D557" s="105">
        <v>101937692.82886787</v>
      </c>
      <c r="E557" s="105"/>
      <c r="F557" s="105">
        <v>96343596</v>
      </c>
      <c r="G557" s="105"/>
      <c r="H557" s="105">
        <v>3332590.8360824827</v>
      </c>
      <c r="I557" s="105">
        <v>2261505.9927853812</v>
      </c>
      <c r="J557" s="105"/>
      <c r="K557" s="105"/>
      <c r="L557" s="105">
        <v>346.15064252144873</v>
      </c>
      <c r="M557" s="105"/>
      <c r="N557" s="105">
        <v>2261159.8421428595</v>
      </c>
      <c r="O557" s="105">
        <v>1146797.0786735597</v>
      </c>
      <c r="P557" s="105">
        <v>1114362.7634692998</v>
      </c>
      <c r="Q557" s="105">
        <v>0</v>
      </c>
    </row>
    <row r="558" spans="1:17" x14ac:dyDescent="0.25">
      <c r="A558" s="104">
        <v>12</v>
      </c>
      <c r="B558" s="193" t="s">
        <v>915</v>
      </c>
      <c r="C558" s="103"/>
      <c r="D558" s="105">
        <v>347144343.41793329</v>
      </c>
      <c r="E558" s="105"/>
      <c r="F558" s="105">
        <v>324530992.35232425</v>
      </c>
      <c r="G558" s="105"/>
      <c r="H558" s="105">
        <v>16200008.584299585</v>
      </c>
      <c r="I558" s="105">
        <v>6413342.4813094959</v>
      </c>
      <c r="J558" s="105"/>
      <c r="K558" s="105"/>
      <c r="L558" s="105">
        <v>7992.0519665775437</v>
      </c>
      <c r="M558" s="105"/>
      <c r="N558" s="105">
        <v>6405350.4293429181</v>
      </c>
      <c r="O558" s="105">
        <v>3263476.1929754545</v>
      </c>
      <c r="P558" s="105">
        <v>3141874.2363674636</v>
      </c>
      <c r="Q558" s="105">
        <v>1.1278706353266648E-12</v>
      </c>
    </row>
    <row r="559" spans="1:17" x14ac:dyDescent="0.25">
      <c r="A559" s="13"/>
      <c r="B559" s="13"/>
      <c r="C559" s="103"/>
      <c r="D559" s="105"/>
      <c r="E559" s="105"/>
      <c r="F559" s="105"/>
      <c r="G559" s="105"/>
      <c r="H559" s="105"/>
      <c r="I559" s="105"/>
      <c r="J559" s="105"/>
      <c r="K559" s="105"/>
      <c r="L559" s="105"/>
      <c r="M559" s="105"/>
      <c r="N559" s="105"/>
      <c r="O559" s="105"/>
      <c r="P559" s="105"/>
      <c r="Q559" s="105"/>
    </row>
    <row r="560" spans="1:17" x14ac:dyDescent="0.25">
      <c r="A560" s="13"/>
      <c r="B560" s="193" t="s">
        <v>916</v>
      </c>
      <c r="C560" s="103"/>
      <c r="D560" s="105"/>
      <c r="E560" s="105"/>
      <c r="F560" s="105"/>
      <c r="G560" s="105"/>
      <c r="H560" s="105"/>
      <c r="I560" s="105"/>
      <c r="J560" s="105"/>
      <c r="K560" s="105"/>
      <c r="L560" s="105"/>
      <c r="M560" s="105"/>
      <c r="N560" s="105"/>
      <c r="O560" s="105"/>
      <c r="P560" s="105"/>
      <c r="Q560" s="105"/>
    </row>
    <row r="561" spans="1:17" x14ac:dyDescent="0.25">
      <c r="A561" s="104">
        <v>13</v>
      </c>
      <c r="B561" s="193" t="s">
        <v>626</v>
      </c>
      <c r="C561" s="103"/>
      <c r="D561" s="105">
        <v>1404997153</v>
      </c>
      <c r="E561" s="105"/>
      <c r="F561" s="105">
        <v>1318146331.5784707</v>
      </c>
      <c r="G561" s="105"/>
      <c r="H561" s="105">
        <v>67529331.626886949</v>
      </c>
      <c r="I561" s="105">
        <v>19321489.794642441</v>
      </c>
      <c r="J561" s="105"/>
      <c r="K561" s="105"/>
      <c r="L561" s="105">
        <v>100563.72075053999</v>
      </c>
      <c r="M561" s="105"/>
      <c r="N561" s="105">
        <v>19220926.0738919</v>
      </c>
      <c r="O561" s="105">
        <v>10007568.864104772</v>
      </c>
      <c r="P561" s="105">
        <v>9213357.2097871266</v>
      </c>
      <c r="Q561" s="105">
        <v>2.1280583895117489E-12</v>
      </c>
    </row>
    <row r="562" spans="1:17" x14ac:dyDescent="0.25">
      <c r="A562" s="104">
        <v>14</v>
      </c>
      <c r="B562" s="193" t="s">
        <v>627</v>
      </c>
      <c r="C562" s="103"/>
      <c r="D562" s="105">
        <v>89931576</v>
      </c>
      <c r="E562" s="105"/>
      <c r="F562" s="105">
        <v>84144326.90693669</v>
      </c>
      <c r="G562" s="105"/>
      <c r="H562" s="105">
        <v>3907846.0523916194</v>
      </c>
      <c r="I562" s="105">
        <v>1879403.0406716915</v>
      </c>
      <c r="J562" s="105"/>
      <c r="K562" s="105"/>
      <c r="L562" s="105">
        <v>268.6903877332623</v>
      </c>
      <c r="M562" s="105"/>
      <c r="N562" s="105">
        <v>1879134.3502839583</v>
      </c>
      <c r="O562" s="105">
        <v>953044.42577511061</v>
      </c>
      <c r="P562" s="105">
        <v>926089.92450884765</v>
      </c>
      <c r="Q562" s="105">
        <v>0</v>
      </c>
    </row>
    <row r="563" spans="1:17" x14ac:dyDescent="0.25">
      <c r="A563" s="104">
        <v>15</v>
      </c>
      <c r="B563" s="193" t="s">
        <v>628</v>
      </c>
      <c r="C563" s="103"/>
      <c r="D563" s="105">
        <v>980981.36999999965</v>
      </c>
      <c r="E563" s="105"/>
      <c r="F563" s="105">
        <v>951646.55364259344</v>
      </c>
      <c r="G563" s="105"/>
      <c r="H563" s="105">
        <v>29334.816357406231</v>
      </c>
      <c r="I563" s="105">
        <v>0</v>
      </c>
      <c r="J563" s="105"/>
      <c r="K563" s="105"/>
      <c r="L563" s="105">
        <v>0</v>
      </c>
      <c r="M563" s="105"/>
      <c r="N563" s="105">
        <v>0</v>
      </c>
      <c r="O563" s="105">
        <v>0</v>
      </c>
      <c r="P563" s="105">
        <v>0</v>
      </c>
      <c r="Q563" s="105">
        <v>0</v>
      </c>
    </row>
    <row r="564" spans="1:17" x14ac:dyDescent="0.25">
      <c r="A564" s="104">
        <v>16</v>
      </c>
      <c r="B564" s="196" t="s">
        <v>1873</v>
      </c>
      <c r="C564" s="103"/>
      <c r="D564" s="105">
        <v>30898393.370000001</v>
      </c>
      <c r="E564" s="105"/>
      <c r="F564" s="105">
        <v>0</v>
      </c>
      <c r="G564" s="105"/>
      <c r="H564" s="105">
        <v>1710542.4421739152</v>
      </c>
      <c r="I564" s="105">
        <v>1.0102626508301783E-2</v>
      </c>
      <c r="J564" s="105"/>
      <c r="K564" s="105"/>
      <c r="L564" s="105">
        <v>0</v>
      </c>
      <c r="M564" s="105"/>
      <c r="N564" s="105">
        <v>1.0102626508301783E-2</v>
      </c>
      <c r="O564" s="105">
        <v>1.0102626508301783E-2</v>
      </c>
      <c r="P564" s="105">
        <v>0</v>
      </c>
      <c r="Q564" s="105">
        <v>0</v>
      </c>
    </row>
    <row r="565" spans="1:17" x14ac:dyDescent="0.25">
      <c r="A565" s="104">
        <v>17</v>
      </c>
      <c r="B565" s="193" t="s">
        <v>629</v>
      </c>
      <c r="C565" s="103"/>
      <c r="D565" s="105">
        <v>-91173</v>
      </c>
      <c r="E565" s="105"/>
      <c r="F565" s="105">
        <v>0</v>
      </c>
      <c r="G565" s="105"/>
      <c r="H565" s="105">
        <v>-91173</v>
      </c>
      <c r="I565" s="105">
        <v>0</v>
      </c>
      <c r="J565" s="105"/>
      <c r="K565" s="105"/>
      <c r="L565" s="105">
        <v>0</v>
      </c>
      <c r="M565" s="105"/>
      <c r="N565" s="105">
        <v>0</v>
      </c>
      <c r="O565" s="105">
        <v>0</v>
      </c>
      <c r="P565" s="105">
        <v>0</v>
      </c>
      <c r="Q565" s="105">
        <v>0</v>
      </c>
    </row>
    <row r="566" spans="1:17" x14ac:dyDescent="0.25">
      <c r="A566" s="104">
        <v>18</v>
      </c>
      <c r="B566" s="196" t="s">
        <v>1874</v>
      </c>
      <c r="C566" s="13"/>
      <c r="D566" s="105">
        <v>18730630.045384593</v>
      </c>
      <c r="E566" s="105"/>
      <c r="F566" s="105">
        <v>0</v>
      </c>
      <c r="G566" s="105"/>
      <c r="H566" s="105">
        <v>886419.9952795289</v>
      </c>
      <c r="I566" s="105">
        <v>9.983713851556715E-13</v>
      </c>
      <c r="J566" s="105"/>
      <c r="K566" s="105"/>
      <c r="L566" s="105">
        <v>0</v>
      </c>
      <c r="M566" s="105"/>
      <c r="N566" s="105">
        <v>9.983713851556715E-13</v>
      </c>
      <c r="O566" s="105">
        <v>0</v>
      </c>
      <c r="P566" s="105">
        <v>0</v>
      </c>
      <c r="Q566" s="105">
        <v>9.983713851556715E-13</v>
      </c>
    </row>
    <row r="567" spans="1:17" x14ac:dyDescent="0.25">
      <c r="A567" s="104">
        <v>19</v>
      </c>
      <c r="B567" s="196" t="s">
        <v>2015</v>
      </c>
      <c r="C567" s="13"/>
      <c r="D567" s="105">
        <v>6921646.9999999981</v>
      </c>
      <c r="E567" s="105"/>
      <c r="F567" s="105">
        <v>0</v>
      </c>
      <c r="G567" s="105"/>
      <c r="H567" s="105">
        <v>0</v>
      </c>
      <c r="I567" s="105">
        <v>82420.366306762357</v>
      </c>
      <c r="J567" s="105"/>
      <c r="K567" s="105"/>
      <c r="L567" s="105">
        <v>0</v>
      </c>
      <c r="M567" s="105"/>
      <c r="N567" s="105">
        <v>82420.366306762357</v>
      </c>
      <c r="O567" s="105">
        <v>42960.284559247972</v>
      </c>
      <c r="P567" s="105">
        <v>39460.081747514385</v>
      </c>
      <c r="Q567" s="105">
        <v>3.689344291251633E-13</v>
      </c>
    </row>
    <row r="568" spans="1:17" x14ac:dyDescent="0.25">
      <c r="A568" s="104">
        <v>20</v>
      </c>
      <c r="B568" s="196" t="s">
        <v>2016</v>
      </c>
      <c r="C568" s="13"/>
      <c r="D568" s="105">
        <v>6465681.3499999996</v>
      </c>
      <c r="E568" s="105"/>
      <c r="F568" s="105">
        <v>0</v>
      </c>
      <c r="G568" s="105"/>
      <c r="H568" s="105">
        <v>0</v>
      </c>
      <c r="I568" s="105">
        <v>76990.899028771877</v>
      </c>
      <c r="J568" s="105"/>
      <c r="K568" s="105"/>
      <c r="L568" s="105">
        <v>0</v>
      </c>
      <c r="M568" s="105"/>
      <c r="N568" s="105">
        <v>76990.899028771877</v>
      </c>
      <c r="O568" s="105">
        <v>40130.262445545493</v>
      </c>
      <c r="P568" s="105">
        <v>36860.636583226391</v>
      </c>
      <c r="Q568" s="105">
        <v>3.4463075880169356E-13</v>
      </c>
    </row>
    <row r="569" spans="1:17" x14ac:dyDescent="0.25">
      <c r="A569" s="104">
        <v>21</v>
      </c>
      <c r="B569" s="196" t="s">
        <v>2017</v>
      </c>
      <c r="C569" s="13"/>
      <c r="D569" s="105">
        <v>1944142.0800000003</v>
      </c>
      <c r="E569" s="105"/>
      <c r="F569" s="105">
        <v>0</v>
      </c>
      <c r="G569" s="105"/>
      <c r="H569" s="105">
        <v>0</v>
      </c>
      <c r="I569" s="105">
        <v>23150.111871638492</v>
      </c>
      <c r="J569" s="105"/>
      <c r="K569" s="105"/>
      <c r="L569" s="105">
        <v>0</v>
      </c>
      <c r="M569" s="105"/>
      <c r="N569" s="105">
        <v>23150.111871638492</v>
      </c>
      <c r="O569" s="105">
        <v>12066.621857544638</v>
      </c>
      <c r="P569" s="105">
        <v>11083.490014093853</v>
      </c>
      <c r="Q569" s="105">
        <v>1.0362576254221111E-13</v>
      </c>
    </row>
    <row r="570" spans="1:17" x14ac:dyDescent="0.25">
      <c r="A570" s="104">
        <v>22</v>
      </c>
      <c r="B570" s="193" t="s">
        <v>1007</v>
      </c>
      <c r="C570" s="103"/>
      <c r="D570" s="105">
        <v>1560779031.2153842</v>
      </c>
      <c r="E570" s="105"/>
      <c r="F570" s="105">
        <v>1403242305.0390499</v>
      </c>
      <c r="G570" s="105"/>
      <c r="H570" s="105">
        <v>73972301.93308942</v>
      </c>
      <c r="I570" s="105">
        <v>21383454.222623929</v>
      </c>
      <c r="J570" s="105"/>
      <c r="K570" s="105"/>
      <c r="L570" s="105">
        <v>100832.41113827325</v>
      </c>
      <c r="M570" s="105"/>
      <c r="N570" s="105">
        <v>21282621.811485656</v>
      </c>
      <c r="O570" s="105">
        <v>11055770.468844846</v>
      </c>
      <c r="P570" s="105">
        <v>10226851.342640808</v>
      </c>
      <c r="Q570" s="105">
        <v>3.9436207251364882E-12</v>
      </c>
    </row>
    <row r="571" spans="1:17" x14ac:dyDescent="0.25">
      <c r="A571" s="13"/>
      <c r="B571" s="13"/>
      <c r="C571" s="103"/>
      <c r="D571" s="105"/>
      <c r="E571" s="105"/>
      <c r="F571" s="105"/>
      <c r="G571" s="105"/>
      <c r="H571" s="105"/>
      <c r="I571" s="105"/>
      <c r="J571" s="105"/>
      <c r="K571" s="105"/>
      <c r="L571" s="105"/>
      <c r="M571" s="105"/>
      <c r="N571" s="105"/>
      <c r="O571" s="105"/>
      <c r="P571" s="105"/>
      <c r="Q571" s="105"/>
    </row>
    <row r="572" spans="1:17" x14ac:dyDescent="0.25">
      <c r="A572" s="104">
        <v>23</v>
      </c>
      <c r="B572" s="193" t="s">
        <v>1008</v>
      </c>
      <c r="C572" s="103"/>
      <c r="D572" s="105">
        <v>5608486084.7506533</v>
      </c>
      <c r="E572" s="105"/>
      <c r="F572" s="105">
        <v>5320147419.2916718</v>
      </c>
      <c r="G572" s="105"/>
      <c r="H572" s="105">
        <v>268576867.75356632</v>
      </c>
      <c r="I572" s="105">
        <v>81942767.72603628</v>
      </c>
      <c r="J572" s="105"/>
      <c r="K572" s="105"/>
      <c r="L572" s="105">
        <v>450774.30744953413</v>
      </c>
      <c r="M572" s="105"/>
      <c r="N572" s="105">
        <v>81491993.418586746</v>
      </c>
      <c r="O572" s="105">
        <v>42275518.893805005</v>
      </c>
      <c r="P572" s="105">
        <v>39216474.524781741</v>
      </c>
      <c r="Q572" s="105">
        <v>8.589298353960229E-12</v>
      </c>
    </row>
    <row r="573" spans="1:17" x14ac:dyDescent="0.25">
      <c r="A573" s="13"/>
      <c r="B573" s="13"/>
      <c r="C573" s="103"/>
      <c r="D573" s="105"/>
      <c r="E573" s="105"/>
      <c r="F573" s="105"/>
      <c r="G573" s="105"/>
      <c r="H573" s="105"/>
      <c r="I573" s="105"/>
      <c r="J573" s="105"/>
      <c r="K573" s="105"/>
      <c r="L573" s="105"/>
      <c r="M573" s="105"/>
      <c r="N573" s="105"/>
      <c r="O573" s="105"/>
      <c r="P573" s="105"/>
      <c r="Q573" s="105"/>
    </row>
    <row r="574" spans="1:17" x14ac:dyDescent="0.25">
      <c r="A574" s="13"/>
      <c r="B574" s="193" t="s">
        <v>1009</v>
      </c>
      <c r="C574" s="103"/>
      <c r="D574" s="105"/>
      <c r="E574" s="105"/>
      <c r="F574" s="105"/>
      <c r="G574" s="105"/>
      <c r="H574" s="105"/>
      <c r="I574" s="105"/>
      <c r="J574" s="105"/>
      <c r="K574" s="105"/>
      <c r="L574" s="105"/>
      <c r="M574" s="105"/>
      <c r="N574" s="105"/>
      <c r="O574" s="105"/>
      <c r="P574" s="105"/>
      <c r="Q574" s="105"/>
    </row>
    <row r="575" spans="1:17" x14ac:dyDescent="0.25">
      <c r="A575" s="104">
        <v>24</v>
      </c>
      <c r="B575" s="193" t="s">
        <v>1010</v>
      </c>
      <c r="C575" s="103"/>
      <c r="D575" s="105">
        <v>1736087696.9857175</v>
      </c>
      <c r="E575" s="105"/>
      <c r="F575" s="105">
        <v>1637036502.0309165</v>
      </c>
      <c r="G575" s="105"/>
      <c r="H575" s="105">
        <v>73646268.174997061</v>
      </c>
      <c r="I575" s="105">
        <v>25404926.779804032</v>
      </c>
      <c r="J575" s="105"/>
      <c r="K575" s="105"/>
      <c r="L575" s="105">
        <v>172.13271890353676</v>
      </c>
      <c r="M575" s="105"/>
      <c r="N575" s="105">
        <v>25404754.64708513</v>
      </c>
      <c r="O575" s="105">
        <v>12946042.706812311</v>
      </c>
      <c r="P575" s="105">
        <v>12458711.940272819</v>
      </c>
      <c r="Q575" s="105">
        <v>0</v>
      </c>
    </row>
    <row r="576" spans="1:17" x14ac:dyDescent="0.25">
      <c r="A576" s="13"/>
      <c r="B576" s="13"/>
      <c r="C576" s="103"/>
      <c r="D576" s="105"/>
      <c r="E576" s="105"/>
      <c r="F576" s="105"/>
      <c r="G576" s="105"/>
      <c r="H576" s="105"/>
      <c r="I576" s="105"/>
      <c r="J576" s="105"/>
      <c r="K576" s="105"/>
      <c r="L576" s="105"/>
      <c r="M576" s="105"/>
      <c r="N576" s="105"/>
      <c r="O576" s="105"/>
      <c r="P576" s="105"/>
      <c r="Q576" s="105"/>
    </row>
    <row r="577" spans="1:23" x14ac:dyDescent="0.25">
      <c r="A577" s="13"/>
      <c r="B577" s="193" t="s">
        <v>1011</v>
      </c>
      <c r="C577" s="103"/>
      <c r="D577" s="105"/>
      <c r="E577" s="105"/>
      <c r="F577" s="105"/>
      <c r="G577" s="105"/>
      <c r="H577" s="105"/>
      <c r="I577" s="105"/>
      <c r="J577" s="105"/>
      <c r="K577" s="105"/>
      <c r="L577" s="105"/>
      <c r="M577" s="105"/>
      <c r="N577" s="105"/>
      <c r="O577" s="105"/>
      <c r="P577" s="105"/>
      <c r="Q577" s="105"/>
    </row>
    <row r="578" spans="1:23" x14ac:dyDescent="0.25">
      <c r="A578" s="104">
        <v>25</v>
      </c>
      <c r="B578" s="193" t="s">
        <v>1012</v>
      </c>
      <c r="C578" s="103"/>
      <c r="D578" s="105">
        <v>938986321.69972622</v>
      </c>
      <c r="E578" s="105"/>
      <c r="F578" s="105">
        <v>880934432.22617733</v>
      </c>
      <c r="G578" s="105"/>
      <c r="H578" s="105">
        <v>42557095.398338728</v>
      </c>
      <c r="I578" s="105">
        <v>15494794.075210219</v>
      </c>
      <c r="J578" s="105"/>
      <c r="K578" s="105"/>
      <c r="L578" s="105">
        <v>25772.401961122789</v>
      </c>
      <c r="M578" s="105"/>
      <c r="N578" s="105">
        <v>15469021.673249096</v>
      </c>
      <c r="O578" s="105">
        <v>7886881.1591330906</v>
      </c>
      <c r="P578" s="105">
        <v>7582140.514116006</v>
      </c>
      <c r="Q578" s="105">
        <v>5.7407288046133519E-12</v>
      </c>
    </row>
    <row r="579" spans="1:23" x14ac:dyDescent="0.25">
      <c r="A579" s="104">
        <v>26</v>
      </c>
      <c r="B579" s="193" t="s">
        <v>1013</v>
      </c>
      <c r="C579" s="103"/>
      <c r="D579" s="105">
        <v>358688938.99594986</v>
      </c>
      <c r="E579" s="105"/>
      <c r="F579" s="105">
        <v>335708968.71872461</v>
      </c>
      <c r="G579" s="105"/>
      <c r="H579" s="105">
        <v>17300826.845050648</v>
      </c>
      <c r="I579" s="105">
        <v>5679143.4321746202</v>
      </c>
      <c r="J579" s="105"/>
      <c r="K579" s="105"/>
      <c r="L579" s="105">
        <v>7281.3980993861051</v>
      </c>
      <c r="M579" s="105"/>
      <c r="N579" s="105">
        <v>5671862.0340752341</v>
      </c>
      <c r="O579" s="105">
        <v>2925873.983901965</v>
      </c>
      <c r="P579" s="105">
        <v>2745988.0501732696</v>
      </c>
      <c r="Q579" s="105">
        <v>2.7536097966673739E-14</v>
      </c>
    </row>
    <row r="580" spans="1:23" x14ac:dyDescent="0.25">
      <c r="A580" s="104">
        <v>27</v>
      </c>
      <c r="B580" s="193" t="s">
        <v>2070</v>
      </c>
      <c r="C580" s="103"/>
      <c r="D580" s="105">
        <v>9627285.11531399</v>
      </c>
      <c r="E580" s="105"/>
      <c r="F580" s="105">
        <v>8493973.3153139893</v>
      </c>
      <c r="G580" s="105"/>
      <c r="H580" s="105">
        <v>1133311.8</v>
      </c>
      <c r="I580" s="105">
        <v>0</v>
      </c>
      <c r="J580" s="105"/>
      <c r="K580" s="105"/>
      <c r="L580" s="105">
        <v>0</v>
      </c>
      <c r="M580" s="105"/>
      <c r="N580" s="105">
        <v>0</v>
      </c>
      <c r="O580" s="105">
        <v>0</v>
      </c>
      <c r="P580" s="105">
        <v>0</v>
      </c>
      <c r="Q580" s="105">
        <v>0</v>
      </c>
    </row>
    <row r="581" spans="1:23" x14ac:dyDescent="0.25">
      <c r="A581" s="104">
        <v>28</v>
      </c>
      <c r="B581" s="193" t="s">
        <v>1014</v>
      </c>
      <c r="C581" s="103"/>
      <c r="D581" s="105">
        <v>48372322.519000001</v>
      </c>
      <c r="E581" s="105"/>
      <c r="F581" s="105">
        <v>45617135.703077905</v>
      </c>
      <c r="G581" s="105"/>
      <c r="H581" s="105">
        <v>2138140.2391470009</v>
      </c>
      <c r="I581" s="105">
        <v>617046.57677509822</v>
      </c>
      <c r="J581" s="105"/>
      <c r="K581" s="105"/>
      <c r="L581" s="105">
        <v>3558.048778408498</v>
      </c>
      <c r="M581" s="105"/>
      <c r="N581" s="105">
        <v>613488.52799668978</v>
      </c>
      <c r="O581" s="105">
        <v>319120.45491045073</v>
      </c>
      <c r="P581" s="105">
        <v>294368.07308623899</v>
      </c>
      <c r="Q581" s="105">
        <v>6.1914972202584796E-13</v>
      </c>
    </row>
    <row r="582" spans="1:23" x14ac:dyDescent="0.25">
      <c r="A582" s="104">
        <v>29</v>
      </c>
      <c r="B582" s="193" t="s">
        <v>1015</v>
      </c>
      <c r="C582" s="103"/>
      <c r="D582" s="105">
        <v>47442653.850000001</v>
      </c>
      <c r="E582" s="105"/>
      <c r="F582" s="105">
        <v>46746420.399113953</v>
      </c>
      <c r="G582" s="105"/>
      <c r="H582" s="105">
        <v>666442.07039620786</v>
      </c>
      <c r="I582" s="105">
        <v>243657.01471726946</v>
      </c>
      <c r="J582" s="105"/>
      <c r="K582" s="105"/>
      <c r="L582" s="105">
        <v>-12634.376721942688</v>
      </c>
      <c r="M582" s="105"/>
      <c r="N582" s="105">
        <v>256291.39143921214</v>
      </c>
      <c r="O582" s="105">
        <v>112701.0435556585</v>
      </c>
      <c r="P582" s="105">
        <v>143590.34788355362</v>
      </c>
      <c r="Q582" s="105">
        <v>-2.4421614675297879E-14</v>
      </c>
    </row>
    <row r="583" spans="1:23" x14ac:dyDescent="0.25">
      <c r="A583" s="104">
        <v>30</v>
      </c>
      <c r="B583" s="196" t="s">
        <v>1730</v>
      </c>
      <c r="C583" s="103"/>
      <c r="D583" s="105">
        <v>0</v>
      </c>
      <c r="E583" s="105"/>
      <c r="F583" s="105">
        <v>0</v>
      </c>
      <c r="G583" s="105"/>
      <c r="H583" s="105">
        <v>0</v>
      </c>
      <c r="I583" s="105">
        <v>0</v>
      </c>
      <c r="J583" s="105"/>
      <c r="K583" s="105"/>
      <c r="L583" s="105">
        <v>0</v>
      </c>
      <c r="M583" s="105"/>
      <c r="N583" s="105">
        <v>0</v>
      </c>
      <c r="O583" s="105">
        <v>0</v>
      </c>
      <c r="P583" s="105">
        <v>0</v>
      </c>
      <c r="Q583" s="105">
        <v>0</v>
      </c>
    </row>
    <row r="584" spans="1:23" x14ac:dyDescent="0.25">
      <c r="A584" s="104">
        <v>31</v>
      </c>
      <c r="B584" s="196" t="s">
        <v>1731</v>
      </c>
      <c r="C584" s="103"/>
      <c r="D584" s="105">
        <v>0</v>
      </c>
      <c r="E584" s="105"/>
      <c r="F584" s="105">
        <v>0</v>
      </c>
      <c r="G584" s="105"/>
      <c r="H584" s="105">
        <v>0</v>
      </c>
      <c r="I584" s="105">
        <v>0</v>
      </c>
      <c r="J584" s="105"/>
      <c r="K584" s="105"/>
      <c r="L584" s="105">
        <v>0</v>
      </c>
      <c r="M584" s="105"/>
      <c r="N584" s="105">
        <v>0</v>
      </c>
      <c r="O584" s="105">
        <v>0</v>
      </c>
      <c r="P584" s="105">
        <v>0</v>
      </c>
      <c r="Q584" s="105">
        <v>0</v>
      </c>
    </row>
    <row r="585" spans="1:23" x14ac:dyDescent="0.25">
      <c r="A585" s="104">
        <v>32</v>
      </c>
      <c r="B585" s="196" t="s">
        <v>1732</v>
      </c>
      <c r="C585" s="103"/>
      <c r="D585" s="105">
        <v>1123628.06</v>
      </c>
      <c r="E585" s="105"/>
      <c r="F585" s="105">
        <v>0</v>
      </c>
      <c r="G585" s="105"/>
      <c r="H585" s="105">
        <v>26587.636860794541</v>
      </c>
      <c r="I585" s="105">
        <v>0</v>
      </c>
      <c r="J585" s="105"/>
      <c r="K585" s="105"/>
      <c r="L585" s="105">
        <v>0</v>
      </c>
      <c r="M585" s="105"/>
      <c r="N585" s="105">
        <v>0</v>
      </c>
      <c r="O585" s="105">
        <v>0</v>
      </c>
      <c r="P585" s="105">
        <v>0</v>
      </c>
      <c r="Q585" s="105">
        <v>0</v>
      </c>
    </row>
    <row r="586" spans="1:23" x14ac:dyDescent="0.25">
      <c r="A586" s="104">
        <v>33</v>
      </c>
      <c r="B586" s="196" t="s">
        <v>1733</v>
      </c>
      <c r="C586" s="103"/>
      <c r="D586" s="105">
        <v>435510.9</v>
      </c>
      <c r="E586" s="105"/>
      <c r="F586" s="105">
        <v>0</v>
      </c>
      <c r="G586" s="105"/>
      <c r="H586" s="105">
        <v>21902.279497089981</v>
      </c>
      <c r="I586" s="105">
        <v>0</v>
      </c>
      <c r="J586" s="105"/>
      <c r="K586" s="105"/>
      <c r="L586" s="105">
        <v>0</v>
      </c>
      <c r="M586" s="105"/>
      <c r="N586" s="105">
        <v>0</v>
      </c>
      <c r="O586" s="105">
        <v>0</v>
      </c>
      <c r="P586" s="105">
        <v>0</v>
      </c>
      <c r="Q586" s="105">
        <v>0</v>
      </c>
    </row>
    <row r="587" spans="1:23" x14ac:dyDescent="0.25">
      <c r="A587" s="104">
        <v>34</v>
      </c>
      <c r="B587" s="193" t="s">
        <v>1016</v>
      </c>
      <c r="C587" s="103"/>
      <c r="D587" s="105">
        <v>0</v>
      </c>
      <c r="E587" s="105"/>
      <c r="F587" s="105">
        <v>0</v>
      </c>
      <c r="G587" s="105"/>
      <c r="H587" s="105">
        <v>0</v>
      </c>
      <c r="I587" s="105">
        <v>0</v>
      </c>
      <c r="J587" s="105"/>
      <c r="K587" s="105"/>
      <c r="L587" s="105">
        <v>0</v>
      </c>
      <c r="M587" s="105"/>
      <c r="N587" s="105">
        <v>0</v>
      </c>
      <c r="O587" s="105">
        <v>0</v>
      </c>
      <c r="P587" s="105">
        <v>0</v>
      </c>
      <c r="Q587" s="105">
        <v>0</v>
      </c>
    </row>
    <row r="588" spans="1:23" x14ac:dyDescent="0.25">
      <c r="A588" s="104">
        <v>35</v>
      </c>
      <c r="B588" s="193" t="s">
        <v>1017</v>
      </c>
      <c r="C588" s="103"/>
      <c r="D588" s="105">
        <v>1404676661.1399901</v>
      </c>
      <c r="E588" s="105"/>
      <c r="F588" s="105">
        <v>1317500930.3624077</v>
      </c>
      <c r="G588" s="105"/>
      <c r="H588" s="105">
        <v>63844306.269290462</v>
      </c>
      <c r="I588" s="105">
        <v>22034641.09887721</v>
      </c>
      <c r="J588" s="105"/>
      <c r="K588" s="105"/>
      <c r="L588" s="105">
        <v>23977.472116974706</v>
      </c>
      <c r="M588" s="105"/>
      <c r="N588" s="105">
        <v>22010663.626760237</v>
      </c>
      <c r="O588" s="105">
        <v>11244576.641501166</v>
      </c>
      <c r="P588" s="105">
        <v>10766086.985259069</v>
      </c>
      <c r="Q588" s="105">
        <v>6.3629930099305757E-12</v>
      </c>
    </row>
    <row r="589" spans="1:23" ht="13.8" thickBot="1" x14ac:dyDescent="0.3">
      <c r="A589" s="13"/>
      <c r="B589" s="13"/>
      <c r="C589" s="103"/>
      <c r="D589" s="105"/>
      <c r="E589" s="105"/>
      <c r="F589" s="105"/>
      <c r="G589" s="105"/>
      <c r="H589" s="105"/>
      <c r="I589" s="105"/>
      <c r="J589" s="105"/>
      <c r="K589" s="105"/>
      <c r="L589" s="105"/>
      <c r="M589" s="105"/>
      <c r="N589" s="105"/>
      <c r="O589" s="105"/>
      <c r="P589" s="105"/>
      <c r="Q589" s="105"/>
      <c r="T589" s="54" t="s">
        <v>1734</v>
      </c>
    </row>
    <row r="590" spans="1:23" ht="13.8" thickBot="1" x14ac:dyDescent="0.3">
      <c r="A590" s="104">
        <v>36</v>
      </c>
      <c r="B590" s="193" t="s">
        <v>1018</v>
      </c>
      <c r="C590" s="103"/>
      <c r="D590" s="105">
        <v>331411035.84572744</v>
      </c>
      <c r="E590" s="105"/>
      <c r="F590" s="105">
        <v>319535571.66850877</v>
      </c>
      <c r="G590" s="105"/>
      <c r="H590" s="105">
        <v>9801961.9057065994</v>
      </c>
      <c r="I590" s="105">
        <v>3370285.680926824</v>
      </c>
      <c r="J590" s="105"/>
      <c r="K590" s="105"/>
      <c r="L590" s="105">
        <v>-23805.33939807117</v>
      </c>
      <c r="M590" s="105"/>
      <c r="N590" s="105">
        <v>3394091.0203248952</v>
      </c>
      <c r="O590" s="105">
        <v>1701466.065311145</v>
      </c>
      <c r="P590" s="105">
        <v>1692624.9550137501</v>
      </c>
      <c r="Q590" s="105">
        <v>-6.3629930099305757E-12</v>
      </c>
      <c r="T590" s="180">
        <v>332970174.97967345</v>
      </c>
      <c r="W590" s="147">
        <v>-0.17394602298736572</v>
      </c>
    </row>
    <row r="591" spans="1:23" x14ac:dyDescent="0.25">
      <c r="A591" s="104">
        <v>37</v>
      </c>
      <c r="B591" s="193" t="s">
        <v>1019</v>
      </c>
      <c r="C591" s="103"/>
      <c r="D591" s="114">
        <v>5.9090997256251832E-2</v>
      </c>
      <c r="E591" s="13"/>
      <c r="F591" s="114">
        <v>6.006141305592843E-2</v>
      </c>
      <c r="G591" s="114"/>
      <c r="H591" s="114">
        <v>3.6495927544662653E-2</v>
      </c>
      <c r="I591" s="114">
        <v>4.1129751587045286E-2</v>
      </c>
      <c r="J591" s="13"/>
      <c r="K591" s="114"/>
      <c r="L591" s="114">
        <v>-5.2809885134671893E-2</v>
      </c>
      <c r="M591" s="114"/>
      <c r="N591" s="114">
        <v>4.164938023900111E-2</v>
      </c>
      <c r="O591" s="114">
        <v>4.0247077027846384E-2</v>
      </c>
      <c r="P591" s="114">
        <v>4.3161068798883075E-2</v>
      </c>
      <c r="Q591" s="114">
        <v>-0.74080474885318415</v>
      </c>
      <c r="T591" s="148"/>
      <c r="W591" s="111"/>
    </row>
    <row r="592" spans="1:23" x14ac:dyDescent="0.25">
      <c r="A592" s="13"/>
      <c r="B592" s="13"/>
      <c r="C592" s="103"/>
      <c r="D592" s="13"/>
      <c r="E592" s="13"/>
      <c r="F592" s="13"/>
      <c r="G592" s="13"/>
      <c r="H592" s="13"/>
      <c r="I592" s="13"/>
      <c r="J592" s="13"/>
      <c r="K592" s="13"/>
      <c r="L592" s="13"/>
      <c r="M592" s="13"/>
      <c r="N592" s="13"/>
      <c r="O592" s="13"/>
      <c r="P592" s="13"/>
      <c r="Q592" s="13"/>
    </row>
    <row r="593" spans="1:25" x14ac:dyDescent="0.25">
      <c r="A593" s="13"/>
      <c r="B593" s="13"/>
      <c r="C593" s="103"/>
      <c r="D593" s="115"/>
      <c r="E593" s="13"/>
      <c r="F593" s="115"/>
      <c r="G593" s="115"/>
      <c r="H593" s="115"/>
      <c r="I593" s="115"/>
      <c r="J593" s="13"/>
      <c r="K593" s="115"/>
      <c r="L593" s="115"/>
      <c r="M593" s="115"/>
      <c r="N593" s="115"/>
      <c r="O593" s="115"/>
      <c r="P593" s="115"/>
      <c r="Q593" s="115"/>
    </row>
    <row r="594" spans="1:25" x14ac:dyDescent="0.25">
      <c r="A594" s="13"/>
      <c r="B594" s="13"/>
      <c r="C594" s="103"/>
      <c r="D594" s="13"/>
      <c r="E594" s="13"/>
      <c r="F594" s="13"/>
      <c r="G594" s="13"/>
      <c r="H594" s="13"/>
      <c r="I594" s="13"/>
      <c r="J594" s="13"/>
      <c r="K594" s="13"/>
      <c r="L594" s="13"/>
      <c r="M594" s="13"/>
      <c r="N594" s="13"/>
      <c r="O594" s="13"/>
      <c r="P594" s="13"/>
      <c r="Q594" s="13"/>
    </row>
    <row r="595" spans="1:25" x14ac:dyDescent="0.25">
      <c r="A595" s="13"/>
      <c r="B595" s="13"/>
      <c r="C595" s="103"/>
      <c r="D595" s="13"/>
      <c r="E595" s="13"/>
      <c r="F595" s="13"/>
      <c r="G595" s="13"/>
      <c r="H595" s="13"/>
      <c r="I595" s="13"/>
      <c r="J595" s="13"/>
      <c r="K595" s="13"/>
      <c r="L595" s="13"/>
      <c r="M595" s="13"/>
      <c r="N595" s="13"/>
      <c r="O595" s="13"/>
      <c r="P595" s="13"/>
      <c r="Q595" s="13"/>
    </row>
    <row r="596" spans="1:25" x14ac:dyDescent="0.25">
      <c r="A596" s="13"/>
      <c r="B596" s="195" t="s">
        <v>1020</v>
      </c>
      <c r="C596" s="103"/>
      <c r="D596" s="13"/>
      <c r="E596" s="13"/>
      <c r="F596" s="13"/>
      <c r="G596" s="13"/>
      <c r="H596" s="13"/>
      <c r="I596" s="13"/>
      <c r="J596" s="13"/>
      <c r="K596" s="13"/>
      <c r="L596" s="13"/>
      <c r="M596" s="13"/>
      <c r="N596" s="13"/>
      <c r="O596" s="13"/>
      <c r="P596" s="13"/>
      <c r="Q596" s="13"/>
    </row>
    <row r="597" spans="1:25" x14ac:dyDescent="0.25">
      <c r="A597" s="13"/>
      <c r="B597" s="13"/>
      <c r="C597" s="103"/>
      <c r="D597" s="13"/>
      <c r="E597" s="13"/>
      <c r="F597" s="13"/>
      <c r="G597" s="13"/>
      <c r="H597" s="13"/>
      <c r="I597" s="13"/>
      <c r="J597" s="13"/>
      <c r="K597" s="13"/>
      <c r="L597" s="13"/>
      <c r="M597" s="13"/>
      <c r="N597" s="13"/>
      <c r="O597" s="13"/>
      <c r="P597" s="13"/>
      <c r="Q597" s="13"/>
    </row>
    <row r="598" spans="1:25" x14ac:dyDescent="0.25">
      <c r="A598" s="13"/>
      <c r="B598" s="193" t="s">
        <v>1021</v>
      </c>
      <c r="C598" s="103"/>
      <c r="D598" s="13"/>
      <c r="E598" s="13"/>
      <c r="F598" s="13"/>
      <c r="G598" s="13"/>
      <c r="H598" s="13"/>
      <c r="I598" s="13"/>
      <c r="J598" s="13"/>
      <c r="K598" s="13"/>
      <c r="L598" s="13"/>
      <c r="M598" s="13"/>
      <c r="N598" s="13"/>
      <c r="O598" s="13"/>
      <c r="P598" s="13"/>
      <c r="Q598" s="13"/>
    </row>
    <row r="599" spans="1:25" x14ac:dyDescent="0.25">
      <c r="A599" s="104">
        <v>1</v>
      </c>
      <c r="B599" s="196" t="s">
        <v>1875</v>
      </c>
      <c r="C599" s="194" t="s">
        <v>1388</v>
      </c>
      <c r="D599" s="105">
        <v>44455.580000000009</v>
      </c>
      <c r="E599" s="13"/>
      <c r="F599" s="105">
        <v>41566.037714491024</v>
      </c>
      <c r="G599" s="105"/>
      <c r="H599" s="105">
        <v>2243.1893014506018</v>
      </c>
      <c r="I599" s="105">
        <v>646.35298405838432</v>
      </c>
      <c r="J599" s="105"/>
      <c r="K599" s="105"/>
      <c r="L599" s="105">
        <v>3.1385711512981853</v>
      </c>
      <c r="M599" s="105"/>
      <c r="N599" s="105">
        <v>643.21441290708617</v>
      </c>
      <c r="O599" s="105">
        <v>334.30867071302652</v>
      </c>
      <c r="P599" s="105">
        <v>308.90574219405971</v>
      </c>
      <c r="Q599" s="105">
        <v>6.6480921176180533E-17</v>
      </c>
      <c r="R599" s="105"/>
      <c r="S599" s="105"/>
      <c r="T599" s="105">
        <v>44455.580000000009</v>
      </c>
      <c r="U599" s="111"/>
      <c r="V599" s="111"/>
      <c r="W599" s="111"/>
      <c r="X599" s="111"/>
      <c r="Y599" s="111"/>
    </row>
    <row r="600" spans="1:25" x14ac:dyDescent="0.25">
      <c r="A600" s="104">
        <v>2</v>
      </c>
      <c r="B600" s="196" t="s">
        <v>1876</v>
      </c>
      <c r="C600" s="194" t="s">
        <v>1390</v>
      </c>
      <c r="D600" s="105">
        <v>55918.829999999994</v>
      </c>
      <c r="E600" s="13"/>
      <c r="F600" s="105">
        <v>55918.829999999994</v>
      </c>
      <c r="G600" s="105"/>
      <c r="H600" s="105">
        <v>0</v>
      </c>
      <c r="I600" s="105">
        <v>0</v>
      </c>
      <c r="J600" s="105"/>
      <c r="K600" s="105"/>
      <c r="L600" s="105">
        <v>0</v>
      </c>
      <c r="M600" s="105"/>
      <c r="N600" s="105">
        <v>0</v>
      </c>
      <c r="O600" s="105">
        <v>0</v>
      </c>
      <c r="P600" s="105">
        <v>0</v>
      </c>
      <c r="Q600" s="105">
        <v>0</v>
      </c>
      <c r="R600" s="105"/>
      <c r="S600" s="105"/>
      <c r="T600" s="105">
        <v>55918.829999999994</v>
      </c>
      <c r="U600" s="116"/>
      <c r="V600" s="111"/>
      <c r="W600" s="111"/>
      <c r="X600" s="111"/>
      <c r="Y600" s="111"/>
    </row>
    <row r="601" spans="1:25" x14ac:dyDescent="0.25">
      <c r="A601" s="104">
        <v>3</v>
      </c>
      <c r="B601" s="196" t="s">
        <v>1877</v>
      </c>
      <c r="C601" s="194" t="s">
        <v>1388</v>
      </c>
      <c r="D601" s="105">
        <v>97903191.244615391</v>
      </c>
      <c r="E601" s="13"/>
      <c r="F601" s="105">
        <v>91539638.885438219</v>
      </c>
      <c r="G601" s="105"/>
      <c r="H601" s="105">
        <v>4940108.5573013201</v>
      </c>
      <c r="I601" s="105">
        <v>1423443.8018758465</v>
      </c>
      <c r="J601" s="105"/>
      <c r="K601" s="105"/>
      <c r="L601" s="105">
        <v>6911.9811654775149</v>
      </c>
      <c r="M601" s="105"/>
      <c r="N601" s="105">
        <v>1416531.8207103689</v>
      </c>
      <c r="O601" s="105">
        <v>736237.96435791813</v>
      </c>
      <c r="P601" s="105">
        <v>680293.85635245068</v>
      </c>
      <c r="Q601" s="105">
        <v>1.4640893989078093E-13</v>
      </c>
      <c r="R601" s="105"/>
      <c r="S601" s="105"/>
      <c r="T601" s="105">
        <v>97903191.244615391</v>
      </c>
      <c r="U601" s="116"/>
    </row>
    <row r="602" spans="1:25" x14ac:dyDescent="0.25">
      <c r="A602" s="104">
        <v>4</v>
      </c>
      <c r="B602" s="193" t="s">
        <v>1022</v>
      </c>
      <c r="C602" s="103"/>
      <c r="D602" s="105">
        <v>98003565.654615387</v>
      </c>
      <c r="E602" s="13"/>
      <c r="F602" s="105">
        <v>91637123.753152713</v>
      </c>
      <c r="G602" s="105"/>
      <c r="H602" s="105">
        <v>4942351.7466027709</v>
      </c>
      <c r="I602" s="105">
        <v>1424090.1548599047</v>
      </c>
      <c r="J602" s="105"/>
      <c r="K602" s="105"/>
      <c r="L602" s="105">
        <v>6915.1197366288134</v>
      </c>
      <c r="M602" s="105"/>
      <c r="N602" s="105">
        <v>1417175.0351232758</v>
      </c>
      <c r="O602" s="105">
        <v>736572.27302863111</v>
      </c>
      <c r="P602" s="105">
        <v>680602.76209464471</v>
      </c>
      <c r="Q602" s="105">
        <v>1.464754208119571E-13</v>
      </c>
      <c r="R602" s="105"/>
      <c r="S602" s="105"/>
      <c r="T602" s="105"/>
      <c r="U602" s="116" t="s">
        <v>537</v>
      </c>
    </row>
    <row r="603" spans="1:25" x14ac:dyDescent="0.25">
      <c r="A603" s="13"/>
      <c r="B603" s="13"/>
      <c r="C603" s="103"/>
      <c r="D603" s="13"/>
      <c r="E603" s="13"/>
      <c r="F603" s="105"/>
      <c r="G603" s="105"/>
      <c r="H603" s="105"/>
      <c r="I603" s="105"/>
      <c r="J603" s="105"/>
      <c r="K603" s="105"/>
      <c r="L603" s="105"/>
      <c r="M603" s="105"/>
      <c r="N603" s="105"/>
      <c r="O603" s="105"/>
      <c r="P603" s="105"/>
      <c r="Q603" s="105"/>
      <c r="R603" s="105"/>
      <c r="S603" s="105"/>
      <c r="T603" s="105"/>
    </row>
    <row r="604" spans="1:25" x14ac:dyDescent="0.25">
      <c r="A604" s="13"/>
      <c r="B604" s="193" t="s">
        <v>1023</v>
      </c>
      <c r="C604" s="103"/>
      <c r="D604" s="13"/>
      <c r="E604" s="13"/>
      <c r="F604" s="105"/>
      <c r="G604" s="105"/>
      <c r="H604" s="105"/>
      <c r="I604" s="105"/>
      <c r="J604" s="105"/>
      <c r="K604" s="105"/>
      <c r="L604" s="105"/>
      <c r="M604" s="105"/>
      <c r="N604" s="105"/>
      <c r="O604" s="105"/>
      <c r="P604" s="105"/>
      <c r="Q604" s="105"/>
      <c r="R604" s="105"/>
      <c r="S604" s="105"/>
      <c r="T604" s="105"/>
      <c r="U604" s="111"/>
      <c r="V604" s="111"/>
      <c r="W604" s="111"/>
      <c r="X604" s="111"/>
      <c r="Y604" s="111"/>
    </row>
    <row r="605" spans="1:25" x14ac:dyDescent="0.25">
      <c r="A605" s="13"/>
      <c r="B605" s="196" t="s">
        <v>1878</v>
      </c>
      <c r="C605" s="103"/>
      <c r="D605" s="13"/>
      <c r="E605" s="13"/>
      <c r="F605" s="105"/>
      <c r="G605" s="105"/>
      <c r="H605" s="105"/>
      <c r="I605" s="105"/>
      <c r="J605" s="105"/>
      <c r="K605" s="105"/>
      <c r="L605" s="105"/>
      <c r="M605" s="105"/>
      <c r="N605" s="105"/>
      <c r="O605" s="105"/>
      <c r="P605" s="105"/>
      <c r="Q605" s="105"/>
      <c r="R605" s="105"/>
      <c r="S605" s="105"/>
      <c r="T605" s="105"/>
      <c r="U605" s="111"/>
      <c r="V605" s="111"/>
      <c r="W605" s="116" t="s">
        <v>1906</v>
      </c>
      <c r="X605" s="111"/>
      <c r="Y605" s="111"/>
    </row>
    <row r="606" spans="1:25" x14ac:dyDescent="0.25">
      <c r="A606" s="104">
        <v>5</v>
      </c>
      <c r="B606" s="196" t="s">
        <v>1879</v>
      </c>
      <c r="C606" s="194" t="s">
        <v>1237</v>
      </c>
      <c r="D606" s="105">
        <v>24447347.8899999</v>
      </c>
      <c r="E606" s="13"/>
      <c r="F606" s="105">
        <v>22917335.822509505</v>
      </c>
      <c r="G606" s="105"/>
      <c r="H606" s="105">
        <v>1049413.0107747193</v>
      </c>
      <c r="I606" s="105">
        <v>480599.05671567487</v>
      </c>
      <c r="J606" s="105"/>
      <c r="K606" s="105"/>
      <c r="L606" s="105">
        <v>73.561455423090152</v>
      </c>
      <c r="M606" s="105"/>
      <c r="N606" s="105">
        <v>480525.4952602518</v>
      </c>
      <c r="O606" s="105">
        <v>243709.10181669769</v>
      </c>
      <c r="P606" s="105">
        <v>236816.39344355412</v>
      </c>
      <c r="Q606" s="105">
        <v>0</v>
      </c>
      <c r="R606" s="105"/>
      <c r="S606" s="105"/>
      <c r="T606" s="105">
        <v>24447347.8899999</v>
      </c>
      <c r="U606" s="116"/>
      <c r="V606" s="111"/>
      <c r="W606" s="111"/>
      <c r="X606" s="111"/>
      <c r="Y606" s="111"/>
    </row>
    <row r="607" spans="1:25" x14ac:dyDescent="0.25">
      <c r="A607" s="104">
        <v>6</v>
      </c>
      <c r="B607" s="196" t="s">
        <v>1880</v>
      </c>
      <c r="C607" s="194" t="s">
        <v>1237</v>
      </c>
      <c r="D607" s="105">
        <v>352826073.25999981</v>
      </c>
      <c r="E607" s="13"/>
      <c r="F607" s="105">
        <v>330744817.15639341</v>
      </c>
      <c r="G607" s="105"/>
      <c r="H607" s="105">
        <v>15145212.212202853</v>
      </c>
      <c r="I607" s="105">
        <v>6936043.8914035596</v>
      </c>
      <c r="J607" s="105"/>
      <c r="K607" s="105"/>
      <c r="L607" s="105">
        <v>1061.6447876882371</v>
      </c>
      <c r="M607" s="105"/>
      <c r="N607" s="105">
        <v>6934982.2466158718</v>
      </c>
      <c r="O607" s="105">
        <v>3517229.18161113</v>
      </c>
      <c r="P607" s="105">
        <v>3417753.0650047418</v>
      </c>
      <c r="Q607" s="105">
        <v>0</v>
      </c>
      <c r="R607" s="105"/>
      <c r="S607" s="105"/>
      <c r="T607" s="105">
        <v>352826073.25999981</v>
      </c>
      <c r="U607" s="116"/>
      <c r="V607" s="111"/>
      <c r="W607" s="111">
        <v>3590577.0200000014</v>
      </c>
      <c r="X607" s="111"/>
      <c r="Y607" s="111"/>
    </row>
    <row r="608" spans="1:25" x14ac:dyDescent="0.25">
      <c r="A608" s="104">
        <v>7</v>
      </c>
      <c r="B608" s="196" t="s">
        <v>1881</v>
      </c>
      <c r="C608" s="194" t="s">
        <v>1237</v>
      </c>
      <c r="D608" s="105">
        <v>4240453115.0284548</v>
      </c>
      <c r="E608" s="13"/>
      <c r="F608" s="105">
        <v>3975068727.8624897</v>
      </c>
      <c r="G608" s="105"/>
      <c r="H608" s="105">
        <v>182023289.00924665</v>
      </c>
      <c r="I608" s="105">
        <v>83361098.156718254</v>
      </c>
      <c r="J608" s="105"/>
      <c r="K608" s="105"/>
      <c r="L608" s="105">
        <v>12759.416857746965</v>
      </c>
      <c r="M608" s="105"/>
      <c r="N608" s="105">
        <v>83348338.739860505</v>
      </c>
      <c r="O608" s="105">
        <v>42271948.049715698</v>
      </c>
      <c r="P608" s="105">
        <v>41076390.6901448</v>
      </c>
      <c r="Q608" s="105">
        <v>0</v>
      </c>
      <c r="R608" s="105"/>
      <c r="S608" s="105"/>
      <c r="T608" s="105">
        <v>4240453115.0284543</v>
      </c>
      <c r="U608" s="116"/>
      <c r="V608" s="111"/>
      <c r="W608" s="111">
        <v>30534352.339999996</v>
      </c>
      <c r="X608" s="111"/>
      <c r="Y608" s="111"/>
    </row>
    <row r="609" spans="1:25" x14ac:dyDescent="0.25">
      <c r="A609" s="104">
        <v>8</v>
      </c>
      <c r="B609" s="196" t="s">
        <v>1882</v>
      </c>
      <c r="C609" s="194" t="s">
        <v>1237</v>
      </c>
      <c r="D609" s="105">
        <v>331109910.30923021</v>
      </c>
      <c r="E609" s="13"/>
      <c r="F609" s="105">
        <v>310387737.87898439</v>
      </c>
      <c r="G609" s="105"/>
      <c r="H609" s="105">
        <v>14213036.499435114</v>
      </c>
      <c r="I609" s="105">
        <v>6509135.9308107104</v>
      </c>
      <c r="J609" s="105"/>
      <c r="K609" s="105"/>
      <c r="L609" s="105">
        <v>996.30139911081847</v>
      </c>
      <c r="M609" s="105"/>
      <c r="N609" s="105">
        <v>6508139.6294115996</v>
      </c>
      <c r="O609" s="105">
        <v>3300746.5352541418</v>
      </c>
      <c r="P609" s="105">
        <v>3207393.0941574578</v>
      </c>
      <c r="Q609" s="105">
        <v>0</v>
      </c>
      <c r="R609" s="105"/>
      <c r="S609" s="105"/>
      <c r="T609" s="105">
        <v>331109910.30923021</v>
      </c>
      <c r="U609" s="116"/>
      <c r="V609" s="111"/>
      <c r="W609" s="111">
        <v>4051050.8000000007</v>
      </c>
      <c r="X609" s="111"/>
      <c r="Y609" s="111"/>
    </row>
    <row r="610" spans="1:25" x14ac:dyDescent="0.25">
      <c r="A610" s="104">
        <v>9</v>
      </c>
      <c r="B610" s="196" t="s">
        <v>1883</v>
      </c>
      <c r="C610" s="194" t="s">
        <v>1237</v>
      </c>
      <c r="D610" s="105">
        <v>250862166.48615283</v>
      </c>
      <c r="E610" s="13"/>
      <c r="F610" s="105">
        <v>235162216.38409701</v>
      </c>
      <c r="G610" s="105"/>
      <c r="H610" s="105">
        <v>10768367.293099605</v>
      </c>
      <c r="I610" s="105">
        <v>4931582.8089562207</v>
      </c>
      <c r="J610" s="105"/>
      <c r="K610" s="105"/>
      <c r="L610" s="105">
        <v>754.83795462572061</v>
      </c>
      <c r="M610" s="105"/>
      <c r="N610" s="105">
        <v>4930827.9710015953</v>
      </c>
      <c r="O610" s="105">
        <v>2500778.1436750125</v>
      </c>
      <c r="P610" s="105">
        <v>2430049.8273265823</v>
      </c>
      <c r="Q610" s="105">
        <v>0</v>
      </c>
      <c r="R610" s="105"/>
      <c r="S610" s="105"/>
      <c r="T610" s="105">
        <v>250862166.48615283</v>
      </c>
      <c r="U610" s="116"/>
      <c r="V610" s="111"/>
      <c r="W610" s="111">
        <v>2930174.61</v>
      </c>
      <c r="X610" s="111"/>
      <c r="Y610" s="111"/>
    </row>
    <row r="611" spans="1:25" x14ac:dyDescent="0.25">
      <c r="A611" s="104">
        <v>10</v>
      </c>
      <c r="B611" s="196" t="s">
        <v>1884</v>
      </c>
      <c r="C611" s="194" t="s">
        <v>1237</v>
      </c>
      <c r="D611" s="105">
        <v>43389200.439999901</v>
      </c>
      <c r="E611" s="13"/>
      <c r="F611" s="105">
        <v>40673732.055835649</v>
      </c>
      <c r="G611" s="105"/>
      <c r="H611" s="105">
        <v>1862500.2463957763</v>
      </c>
      <c r="I611" s="105">
        <v>852968.13776847604</v>
      </c>
      <c r="J611" s="105"/>
      <c r="K611" s="105"/>
      <c r="L611" s="105">
        <v>130.55701372483676</v>
      </c>
      <c r="M611" s="105"/>
      <c r="N611" s="105">
        <v>852837.58075475122</v>
      </c>
      <c r="O611" s="105">
        <v>432535.38647038426</v>
      </c>
      <c r="P611" s="105">
        <v>420302.19428436697</v>
      </c>
      <c r="Q611" s="105">
        <v>0</v>
      </c>
      <c r="R611" s="105"/>
      <c r="S611" s="105"/>
      <c r="T611" s="105">
        <v>43389200.439999901</v>
      </c>
      <c r="U611" s="116"/>
      <c r="V611" s="111"/>
      <c r="W611" s="111">
        <v>256822.61000000004</v>
      </c>
      <c r="X611" s="111"/>
      <c r="Y611" s="111"/>
    </row>
    <row r="612" spans="1:25" x14ac:dyDescent="0.25">
      <c r="A612" s="104">
        <v>11</v>
      </c>
      <c r="B612" s="196" t="s">
        <v>1885</v>
      </c>
      <c r="C612" s="194" t="s">
        <v>1237</v>
      </c>
      <c r="D612" s="105">
        <v>178310652.40384617</v>
      </c>
      <c r="E612" s="13"/>
      <c r="F612" s="105">
        <v>167151264.02488977</v>
      </c>
      <c r="G612" s="105"/>
      <c r="H612" s="105">
        <v>7654062.0861727931</v>
      </c>
      <c r="I612" s="105">
        <v>3505326.2927836305</v>
      </c>
      <c r="J612" s="105"/>
      <c r="K612" s="105"/>
      <c r="L612" s="105">
        <v>536.53227201929053</v>
      </c>
      <c r="M612" s="105"/>
      <c r="N612" s="105">
        <v>3504789.7605116111</v>
      </c>
      <c r="O612" s="105">
        <v>1777531.4171999095</v>
      </c>
      <c r="P612" s="105">
        <v>1727258.3433117017</v>
      </c>
      <c r="Q612" s="105">
        <v>0</v>
      </c>
      <c r="R612" s="105"/>
      <c r="S612" s="105"/>
      <c r="T612" s="105">
        <v>178310652.40384617</v>
      </c>
      <c r="U612" s="116"/>
      <c r="V612" s="111"/>
      <c r="W612" s="111">
        <v>41362977.379999995</v>
      </c>
      <c r="X612" s="111"/>
      <c r="Y612" s="111"/>
    </row>
    <row r="613" spans="1:25" x14ac:dyDescent="0.25">
      <c r="A613" s="104">
        <v>12</v>
      </c>
      <c r="B613" s="196" t="s">
        <v>1886</v>
      </c>
      <c r="C613" s="194" t="s">
        <v>1239</v>
      </c>
      <c r="D613" s="105">
        <v>16782672.030000001</v>
      </c>
      <c r="E613" s="13"/>
      <c r="F613" s="105">
        <v>8813546.6613437664</v>
      </c>
      <c r="G613" s="105"/>
      <c r="H613" s="105">
        <v>5466169.9234149326</v>
      </c>
      <c r="I613" s="105">
        <v>2502955.4452413013</v>
      </c>
      <c r="J613" s="105"/>
      <c r="K613" s="105"/>
      <c r="L613" s="105">
        <v>0</v>
      </c>
      <c r="M613" s="105"/>
      <c r="N613" s="105">
        <v>2502955.4452413013</v>
      </c>
      <c r="O613" s="105">
        <v>1269429.0510363015</v>
      </c>
      <c r="P613" s="105">
        <v>1233526.394205</v>
      </c>
      <c r="Q613" s="105">
        <v>0</v>
      </c>
      <c r="R613" s="105"/>
      <c r="S613" s="105"/>
      <c r="T613" s="105">
        <v>16782672.030000001</v>
      </c>
      <c r="U613" s="116"/>
    </row>
    <row r="614" spans="1:25" x14ac:dyDescent="0.25">
      <c r="A614" s="104">
        <v>13</v>
      </c>
      <c r="B614" s="196" t="s">
        <v>1887</v>
      </c>
      <c r="C614" s="194" t="s">
        <v>1245</v>
      </c>
      <c r="D614" s="105">
        <v>24580305.350000001</v>
      </c>
      <c r="E614" s="13"/>
      <c r="F614" s="105">
        <v>19143695.296644736</v>
      </c>
      <c r="G614" s="105"/>
      <c r="H614" s="105">
        <v>0</v>
      </c>
      <c r="I614" s="105">
        <v>5436610.0533552635</v>
      </c>
      <c r="J614" s="105"/>
      <c r="K614" s="105"/>
      <c r="L614" s="105">
        <v>0</v>
      </c>
      <c r="M614" s="105"/>
      <c r="N614" s="105">
        <v>5436610.0533552635</v>
      </c>
      <c r="O614" s="105">
        <v>2757296.680612646</v>
      </c>
      <c r="P614" s="105">
        <v>2679313.3727426175</v>
      </c>
      <c r="Q614" s="105">
        <v>0</v>
      </c>
      <c r="R614" s="105"/>
      <c r="S614" s="105"/>
      <c r="T614" s="105">
        <v>24580305.350000001</v>
      </c>
      <c r="U614" s="116"/>
    </row>
    <row r="615" spans="1:25" x14ac:dyDescent="0.25">
      <c r="A615" s="104">
        <v>14</v>
      </c>
      <c r="B615" s="196" t="s">
        <v>1323</v>
      </c>
      <c r="C615" s="13"/>
      <c r="D615" s="105">
        <v>5462761443.1976843</v>
      </c>
      <c r="E615" s="13"/>
      <c r="F615" s="105">
        <v>5110063073.1431885</v>
      </c>
      <c r="G615" s="105"/>
      <c r="H615" s="105">
        <v>238182050.28074247</v>
      </c>
      <c r="I615" s="105">
        <v>114516319.77375309</v>
      </c>
      <c r="J615" s="105"/>
      <c r="K615" s="105"/>
      <c r="L615" s="105">
        <v>16312.851740338956</v>
      </c>
      <c r="M615" s="105"/>
      <c r="N615" s="105">
        <v>114500006.92201275</v>
      </c>
      <c r="O615" s="105">
        <v>58071203.547391921</v>
      </c>
      <c r="P615" s="105">
        <v>56428803.374620818</v>
      </c>
      <c r="Q615" s="105">
        <v>0</v>
      </c>
      <c r="R615" s="105"/>
      <c r="S615" s="105"/>
      <c r="T615" s="105">
        <v>5462761443.1976833</v>
      </c>
      <c r="U615" s="116" t="s">
        <v>537</v>
      </c>
      <c r="V615" s="116" t="s">
        <v>537</v>
      </c>
      <c r="W615" s="15" t="s">
        <v>1026</v>
      </c>
    </row>
    <row r="616" spans="1:25" x14ac:dyDescent="0.25">
      <c r="A616" s="13"/>
      <c r="B616" s="13"/>
      <c r="C616" s="13"/>
      <c r="D616" s="13"/>
      <c r="E616" s="13"/>
      <c r="F616" s="105"/>
      <c r="G616" s="105"/>
      <c r="H616" s="105"/>
      <c r="I616" s="105"/>
      <c r="J616" s="105"/>
      <c r="K616" s="105"/>
      <c r="L616" s="105"/>
      <c r="M616" s="105"/>
      <c r="N616" s="105"/>
      <c r="O616" s="105"/>
      <c r="P616" s="105"/>
      <c r="Q616" s="105"/>
      <c r="R616" s="105"/>
      <c r="S616" s="105"/>
      <c r="T616" s="105"/>
      <c r="U616" s="111"/>
      <c r="V616" s="111"/>
      <c r="W616" s="111"/>
      <c r="X616" s="111"/>
      <c r="Y616" s="111"/>
    </row>
    <row r="617" spans="1:25" x14ac:dyDescent="0.25">
      <c r="A617" s="13"/>
      <c r="B617" s="196" t="s">
        <v>1888</v>
      </c>
      <c r="C617" s="103"/>
      <c r="D617" s="13"/>
      <c r="E617" s="13"/>
      <c r="F617" s="105"/>
      <c r="G617" s="105"/>
      <c r="H617" s="105"/>
      <c r="I617" s="105"/>
      <c r="J617" s="105"/>
      <c r="K617" s="105"/>
      <c r="L617" s="105"/>
      <c r="M617" s="105"/>
      <c r="N617" s="105"/>
      <c r="O617" s="105"/>
      <c r="P617" s="105"/>
      <c r="Q617" s="105"/>
      <c r="R617" s="105"/>
      <c r="S617" s="105"/>
      <c r="T617" s="105"/>
      <c r="U617" s="111"/>
      <c r="V617" s="111"/>
      <c r="W617" s="111"/>
      <c r="X617" s="111"/>
      <c r="Y617" s="111"/>
    </row>
    <row r="618" spans="1:25" x14ac:dyDescent="0.25">
      <c r="A618" s="104">
        <v>15</v>
      </c>
      <c r="B618" s="196" t="s">
        <v>1889</v>
      </c>
      <c r="C618" s="194" t="s">
        <v>1237</v>
      </c>
      <c r="D618" s="105">
        <v>855636.47000000009</v>
      </c>
      <c r="E618" s="13"/>
      <c r="F618" s="105">
        <v>802087.34351089003</v>
      </c>
      <c r="G618" s="105"/>
      <c r="H618" s="105">
        <v>36728.56655664651</v>
      </c>
      <c r="I618" s="105">
        <v>16820.559932463562</v>
      </c>
      <c r="J618" s="105"/>
      <c r="K618" s="105"/>
      <c r="L618" s="105">
        <v>2.5745886355231753</v>
      </c>
      <c r="M618" s="105"/>
      <c r="N618" s="105">
        <v>16817.985343828041</v>
      </c>
      <c r="O618" s="105">
        <v>8529.6121494882809</v>
      </c>
      <c r="P618" s="105">
        <v>8288.3731943397579</v>
      </c>
      <c r="Q618" s="105">
        <v>0</v>
      </c>
      <c r="R618" s="105"/>
      <c r="S618" s="105"/>
      <c r="T618" s="105">
        <v>855636.47000000009</v>
      </c>
      <c r="U618" s="116"/>
      <c r="V618" s="111"/>
      <c r="W618" s="111"/>
      <c r="X618" s="111"/>
      <c r="Y618" s="111"/>
    </row>
    <row r="619" spans="1:25" x14ac:dyDescent="0.25">
      <c r="A619" s="104">
        <v>16</v>
      </c>
      <c r="B619" s="196" t="s">
        <v>1890</v>
      </c>
      <c r="C619" s="194" t="s">
        <v>1237</v>
      </c>
      <c r="D619" s="105">
        <v>4492231.7246153848</v>
      </c>
      <c r="E619" s="13"/>
      <c r="F619" s="105">
        <v>4211090.0327005666</v>
      </c>
      <c r="G619" s="105"/>
      <c r="H619" s="105">
        <v>192830.99501990026</v>
      </c>
      <c r="I619" s="105">
        <v>88310.696894917535</v>
      </c>
      <c r="J619" s="105"/>
      <c r="K619" s="105"/>
      <c r="L619" s="105">
        <v>13.517012366632105</v>
      </c>
      <c r="M619" s="105"/>
      <c r="N619" s="105">
        <v>88297.179882550903</v>
      </c>
      <c r="O619" s="105">
        <v>44781.861970652164</v>
      </c>
      <c r="P619" s="105">
        <v>43515.317911898732</v>
      </c>
      <c r="Q619" s="105">
        <v>0</v>
      </c>
      <c r="R619" s="105"/>
      <c r="S619" s="105"/>
      <c r="T619" s="105">
        <v>4492231.7246153839</v>
      </c>
      <c r="U619" s="116"/>
      <c r="V619" s="111"/>
      <c r="W619" s="111"/>
      <c r="X619" s="111"/>
      <c r="Y619" s="111"/>
    </row>
    <row r="620" spans="1:25" x14ac:dyDescent="0.25">
      <c r="A620" s="104">
        <v>17</v>
      </c>
      <c r="B620" s="196" t="s">
        <v>1891</v>
      </c>
      <c r="C620" s="194" t="s">
        <v>1237</v>
      </c>
      <c r="D620" s="105">
        <v>21842694.049999993</v>
      </c>
      <c r="E620" s="13"/>
      <c r="F620" s="105">
        <v>20475691.558221702</v>
      </c>
      <c r="G620" s="105"/>
      <c r="H620" s="105">
        <v>937607.11507761164</v>
      </c>
      <c r="I620" s="105">
        <v>429395.37670068</v>
      </c>
      <c r="J620" s="105"/>
      <c r="K620" s="105"/>
      <c r="L620" s="105">
        <v>65.724117475193239</v>
      </c>
      <c r="M620" s="105"/>
      <c r="N620" s="105">
        <v>429329.65258320479</v>
      </c>
      <c r="O620" s="105">
        <v>217744.00119531521</v>
      </c>
      <c r="P620" s="105">
        <v>211585.65138788958</v>
      </c>
      <c r="Q620" s="105">
        <v>0</v>
      </c>
      <c r="R620" s="105"/>
      <c r="S620" s="105"/>
      <c r="T620" s="105">
        <v>21842694.049999993</v>
      </c>
      <c r="U620" s="116"/>
      <c r="V620" s="111"/>
      <c r="W620" s="111">
        <v>42952.319999999992</v>
      </c>
      <c r="X620" s="111"/>
      <c r="Y620" s="111"/>
    </row>
    <row r="621" spans="1:25" x14ac:dyDescent="0.25">
      <c r="A621" s="104">
        <v>18</v>
      </c>
      <c r="B621" s="196" t="s">
        <v>1892</v>
      </c>
      <c r="C621" s="194" t="s">
        <v>1237</v>
      </c>
      <c r="D621" s="105">
        <v>13988241.579999998</v>
      </c>
      <c r="E621" s="13"/>
      <c r="F621" s="105">
        <v>13112801.899725912</v>
      </c>
      <c r="G621" s="105"/>
      <c r="H621" s="105">
        <v>600451.33639696322</v>
      </c>
      <c r="I621" s="105">
        <v>274988.34387712431</v>
      </c>
      <c r="J621" s="105"/>
      <c r="K621" s="105"/>
      <c r="L621" s="105">
        <v>42.090267380515868</v>
      </c>
      <c r="M621" s="105"/>
      <c r="N621" s="105">
        <v>274946.25360974378</v>
      </c>
      <c r="O621" s="105">
        <v>139445.05583164908</v>
      </c>
      <c r="P621" s="105">
        <v>135501.19777809471</v>
      </c>
      <c r="Q621" s="105">
        <v>0</v>
      </c>
      <c r="R621" s="105"/>
      <c r="S621" s="105"/>
      <c r="T621" s="105">
        <v>13988241.58</v>
      </c>
      <c r="U621" s="116"/>
      <c r="V621" s="111"/>
      <c r="W621" s="111">
        <v>58500</v>
      </c>
      <c r="X621" s="111"/>
      <c r="Y621" s="111"/>
    </row>
    <row r="622" spans="1:25" x14ac:dyDescent="0.25">
      <c r="A622" s="104">
        <v>19</v>
      </c>
      <c r="B622" s="196" t="s">
        <v>1893</v>
      </c>
      <c r="C622" s="194" t="s">
        <v>1237</v>
      </c>
      <c r="D622" s="105">
        <v>1377986.23</v>
      </c>
      <c r="E622" s="13"/>
      <c r="F622" s="105">
        <v>1291746.3822168382</v>
      </c>
      <c r="G622" s="105"/>
      <c r="H622" s="105">
        <v>59150.656543073019</v>
      </c>
      <c r="I622" s="105">
        <v>27089.191240088814</v>
      </c>
      <c r="J622" s="105"/>
      <c r="K622" s="105"/>
      <c r="L622" s="105">
        <v>4.1463259363704124</v>
      </c>
      <c r="M622" s="105"/>
      <c r="N622" s="105">
        <v>27085.044914152444</v>
      </c>
      <c r="O622" s="105">
        <v>13736.777827195176</v>
      </c>
      <c r="P622" s="105">
        <v>13348.267086957267</v>
      </c>
      <c r="Q622" s="105">
        <v>0</v>
      </c>
      <c r="R622" s="105"/>
      <c r="S622" s="105"/>
      <c r="T622" s="105">
        <v>1377986.23</v>
      </c>
      <c r="U622" s="116"/>
      <c r="V622" s="111"/>
      <c r="W622" s="111">
        <v>3884.4399999999996</v>
      </c>
      <c r="X622" s="111"/>
      <c r="Y622" s="111"/>
    </row>
    <row r="623" spans="1:25" x14ac:dyDescent="0.25">
      <c r="A623" s="104">
        <v>20</v>
      </c>
      <c r="B623" s="196" t="s">
        <v>1894</v>
      </c>
      <c r="C623" s="194" t="s">
        <v>1237</v>
      </c>
      <c r="D623" s="105">
        <v>328554.18</v>
      </c>
      <c r="E623" s="13"/>
      <c r="F623" s="105">
        <v>307991.95531672315</v>
      </c>
      <c r="G623" s="105"/>
      <c r="H623" s="105">
        <v>14103.33066751399</v>
      </c>
      <c r="I623" s="105">
        <v>6458.894015762814</v>
      </c>
      <c r="J623" s="105"/>
      <c r="K623" s="105"/>
      <c r="L623" s="105">
        <v>0.98861127083752698</v>
      </c>
      <c r="M623" s="105"/>
      <c r="N623" s="105">
        <v>6457.9054044919767</v>
      </c>
      <c r="O623" s="105">
        <v>3275.2691402847267</v>
      </c>
      <c r="P623" s="105">
        <v>3182.63626420725</v>
      </c>
      <c r="Q623" s="105">
        <v>0</v>
      </c>
      <c r="R623" s="105"/>
      <c r="S623" s="105"/>
      <c r="T623" s="105">
        <v>328554.17999999993</v>
      </c>
      <c r="U623" s="116"/>
      <c r="V623" s="111"/>
      <c r="W623" s="111">
        <v>820.00000000000023</v>
      </c>
      <c r="X623" s="111"/>
      <c r="Y623" s="111"/>
    </row>
    <row r="624" spans="1:25" x14ac:dyDescent="0.25">
      <c r="A624" s="104">
        <v>21</v>
      </c>
      <c r="B624" s="196" t="s">
        <v>1895</v>
      </c>
      <c r="C624" s="194" t="s">
        <v>1237</v>
      </c>
      <c r="D624" s="105">
        <v>234509.12999999998</v>
      </c>
      <c r="E624" s="13"/>
      <c r="F624" s="105">
        <v>219832.6178298009</v>
      </c>
      <c r="G624" s="105"/>
      <c r="H624" s="105">
        <v>10066.406109765594</v>
      </c>
      <c r="I624" s="105">
        <v>4610.1060604334534</v>
      </c>
      <c r="J624" s="105"/>
      <c r="K624" s="105"/>
      <c r="L624" s="105">
        <v>0.70563207880144097</v>
      </c>
      <c r="M624" s="105"/>
      <c r="N624" s="105">
        <v>4609.4004283546519</v>
      </c>
      <c r="O624" s="105">
        <v>2337.7590770691736</v>
      </c>
      <c r="P624" s="105">
        <v>2271.6413512854783</v>
      </c>
      <c r="Q624" s="105">
        <v>0</v>
      </c>
      <c r="R624" s="105"/>
      <c r="S624" s="105"/>
      <c r="T624" s="105">
        <v>234509.12999999995</v>
      </c>
      <c r="U624" s="116"/>
      <c r="V624" s="111"/>
      <c r="W624" s="111">
        <v>106156.76</v>
      </c>
      <c r="X624" s="111"/>
      <c r="Y624" s="111"/>
    </row>
    <row r="625" spans="1:25" x14ac:dyDescent="0.25">
      <c r="A625" s="104">
        <v>22</v>
      </c>
      <c r="B625" s="196" t="s">
        <v>1896</v>
      </c>
      <c r="C625" s="194" t="s">
        <v>1237</v>
      </c>
      <c r="D625" s="105">
        <v>645787.98999999987</v>
      </c>
      <c r="E625" s="13"/>
      <c r="F625" s="105">
        <v>605372.01432091487</v>
      </c>
      <c r="G625" s="105"/>
      <c r="H625" s="105">
        <v>27720.7295432346</v>
      </c>
      <c r="I625" s="105">
        <v>12695.246135850399</v>
      </c>
      <c r="J625" s="105"/>
      <c r="K625" s="105"/>
      <c r="L625" s="105">
        <v>1.9431598328333919</v>
      </c>
      <c r="M625" s="105"/>
      <c r="N625" s="105">
        <v>12693.302976017565</v>
      </c>
      <c r="O625" s="105">
        <v>6437.6885261770276</v>
      </c>
      <c r="P625" s="105">
        <v>6255.6144498405374</v>
      </c>
      <c r="Q625" s="105">
        <v>0</v>
      </c>
      <c r="R625" s="105"/>
      <c r="S625" s="105"/>
      <c r="T625" s="105">
        <v>645787.98999999987</v>
      </c>
      <c r="U625" s="116"/>
      <c r="V625" s="111"/>
      <c r="W625" s="111"/>
      <c r="X625" s="111"/>
      <c r="Y625" s="111"/>
    </row>
    <row r="626" spans="1:25" x14ac:dyDescent="0.25">
      <c r="A626" s="104">
        <v>23</v>
      </c>
      <c r="B626" s="196" t="s">
        <v>1886</v>
      </c>
      <c r="C626" s="194" t="s">
        <v>1239</v>
      </c>
      <c r="D626" s="105">
        <v>820.00000000000023</v>
      </c>
      <c r="E626" s="13"/>
      <c r="F626" s="105">
        <v>430.62917808219186</v>
      </c>
      <c r="G626" s="105"/>
      <c r="H626" s="105">
        <v>267.07662100456628</v>
      </c>
      <c r="I626" s="105">
        <v>122.29420091324204</v>
      </c>
      <c r="J626" s="105"/>
      <c r="K626" s="105"/>
      <c r="L626" s="105">
        <v>0</v>
      </c>
      <c r="M626" s="105"/>
      <c r="N626" s="105">
        <v>122.29420091324204</v>
      </c>
      <c r="O626" s="105">
        <v>62.024200913242026</v>
      </c>
      <c r="P626" s="105">
        <v>60.27000000000001</v>
      </c>
      <c r="Q626" s="105">
        <v>0</v>
      </c>
      <c r="R626" s="105"/>
      <c r="S626" s="105"/>
      <c r="T626" s="105">
        <v>820.00000000000023</v>
      </c>
      <c r="U626" s="116"/>
    </row>
    <row r="627" spans="1:25" x14ac:dyDescent="0.25">
      <c r="A627" s="104">
        <v>24</v>
      </c>
      <c r="B627" s="196" t="s">
        <v>1887</v>
      </c>
      <c r="C627" s="194" t="s">
        <v>1245</v>
      </c>
      <c r="D627" s="105">
        <v>105336.75999999998</v>
      </c>
      <c r="E627" s="13"/>
      <c r="F627" s="105">
        <v>82038.640621516737</v>
      </c>
      <c r="G627" s="105"/>
      <c r="H627" s="105">
        <v>0</v>
      </c>
      <c r="I627" s="105">
        <v>23298.11937848325</v>
      </c>
      <c r="J627" s="105"/>
      <c r="K627" s="105"/>
      <c r="L627" s="105">
        <v>0</v>
      </c>
      <c r="M627" s="105"/>
      <c r="N627" s="105">
        <v>23298.11937848325</v>
      </c>
      <c r="O627" s="105">
        <v>11816.155029762107</v>
      </c>
      <c r="P627" s="105">
        <v>11481.964348721143</v>
      </c>
      <c r="Q627" s="105">
        <v>0</v>
      </c>
      <c r="R627" s="105"/>
      <c r="S627" s="105"/>
      <c r="T627" s="105">
        <v>105336.76</v>
      </c>
      <c r="U627" s="116"/>
    </row>
    <row r="628" spans="1:25" x14ac:dyDescent="0.25">
      <c r="A628" s="104">
        <v>25</v>
      </c>
      <c r="B628" s="193" t="s">
        <v>1027</v>
      </c>
      <c r="C628" s="13"/>
      <c r="D628" s="105">
        <v>43871798.114615381</v>
      </c>
      <c r="E628" s="13"/>
      <c r="F628" s="105">
        <v>41109083.073642947</v>
      </c>
      <c r="G628" s="105"/>
      <c r="H628" s="105">
        <v>1878926.2125357133</v>
      </c>
      <c r="I628" s="105">
        <v>883788.82843671739</v>
      </c>
      <c r="J628" s="105"/>
      <c r="K628" s="105"/>
      <c r="L628" s="105">
        <v>131.68971497670719</v>
      </c>
      <c r="M628" s="105"/>
      <c r="N628" s="105">
        <v>883657.13872174069</v>
      </c>
      <c r="O628" s="105">
        <v>448166.2049485062</v>
      </c>
      <c r="P628" s="105">
        <v>435490.93377323449</v>
      </c>
      <c r="Q628" s="105">
        <v>0</v>
      </c>
      <c r="R628" s="105"/>
      <c r="S628" s="105"/>
      <c r="T628" s="105">
        <v>43871798.114615381</v>
      </c>
      <c r="U628" s="116" t="s">
        <v>537</v>
      </c>
      <c r="V628" s="116" t="s">
        <v>537</v>
      </c>
      <c r="W628" s="15" t="s">
        <v>1028</v>
      </c>
    </row>
    <row r="629" spans="1:25" x14ac:dyDescent="0.25">
      <c r="A629" s="13"/>
      <c r="B629" s="13"/>
      <c r="C629" s="13"/>
      <c r="D629" s="13"/>
      <c r="E629" s="13"/>
      <c r="F629" s="105"/>
      <c r="G629" s="105"/>
      <c r="H629" s="105"/>
      <c r="I629" s="105"/>
      <c r="J629" s="105"/>
      <c r="K629" s="105"/>
      <c r="L629" s="105"/>
      <c r="M629" s="105"/>
      <c r="N629" s="105"/>
      <c r="O629" s="105"/>
      <c r="P629" s="105"/>
      <c r="Q629" s="105"/>
      <c r="R629" s="105"/>
      <c r="S629" s="105"/>
      <c r="T629" s="105"/>
      <c r="U629" s="111"/>
      <c r="V629" s="111"/>
      <c r="W629" s="111"/>
      <c r="X629" s="111"/>
      <c r="Y629" s="111"/>
    </row>
    <row r="630" spans="1:25" x14ac:dyDescent="0.25">
      <c r="A630" s="13"/>
      <c r="B630" s="196" t="s">
        <v>1897</v>
      </c>
      <c r="C630" s="103"/>
      <c r="D630" s="13"/>
      <c r="E630" s="13"/>
      <c r="F630" s="105"/>
      <c r="G630" s="105"/>
      <c r="H630" s="105"/>
      <c r="I630" s="105"/>
      <c r="J630" s="105"/>
      <c r="K630" s="105"/>
      <c r="L630" s="105"/>
      <c r="M630" s="105"/>
      <c r="N630" s="105"/>
      <c r="O630" s="105"/>
      <c r="P630" s="105"/>
      <c r="Q630" s="105"/>
      <c r="R630" s="105"/>
      <c r="S630" s="105"/>
      <c r="T630" s="105"/>
      <c r="U630" s="111"/>
      <c r="V630" s="111"/>
      <c r="W630" s="111"/>
      <c r="X630" s="111"/>
      <c r="Y630" s="111"/>
    </row>
    <row r="631" spans="1:25" x14ac:dyDescent="0.25">
      <c r="A631" s="104">
        <v>26</v>
      </c>
      <c r="B631" s="196" t="s">
        <v>1898</v>
      </c>
      <c r="C631" s="194" t="s">
        <v>1237</v>
      </c>
      <c r="D631" s="105">
        <v>903501.17</v>
      </c>
      <c r="E631" s="13"/>
      <c r="F631" s="105">
        <v>846956.48060008592</v>
      </c>
      <c r="G631" s="105"/>
      <c r="H631" s="105">
        <v>38783.179562639481</v>
      </c>
      <c r="I631" s="105">
        <v>17761.50983727464</v>
      </c>
      <c r="J631" s="105"/>
      <c r="K631" s="105"/>
      <c r="L631" s="105">
        <v>2.7186123149518071</v>
      </c>
      <c r="M631" s="105"/>
      <c r="N631" s="105">
        <v>17758.791224959688</v>
      </c>
      <c r="O631" s="105">
        <v>9006.7625994353366</v>
      </c>
      <c r="P631" s="105">
        <v>8752.0286255243518</v>
      </c>
      <c r="Q631" s="105">
        <v>0</v>
      </c>
      <c r="R631" s="105"/>
      <c r="S631" s="105"/>
      <c r="T631" s="105">
        <v>903501.17</v>
      </c>
      <c r="U631" s="116"/>
      <c r="V631" s="111"/>
      <c r="W631" s="111"/>
      <c r="X631" s="111"/>
      <c r="Y631" s="111"/>
    </row>
    <row r="632" spans="1:25" x14ac:dyDescent="0.25">
      <c r="A632" s="104">
        <v>27</v>
      </c>
      <c r="B632" s="196" t="s">
        <v>1899</v>
      </c>
      <c r="C632" s="194" t="s">
        <v>1237</v>
      </c>
      <c r="D632" s="105">
        <v>86594098.539999887</v>
      </c>
      <c r="E632" s="13"/>
      <c r="F632" s="105">
        <v>81174696.143642336</v>
      </c>
      <c r="G632" s="105"/>
      <c r="H632" s="105">
        <v>3717089.2349167774</v>
      </c>
      <c r="I632" s="105">
        <v>1702313.1614407732</v>
      </c>
      <c r="J632" s="105"/>
      <c r="K632" s="105"/>
      <c r="L632" s="105">
        <v>260.55946634025275</v>
      </c>
      <c r="M632" s="105"/>
      <c r="N632" s="105">
        <v>1702052.6019744328</v>
      </c>
      <c r="O632" s="105">
        <v>863233.51198525738</v>
      </c>
      <c r="P632" s="105">
        <v>838819.08998917555</v>
      </c>
      <c r="Q632" s="105">
        <v>0</v>
      </c>
      <c r="R632" s="105"/>
      <c r="S632" s="105"/>
      <c r="T632" s="105">
        <v>86594098.539999887</v>
      </c>
      <c r="U632" s="116"/>
      <c r="V632" s="111"/>
      <c r="W632" s="111">
        <v>557500.47</v>
      </c>
      <c r="X632" s="111"/>
      <c r="Y632" s="111"/>
    </row>
    <row r="633" spans="1:25" x14ac:dyDescent="0.25">
      <c r="A633" s="104">
        <v>28</v>
      </c>
      <c r="B633" s="196" t="s">
        <v>1900</v>
      </c>
      <c r="C633" s="194" t="s">
        <v>1237</v>
      </c>
      <c r="D633" s="105">
        <v>75636808.567692265</v>
      </c>
      <c r="E633" s="13"/>
      <c r="F633" s="105">
        <v>70903156.869531304</v>
      </c>
      <c r="G633" s="105"/>
      <c r="H633" s="105">
        <v>3246742.810776656</v>
      </c>
      <c r="I633" s="105">
        <v>1486908.8873843127</v>
      </c>
      <c r="J633" s="105"/>
      <c r="K633" s="105"/>
      <c r="L633" s="105">
        <v>227.58925617747735</v>
      </c>
      <c r="M633" s="105"/>
      <c r="N633" s="105">
        <v>1486681.2981281353</v>
      </c>
      <c r="O633" s="105">
        <v>754003.20571598248</v>
      </c>
      <c r="P633" s="105">
        <v>732678.09241215279</v>
      </c>
      <c r="Q633" s="105">
        <v>0</v>
      </c>
      <c r="R633" s="105"/>
      <c r="S633" s="105"/>
      <c r="T633" s="105">
        <v>75636808.567692265</v>
      </c>
      <c r="U633" s="116"/>
      <c r="V633" s="111"/>
      <c r="W633" s="111">
        <v>121128.42999999996</v>
      </c>
      <c r="X633" s="111"/>
      <c r="Y633" s="111"/>
    </row>
    <row r="634" spans="1:25" x14ac:dyDescent="0.25">
      <c r="A634" s="104">
        <v>29</v>
      </c>
      <c r="B634" s="196" t="s">
        <v>1901</v>
      </c>
      <c r="C634" s="194" t="s">
        <v>1237</v>
      </c>
      <c r="D634" s="105">
        <v>677390096.08307576</v>
      </c>
      <c r="E634" s="13"/>
      <c r="F634" s="105">
        <v>634996335.17007613</v>
      </c>
      <c r="G634" s="105"/>
      <c r="H634" s="105">
        <v>29077263.65240185</v>
      </c>
      <c r="I634" s="105">
        <v>13316497.260597864</v>
      </c>
      <c r="J634" s="105"/>
      <c r="K634" s="105"/>
      <c r="L634" s="105">
        <v>2038.2497758556724</v>
      </c>
      <c r="M634" s="105"/>
      <c r="N634" s="105">
        <v>13314459.010822009</v>
      </c>
      <c r="O634" s="105">
        <v>6752721.5074098427</v>
      </c>
      <c r="P634" s="105">
        <v>6561737.5034121657</v>
      </c>
      <c r="Q634" s="105">
        <v>0</v>
      </c>
      <c r="R634" s="105"/>
      <c r="S634" s="105"/>
      <c r="T634" s="105">
        <v>677390096.08307588</v>
      </c>
      <c r="U634" s="116"/>
      <c r="V634" s="111"/>
      <c r="W634" s="111">
        <v>3197533.47</v>
      </c>
      <c r="X634" s="111"/>
      <c r="Y634" s="111"/>
    </row>
    <row r="635" spans="1:25" x14ac:dyDescent="0.25">
      <c r="A635" s="104">
        <v>30</v>
      </c>
      <c r="B635" s="196" t="s">
        <v>1902</v>
      </c>
      <c r="C635" s="194" t="s">
        <v>1237</v>
      </c>
      <c r="D635" s="105">
        <v>131727985.57384613</v>
      </c>
      <c r="E635" s="13"/>
      <c r="F635" s="105">
        <v>123483925.38126276</v>
      </c>
      <c r="G635" s="105"/>
      <c r="H635" s="105">
        <v>5654480.9100084044</v>
      </c>
      <c r="I635" s="105">
        <v>2589579.2825749633</v>
      </c>
      <c r="J635" s="105"/>
      <c r="K635" s="105"/>
      <c r="L635" s="105">
        <v>396.36619818085245</v>
      </c>
      <c r="M635" s="105"/>
      <c r="N635" s="105">
        <v>2589182.9163767826</v>
      </c>
      <c r="O635" s="105">
        <v>1313161.2145731642</v>
      </c>
      <c r="P635" s="105">
        <v>1276021.7018036181</v>
      </c>
      <c r="Q635" s="105">
        <v>0</v>
      </c>
      <c r="R635" s="105"/>
      <c r="S635" s="105"/>
      <c r="T635" s="105">
        <v>131727985.57384613</v>
      </c>
      <c r="U635" s="116"/>
      <c r="V635" s="111"/>
      <c r="W635" s="111">
        <v>715565.60000000009</v>
      </c>
      <c r="X635" s="111"/>
      <c r="Y635" s="111"/>
    </row>
    <row r="636" spans="1:25" x14ac:dyDescent="0.25">
      <c r="A636" s="104">
        <v>31</v>
      </c>
      <c r="B636" s="196" t="s">
        <v>1903</v>
      </c>
      <c r="C636" s="194" t="s">
        <v>1237</v>
      </c>
      <c r="D636" s="105">
        <v>79009719.183845937</v>
      </c>
      <c r="E636" s="13"/>
      <c r="F636" s="105">
        <v>74064977.351552561</v>
      </c>
      <c r="G636" s="105"/>
      <c r="H636" s="105">
        <v>3391526.4617762677</v>
      </c>
      <c r="I636" s="105">
        <v>1553215.3705171035</v>
      </c>
      <c r="J636" s="105"/>
      <c r="K636" s="105"/>
      <c r="L636" s="105">
        <v>237.73825945802326</v>
      </c>
      <c r="M636" s="105"/>
      <c r="N636" s="105">
        <v>1552977.6322576455</v>
      </c>
      <c r="O636" s="105">
        <v>787626.85358443111</v>
      </c>
      <c r="P636" s="105">
        <v>765350.77867321426</v>
      </c>
      <c r="Q636" s="105">
        <v>0</v>
      </c>
      <c r="R636" s="105"/>
      <c r="S636" s="105"/>
      <c r="T636" s="105">
        <v>79009719.183845937</v>
      </c>
      <c r="U636" s="116"/>
      <c r="V636" s="111"/>
      <c r="W636" s="111">
        <v>358326.93000000011</v>
      </c>
      <c r="X636" s="111"/>
      <c r="Y636" s="111"/>
    </row>
    <row r="637" spans="1:25" x14ac:dyDescent="0.25">
      <c r="A637" s="104">
        <v>32</v>
      </c>
      <c r="B637" s="196" t="s">
        <v>1904</v>
      </c>
      <c r="C637" s="194" t="s">
        <v>1237</v>
      </c>
      <c r="D637" s="105">
        <v>12702225.203846153</v>
      </c>
      <c r="E637" s="13"/>
      <c r="F637" s="105">
        <v>11907269.532854335</v>
      </c>
      <c r="G637" s="105"/>
      <c r="H637" s="105">
        <v>545248.52571674064</v>
      </c>
      <c r="I637" s="105">
        <v>249707.14527507618</v>
      </c>
      <c r="J637" s="105"/>
      <c r="K637" s="105"/>
      <c r="L637" s="105">
        <v>38.220676423105658</v>
      </c>
      <c r="M637" s="105"/>
      <c r="N637" s="105">
        <v>249668.92459865307</v>
      </c>
      <c r="O637" s="105">
        <v>126625.10098974904</v>
      </c>
      <c r="P637" s="105">
        <v>123043.82360890403</v>
      </c>
      <c r="Q637" s="105">
        <v>0</v>
      </c>
      <c r="R637" s="105"/>
      <c r="S637" s="105"/>
      <c r="T637" s="105">
        <v>12702225.203846153</v>
      </c>
      <c r="U637" s="116"/>
      <c r="V637" s="111"/>
      <c r="W637" s="111">
        <v>34152.94000000001</v>
      </c>
      <c r="X637" s="111"/>
      <c r="Y637" s="111"/>
    </row>
    <row r="638" spans="1:25" x14ac:dyDescent="0.25">
      <c r="A638" s="104">
        <v>33</v>
      </c>
      <c r="B638" s="196" t="s">
        <v>1905</v>
      </c>
      <c r="C638" s="194" t="s">
        <v>1237</v>
      </c>
      <c r="D638" s="105">
        <v>406991.12</v>
      </c>
      <c r="E638" s="13"/>
      <c r="F638" s="105">
        <v>381520.00027923286</v>
      </c>
      <c r="G638" s="105"/>
      <c r="H638" s="105">
        <v>17470.270334414457</v>
      </c>
      <c r="I638" s="105">
        <v>8000.8493863526746</v>
      </c>
      <c r="J638" s="105"/>
      <c r="K638" s="105"/>
      <c r="L638" s="105">
        <v>1.2246260521256753</v>
      </c>
      <c r="M638" s="105"/>
      <c r="N638" s="105">
        <v>7999.6247603005486</v>
      </c>
      <c r="O638" s="105">
        <v>4057.1861106923625</v>
      </c>
      <c r="P638" s="105">
        <v>3942.4386496081861</v>
      </c>
      <c r="Q638" s="105">
        <v>0</v>
      </c>
      <c r="R638" s="105"/>
      <c r="S638" s="105"/>
      <c r="T638" s="105">
        <v>406991.12</v>
      </c>
      <c r="U638" s="116"/>
      <c r="V638" s="111"/>
      <c r="W638" s="111">
        <v>4984207.8400000008</v>
      </c>
      <c r="X638" s="111"/>
      <c r="Y638" s="111"/>
    </row>
    <row r="639" spans="1:25" x14ac:dyDescent="0.25">
      <c r="A639" s="104">
        <v>34</v>
      </c>
      <c r="B639" s="196" t="s">
        <v>1886</v>
      </c>
      <c r="C639" s="194" t="s">
        <v>1239</v>
      </c>
      <c r="D639" s="105">
        <v>1934.2600000000002</v>
      </c>
      <c r="E639" s="13"/>
      <c r="F639" s="105">
        <v>1015.7912121917808</v>
      </c>
      <c r="G639" s="105"/>
      <c r="H639" s="105">
        <v>629.99466456621019</v>
      </c>
      <c r="I639" s="105">
        <v>288.47412324200917</v>
      </c>
      <c r="J639" s="105"/>
      <c r="K639" s="105"/>
      <c r="L639" s="105">
        <v>0</v>
      </c>
      <c r="M639" s="105"/>
      <c r="N639" s="105">
        <v>288.47412324200917</v>
      </c>
      <c r="O639" s="105">
        <v>146.30601324200916</v>
      </c>
      <c r="P639" s="105">
        <v>142.16811000000001</v>
      </c>
      <c r="Q639" s="105">
        <v>0</v>
      </c>
      <c r="R639" s="105"/>
      <c r="S639" s="105"/>
      <c r="T639" s="105">
        <v>1934.2600000000002</v>
      </c>
      <c r="U639" s="116"/>
      <c r="W639" s="111"/>
    </row>
    <row r="640" spans="1:25" x14ac:dyDescent="0.25">
      <c r="A640" s="104">
        <v>35</v>
      </c>
      <c r="B640" s="196" t="s">
        <v>1887</v>
      </c>
      <c r="C640" s="194" t="s">
        <v>1245</v>
      </c>
      <c r="D640" s="105">
        <v>4982273.580000001</v>
      </c>
      <c r="E640" s="13"/>
      <c r="F640" s="105">
        <v>3880306.8530653282</v>
      </c>
      <c r="G640" s="105"/>
      <c r="H640" s="105">
        <v>0</v>
      </c>
      <c r="I640" s="105">
        <v>1101966.7269346728</v>
      </c>
      <c r="J640" s="105"/>
      <c r="K640" s="105"/>
      <c r="L640" s="105">
        <v>0</v>
      </c>
      <c r="M640" s="105"/>
      <c r="N640" s="105">
        <v>1101966.7269346728</v>
      </c>
      <c r="O640" s="105">
        <v>558886.72693148977</v>
      </c>
      <c r="P640" s="105">
        <v>543080.00000318291</v>
      </c>
      <c r="Q640" s="105">
        <v>0</v>
      </c>
      <c r="R640" s="105"/>
      <c r="S640" s="105"/>
      <c r="T640" s="105">
        <v>4982273.580000001</v>
      </c>
      <c r="U640" s="116"/>
    </row>
    <row r="641" spans="1:25" x14ac:dyDescent="0.25">
      <c r="A641" s="104">
        <v>36</v>
      </c>
      <c r="B641" s="193" t="s">
        <v>1029</v>
      </c>
      <c r="C641" s="13"/>
      <c r="D641" s="105">
        <v>1069355633.2823062</v>
      </c>
      <c r="E641" s="13"/>
      <c r="F641" s="105">
        <v>1001640159.5740763</v>
      </c>
      <c r="G641" s="105"/>
      <c r="H641" s="105">
        <v>45689235.040158309</v>
      </c>
      <c r="I641" s="105">
        <v>22026238.668071635</v>
      </c>
      <c r="J641" s="105"/>
      <c r="K641" s="105"/>
      <c r="L641" s="105">
        <v>3202.6668708024608</v>
      </c>
      <c r="M641" s="105"/>
      <c r="N641" s="105">
        <v>22023036.001200832</v>
      </c>
      <c r="O641" s="105">
        <v>11169468.375913287</v>
      </c>
      <c r="P641" s="105">
        <v>10853567.625287546</v>
      </c>
      <c r="Q641" s="105">
        <v>0</v>
      </c>
      <c r="R641" s="105"/>
      <c r="S641" s="105"/>
      <c r="T641" s="105">
        <v>1069355633.2823063</v>
      </c>
      <c r="U641" s="116" t="s">
        <v>537</v>
      </c>
      <c r="V641" s="116" t="s">
        <v>537</v>
      </c>
      <c r="W641" s="108" t="s">
        <v>1030</v>
      </c>
    </row>
    <row r="642" spans="1:25" x14ac:dyDescent="0.25">
      <c r="A642" s="13"/>
      <c r="B642" s="13"/>
      <c r="C642" s="13"/>
      <c r="D642" s="13"/>
      <c r="E642" s="13"/>
      <c r="F642" s="105"/>
      <c r="G642" s="105"/>
      <c r="H642" s="105"/>
      <c r="I642" s="105"/>
      <c r="J642" s="105"/>
      <c r="K642" s="105"/>
      <c r="L642" s="105"/>
      <c r="M642" s="105"/>
      <c r="N642" s="105"/>
      <c r="O642" s="105"/>
      <c r="P642" s="105"/>
      <c r="Q642" s="105"/>
      <c r="R642" s="105"/>
      <c r="S642" s="105"/>
      <c r="T642" s="105"/>
    </row>
    <row r="643" spans="1:25" x14ac:dyDescent="0.25">
      <c r="A643" s="104">
        <v>37</v>
      </c>
      <c r="B643" s="193" t="s">
        <v>879</v>
      </c>
      <c r="C643" s="103"/>
      <c r="D643" s="105">
        <v>6575988874.5946064</v>
      </c>
      <c r="E643" s="13"/>
      <c r="F643" s="105">
        <v>6152812315.7909079</v>
      </c>
      <c r="G643" s="105"/>
      <c r="H643" s="105">
        <v>285750211.53343648</v>
      </c>
      <c r="I643" s="105">
        <v>137426347.27026144</v>
      </c>
      <c r="J643" s="105"/>
      <c r="K643" s="105"/>
      <c r="L643" s="105">
        <v>19647.208326118125</v>
      </c>
      <c r="M643" s="105"/>
      <c r="N643" s="105">
        <v>137406700.06193531</v>
      </c>
      <c r="O643" s="105">
        <v>69688838.128253713</v>
      </c>
      <c r="P643" s="105">
        <v>67717861.933681592</v>
      </c>
      <c r="Q643" s="105">
        <v>0</v>
      </c>
      <c r="R643" s="105"/>
      <c r="S643" s="105"/>
      <c r="T643" s="105"/>
      <c r="U643" s="116"/>
    </row>
    <row r="644" spans="1:25" x14ac:dyDescent="0.25">
      <c r="A644" s="13"/>
      <c r="B644" s="13"/>
      <c r="C644" s="103"/>
      <c r="D644" s="13"/>
      <c r="E644" s="13"/>
      <c r="F644" s="105"/>
      <c r="G644" s="105"/>
      <c r="H644" s="105"/>
      <c r="I644" s="105"/>
      <c r="J644" s="105"/>
      <c r="K644" s="105"/>
      <c r="L644" s="105"/>
      <c r="M644" s="105"/>
      <c r="N644" s="105"/>
      <c r="O644" s="105"/>
      <c r="P644" s="105"/>
      <c r="Q644" s="105"/>
      <c r="R644" s="105"/>
      <c r="S644" s="105"/>
      <c r="T644" s="105"/>
    </row>
    <row r="645" spans="1:25" x14ac:dyDescent="0.25">
      <c r="A645" s="13"/>
      <c r="B645" s="195" t="s">
        <v>1037</v>
      </c>
      <c r="C645" s="13"/>
      <c r="D645" s="13"/>
      <c r="E645" s="13"/>
      <c r="F645" s="105"/>
      <c r="G645" s="105"/>
      <c r="H645" s="105"/>
      <c r="I645" s="105"/>
      <c r="J645" s="105"/>
      <c r="K645" s="105"/>
      <c r="L645" s="105"/>
      <c r="M645" s="105"/>
      <c r="N645" s="105"/>
      <c r="O645" s="105"/>
      <c r="P645" s="105"/>
      <c r="Q645" s="105"/>
      <c r="R645" s="105"/>
      <c r="S645" s="105"/>
      <c r="T645" s="105"/>
    </row>
    <row r="646" spans="1:25" x14ac:dyDescent="0.25">
      <c r="A646" s="13"/>
      <c r="B646" s="13"/>
      <c r="C646" s="103"/>
      <c r="D646" s="13"/>
      <c r="E646" s="13"/>
      <c r="F646" s="105"/>
      <c r="G646" s="105"/>
      <c r="H646" s="105"/>
      <c r="I646" s="105"/>
      <c r="J646" s="105"/>
      <c r="K646" s="105"/>
      <c r="L646" s="105"/>
      <c r="M646" s="105"/>
      <c r="N646" s="105"/>
      <c r="O646" s="105"/>
      <c r="P646" s="105"/>
      <c r="Q646" s="105"/>
      <c r="R646" s="105"/>
      <c r="S646" s="105"/>
      <c r="T646" s="105"/>
    </row>
    <row r="647" spans="1:25" x14ac:dyDescent="0.25">
      <c r="A647" s="13"/>
      <c r="B647" s="193" t="s">
        <v>1031</v>
      </c>
      <c r="C647" s="103"/>
      <c r="D647" s="13"/>
      <c r="E647" s="13"/>
      <c r="F647" s="105"/>
      <c r="G647" s="105"/>
      <c r="H647" s="105"/>
      <c r="I647" s="105"/>
      <c r="J647" s="105"/>
      <c r="K647" s="105"/>
      <c r="L647" s="105"/>
      <c r="M647" s="105"/>
      <c r="N647" s="105"/>
      <c r="O647" s="105"/>
      <c r="P647" s="105"/>
      <c r="Q647" s="105"/>
      <c r="R647" s="105"/>
      <c r="S647" s="105"/>
      <c r="T647" s="105"/>
    </row>
    <row r="648" spans="1:25" x14ac:dyDescent="0.25">
      <c r="A648" s="13"/>
      <c r="B648" s="196" t="s">
        <v>1546</v>
      </c>
      <c r="C648" s="103"/>
      <c r="D648" s="13"/>
      <c r="E648" s="13"/>
      <c r="F648" s="105"/>
      <c r="G648" s="105"/>
      <c r="H648" s="105"/>
      <c r="I648" s="105"/>
      <c r="J648" s="105"/>
      <c r="K648" s="105"/>
      <c r="L648" s="105"/>
      <c r="M648" s="105"/>
      <c r="N648" s="105"/>
      <c r="O648" s="105"/>
      <c r="P648" s="105"/>
      <c r="Q648" s="105"/>
      <c r="R648" s="105" t="s">
        <v>1032</v>
      </c>
      <c r="S648" s="105"/>
      <c r="T648" s="105"/>
      <c r="W648" s="116" t="s">
        <v>1906</v>
      </c>
    </row>
    <row r="649" spans="1:25" x14ac:dyDescent="0.25">
      <c r="A649" s="104">
        <v>1</v>
      </c>
      <c r="B649" s="196" t="s">
        <v>1907</v>
      </c>
      <c r="C649" s="194" t="s">
        <v>1768</v>
      </c>
      <c r="D649" s="105">
        <v>29679524.520000007</v>
      </c>
      <c r="E649" s="13"/>
      <c r="F649" s="105">
        <v>28379883.627231851</v>
      </c>
      <c r="G649" s="105"/>
      <c r="H649" s="105">
        <v>1299549.7972952563</v>
      </c>
      <c r="I649" s="105">
        <v>91.095472899890382</v>
      </c>
      <c r="J649" s="105"/>
      <c r="K649" s="105"/>
      <c r="L649" s="105">
        <v>91.095472899890382</v>
      </c>
      <c r="M649" s="105"/>
      <c r="N649" s="105">
        <v>0</v>
      </c>
      <c r="O649" s="105">
        <v>0</v>
      </c>
      <c r="P649" s="105">
        <v>0</v>
      </c>
      <c r="Q649" s="105">
        <v>0</v>
      </c>
      <c r="R649" s="105"/>
      <c r="S649" s="105"/>
      <c r="T649" s="105">
        <v>29679524.520000007</v>
      </c>
      <c r="U649" s="111"/>
      <c r="V649" s="111"/>
      <c r="W649" s="111">
        <v>82517.859999999986</v>
      </c>
      <c r="X649" s="111"/>
      <c r="Y649" s="111"/>
    </row>
    <row r="650" spans="1:25" x14ac:dyDescent="0.25">
      <c r="A650" s="104">
        <v>2</v>
      </c>
      <c r="B650" s="196" t="s">
        <v>1908</v>
      </c>
      <c r="C650" s="194" t="s">
        <v>1768</v>
      </c>
      <c r="D650" s="105">
        <v>27815317.919230778</v>
      </c>
      <c r="E650" s="13"/>
      <c r="F650" s="105">
        <v>26597309.032706365</v>
      </c>
      <c r="G650" s="105"/>
      <c r="H650" s="105">
        <v>1217923.5128676333</v>
      </c>
      <c r="I650" s="105">
        <v>85.373656778283262</v>
      </c>
      <c r="J650" s="105"/>
      <c r="K650" s="105"/>
      <c r="L650" s="105">
        <v>85.373656778283262</v>
      </c>
      <c r="M650" s="105"/>
      <c r="N650" s="105">
        <v>0</v>
      </c>
      <c r="O650" s="105">
        <v>0</v>
      </c>
      <c r="P650" s="105">
        <v>0</v>
      </c>
      <c r="Q650" s="105">
        <v>0</v>
      </c>
      <c r="R650" s="105"/>
      <c r="S650" s="105"/>
      <c r="T650" s="105">
        <v>27815317.919230778</v>
      </c>
      <c r="U650" s="111"/>
      <c r="V650" s="111"/>
      <c r="W650" s="111">
        <v>111197.47000000003</v>
      </c>
      <c r="X650" s="111"/>
      <c r="Y650" s="111"/>
    </row>
    <row r="651" spans="1:25" x14ac:dyDescent="0.25">
      <c r="A651" s="104">
        <v>3</v>
      </c>
      <c r="B651" s="196" t="s">
        <v>1909</v>
      </c>
      <c r="C651" s="194" t="s">
        <v>1768</v>
      </c>
      <c r="D651" s="105">
        <v>346294106.49461532</v>
      </c>
      <c r="E651" s="13"/>
      <c r="F651" s="105">
        <v>331130184.93577313</v>
      </c>
      <c r="G651" s="105"/>
      <c r="H651" s="105">
        <v>15162858.67707759</v>
      </c>
      <c r="I651" s="105">
        <v>1062.8817645752492</v>
      </c>
      <c r="J651" s="105"/>
      <c r="K651" s="105"/>
      <c r="L651" s="105">
        <v>1062.8817645752492</v>
      </c>
      <c r="M651" s="105"/>
      <c r="N651" s="105">
        <v>0</v>
      </c>
      <c r="O651" s="105">
        <v>0</v>
      </c>
      <c r="P651" s="105">
        <v>0</v>
      </c>
      <c r="Q651" s="105">
        <v>0</v>
      </c>
      <c r="R651" s="105"/>
      <c r="S651" s="105"/>
      <c r="T651" s="105">
        <v>346294106.49461532</v>
      </c>
      <c r="U651" s="111"/>
      <c r="V651" s="111"/>
      <c r="W651" s="111">
        <v>1022534.2300000002</v>
      </c>
      <c r="X651" s="111"/>
      <c r="Y651" s="111"/>
    </row>
    <row r="652" spans="1:25" x14ac:dyDescent="0.25">
      <c r="A652" s="104">
        <v>4</v>
      </c>
      <c r="B652" s="196" t="s">
        <v>1910</v>
      </c>
      <c r="C652" s="194" t="s">
        <v>1768</v>
      </c>
      <c r="D652" s="105">
        <v>69889664.12000002</v>
      </c>
      <c r="E652" s="13"/>
      <c r="F652" s="105">
        <v>66829255.742804646</v>
      </c>
      <c r="G652" s="105"/>
      <c r="H652" s="105">
        <v>3060193.8645942817</v>
      </c>
      <c r="I652" s="105">
        <v>214.51260108751575</v>
      </c>
      <c r="J652" s="105"/>
      <c r="K652" s="105"/>
      <c r="L652" s="105">
        <v>214.51260108751575</v>
      </c>
      <c r="M652" s="105"/>
      <c r="N652" s="105">
        <v>0</v>
      </c>
      <c r="O652" s="105">
        <v>0</v>
      </c>
      <c r="P652" s="105">
        <v>0</v>
      </c>
      <c r="Q652" s="105">
        <v>0</v>
      </c>
      <c r="R652" s="105"/>
      <c r="S652" s="105"/>
      <c r="T652" s="105">
        <v>69889664.12000002</v>
      </c>
      <c r="U652" s="111"/>
      <c r="V652" s="111"/>
      <c r="W652" s="111">
        <v>962348.7300000001</v>
      </c>
      <c r="X652" s="111"/>
      <c r="Y652" s="111"/>
    </row>
    <row r="653" spans="1:25" x14ac:dyDescent="0.25">
      <c r="A653" s="104">
        <v>5</v>
      </c>
      <c r="B653" s="196" t="s">
        <v>1911</v>
      </c>
      <c r="C653" s="194" t="s">
        <v>1768</v>
      </c>
      <c r="D653" s="105">
        <v>420204776.06999999</v>
      </c>
      <c r="E653" s="13"/>
      <c r="F653" s="105">
        <v>401804369.7579295</v>
      </c>
      <c r="G653" s="105"/>
      <c r="H653" s="105">
        <v>18399116.576018073</v>
      </c>
      <c r="I653" s="105">
        <v>1289.7360523782804</v>
      </c>
      <c r="J653" s="105"/>
      <c r="K653" s="105"/>
      <c r="L653" s="105">
        <v>1289.7360523782804</v>
      </c>
      <c r="M653" s="105"/>
      <c r="N653" s="105">
        <v>0</v>
      </c>
      <c r="O653" s="105">
        <v>0</v>
      </c>
      <c r="P653" s="105">
        <v>0</v>
      </c>
      <c r="Q653" s="105">
        <v>0</v>
      </c>
      <c r="R653" s="105"/>
      <c r="S653" s="105"/>
      <c r="T653" s="105">
        <v>420204776.06999993</v>
      </c>
      <c r="U653" s="111"/>
      <c r="V653" s="111"/>
      <c r="W653" s="111">
        <v>809499.68999999983</v>
      </c>
      <c r="X653" s="111"/>
      <c r="Y653" s="111"/>
    </row>
    <row r="654" spans="1:25" x14ac:dyDescent="0.25">
      <c r="A654" s="104">
        <v>6</v>
      </c>
      <c r="B654" s="196" t="s">
        <v>1912</v>
      </c>
      <c r="C654" s="194" t="s">
        <v>1768</v>
      </c>
      <c r="D654" s="105">
        <v>169800695.9784607</v>
      </c>
      <c r="E654" s="13"/>
      <c r="F654" s="105">
        <v>162365269.31030798</v>
      </c>
      <c r="G654" s="105"/>
      <c r="H654" s="105">
        <v>7434905.4982570177</v>
      </c>
      <c r="I654" s="105">
        <v>521.16989571261468</v>
      </c>
      <c r="J654" s="105"/>
      <c r="K654" s="105"/>
      <c r="L654" s="105">
        <v>521.16989571261468</v>
      </c>
      <c r="M654" s="105"/>
      <c r="N654" s="105">
        <v>0</v>
      </c>
      <c r="O654" s="105">
        <v>0</v>
      </c>
      <c r="P654" s="105">
        <v>0</v>
      </c>
      <c r="Q654" s="105">
        <v>0</v>
      </c>
      <c r="R654" s="105"/>
      <c r="S654" s="105"/>
      <c r="T654" s="105">
        <v>169800695.9784607</v>
      </c>
      <c r="U654" s="111"/>
      <c r="V654" s="111"/>
      <c r="W654" s="111">
        <v>1238241.1300000001</v>
      </c>
      <c r="X654" s="111"/>
      <c r="Y654" s="111"/>
    </row>
    <row r="655" spans="1:25" x14ac:dyDescent="0.25">
      <c r="A655" s="104">
        <v>7</v>
      </c>
      <c r="B655" s="196" t="s">
        <v>1913</v>
      </c>
      <c r="C655" s="194" t="s">
        <v>1768</v>
      </c>
      <c r="D655" s="105">
        <v>447363.25999999995</v>
      </c>
      <c r="E655" s="13"/>
      <c r="F655" s="105">
        <v>427773.60699776676</v>
      </c>
      <c r="G655" s="105"/>
      <c r="H655" s="105">
        <v>19588.279908547029</v>
      </c>
      <c r="I655" s="105">
        <v>1.3730936861968506</v>
      </c>
      <c r="J655" s="105"/>
      <c r="K655" s="105"/>
      <c r="L655" s="105">
        <v>1.3730936861968506</v>
      </c>
      <c r="M655" s="105"/>
      <c r="N655" s="105">
        <v>0</v>
      </c>
      <c r="O655" s="105">
        <v>0</v>
      </c>
      <c r="P655" s="105">
        <v>0</v>
      </c>
      <c r="Q655" s="105">
        <v>0</v>
      </c>
      <c r="R655" s="105"/>
      <c r="S655" s="105"/>
      <c r="T655" s="105">
        <v>447363.26</v>
      </c>
      <c r="U655" s="111"/>
      <c r="V655" s="111"/>
      <c r="W655" s="111">
        <v>1397</v>
      </c>
      <c r="X655" s="111"/>
      <c r="Y655" s="111"/>
    </row>
    <row r="656" spans="1:25" x14ac:dyDescent="0.25">
      <c r="A656" s="104">
        <v>8</v>
      </c>
      <c r="B656" s="196" t="s">
        <v>1914</v>
      </c>
      <c r="C656" s="194" t="s">
        <v>1768</v>
      </c>
      <c r="D656" s="105">
        <v>4987826.9476922695</v>
      </c>
      <c r="E656" s="13"/>
      <c r="F656" s="105">
        <v>4769414.2887258632</v>
      </c>
      <c r="G656" s="105"/>
      <c r="H656" s="105">
        <v>218397.3498109566</v>
      </c>
      <c r="I656" s="105">
        <v>15.309155449463516</v>
      </c>
      <c r="J656" s="105"/>
      <c r="K656" s="105"/>
      <c r="L656" s="105">
        <v>15.309155449463516</v>
      </c>
      <c r="M656" s="105"/>
      <c r="N656" s="105">
        <v>0</v>
      </c>
      <c r="O656" s="105">
        <v>0</v>
      </c>
      <c r="P656" s="105">
        <v>0</v>
      </c>
      <c r="Q656" s="105">
        <v>0</v>
      </c>
      <c r="R656" s="105"/>
      <c r="S656" s="105"/>
      <c r="T656" s="105">
        <v>4987826.9476922695</v>
      </c>
      <c r="U656" s="111"/>
      <c r="V656" s="111"/>
      <c r="W656" s="111">
        <v>3338.9999999999995</v>
      </c>
      <c r="X656" s="111"/>
      <c r="Y656" s="111"/>
    </row>
    <row r="657" spans="1:25" x14ac:dyDescent="0.25">
      <c r="A657" s="104">
        <v>9</v>
      </c>
      <c r="B657" s="196" t="s">
        <v>1915</v>
      </c>
      <c r="C657" s="194" t="s">
        <v>1768</v>
      </c>
      <c r="D657" s="105">
        <v>551323.88</v>
      </c>
      <c r="E657" s="13"/>
      <c r="F657" s="105">
        <v>527181.88071949384</v>
      </c>
      <c r="G657" s="105"/>
      <c r="H657" s="105">
        <v>24140.307100109632</v>
      </c>
      <c r="I657" s="105">
        <v>1.6921803964803681</v>
      </c>
      <c r="J657" s="105"/>
      <c r="K657" s="105"/>
      <c r="L657" s="105">
        <v>1.6921803964803681</v>
      </c>
      <c r="M657" s="105"/>
      <c r="N657" s="105">
        <v>0</v>
      </c>
      <c r="O657" s="105">
        <v>0</v>
      </c>
      <c r="P657" s="105">
        <v>0</v>
      </c>
      <c r="Q657" s="105">
        <v>0</v>
      </c>
      <c r="R657" s="105"/>
      <c r="S657" s="105"/>
      <c r="T657" s="105">
        <v>551323.88</v>
      </c>
      <c r="U657" s="111"/>
      <c r="V657" s="111"/>
      <c r="W657" s="111">
        <v>4231075.1100000003</v>
      </c>
      <c r="X657" s="111"/>
      <c r="Y657" s="111"/>
    </row>
    <row r="658" spans="1:25" x14ac:dyDescent="0.25">
      <c r="A658" s="104">
        <v>10</v>
      </c>
      <c r="B658" s="196" t="s">
        <v>1886</v>
      </c>
      <c r="C658" s="194" t="s">
        <v>1239</v>
      </c>
      <c r="D658" s="105">
        <v>2810844.66</v>
      </c>
      <c r="E658" s="13"/>
      <c r="F658" s="105">
        <v>1476136.2507957534</v>
      </c>
      <c r="G658" s="105"/>
      <c r="H658" s="105">
        <v>915501.09019698645</v>
      </c>
      <c r="I658" s="105">
        <v>419207.31900726026</v>
      </c>
      <c r="J658" s="105"/>
      <c r="K658" s="105"/>
      <c r="L658" s="105">
        <v>0</v>
      </c>
      <c r="M658" s="105"/>
      <c r="N658" s="105">
        <v>419207.31900726026</v>
      </c>
      <c r="O658" s="105">
        <v>212610.23649726028</v>
      </c>
      <c r="P658" s="105">
        <v>206597.08251000001</v>
      </c>
      <c r="Q658" s="105">
        <v>0</v>
      </c>
      <c r="R658" s="105"/>
      <c r="S658" s="105"/>
      <c r="T658" s="105">
        <v>2810844.66</v>
      </c>
      <c r="U658" s="111"/>
      <c r="V658" s="111"/>
      <c r="W658" s="111"/>
      <c r="X658" s="111"/>
      <c r="Y658" s="111"/>
    </row>
    <row r="659" spans="1:25" x14ac:dyDescent="0.25">
      <c r="A659" s="104">
        <v>11</v>
      </c>
      <c r="B659" s="196" t="s">
        <v>1887</v>
      </c>
      <c r="C659" s="194" t="s">
        <v>1245</v>
      </c>
      <c r="D659" s="105">
        <v>1420230.45</v>
      </c>
      <c r="E659" s="13"/>
      <c r="F659" s="105">
        <v>1106107.4546747499</v>
      </c>
      <c r="G659" s="105"/>
      <c r="H659" s="105">
        <v>0</v>
      </c>
      <c r="I659" s="105">
        <v>314122.99532525009</v>
      </c>
      <c r="J659" s="105"/>
      <c r="K659" s="105"/>
      <c r="L659" s="105">
        <v>0</v>
      </c>
      <c r="M659" s="105"/>
      <c r="N659" s="105">
        <v>314122.99532525009</v>
      </c>
      <c r="O659" s="105">
        <v>159314.40434648644</v>
      </c>
      <c r="P659" s="105">
        <v>154808.59097876362</v>
      </c>
      <c r="Q659" s="105">
        <v>0</v>
      </c>
      <c r="R659" s="105"/>
      <c r="S659" s="105"/>
      <c r="T659" s="105">
        <v>1420230.45</v>
      </c>
      <c r="U659" s="111"/>
    </row>
    <row r="660" spans="1:25" x14ac:dyDescent="0.25">
      <c r="A660" s="104">
        <v>12</v>
      </c>
      <c r="B660" s="196" t="s">
        <v>1916</v>
      </c>
      <c r="C660" s="103"/>
      <c r="D660" s="105">
        <v>1073901674.299999</v>
      </c>
      <c r="E660" s="13"/>
      <c r="F660" s="105">
        <v>1025412885.8886671</v>
      </c>
      <c r="G660" s="105"/>
      <c r="H660" s="105">
        <v>47752174.953126453</v>
      </c>
      <c r="I660" s="105">
        <v>736613.45820547431</v>
      </c>
      <c r="J660" s="105"/>
      <c r="K660" s="105"/>
      <c r="L660" s="105">
        <v>3283.1438729639744</v>
      </c>
      <c r="M660" s="105"/>
      <c r="N660" s="105">
        <v>733330.31433251034</v>
      </c>
      <c r="O660" s="105">
        <v>371924.64084374672</v>
      </c>
      <c r="P660" s="105">
        <v>361405.67348876363</v>
      </c>
      <c r="Q660" s="105">
        <v>0</v>
      </c>
      <c r="R660" s="105"/>
      <c r="S660" s="105"/>
      <c r="T660" s="105"/>
      <c r="U660" s="116" t="s">
        <v>537</v>
      </c>
    </row>
    <row r="661" spans="1:25" x14ac:dyDescent="0.25">
      <c r="A661" s="13"/>
      <c r="B661" s="13"/>
      <c r="C661" s="103"/>
      <c r="D661" s="13"/>
      <c r="E661" s="13"/>
      <c r="F661" s="105"/>
      <c r="G661" s="105"/>
      <c r="H661" s="105"/>
      <c r="I661" s="105"/>
      <c r="J661" s="105"/>
      <c r="K661" s="105"/>
      <c r="L661" s="105"/>
      <c r="M661" s="105"/>
      <c r="N661" s="105"/>
      <c r="O661" s="105"/>
      <c r="P661" s="105"/>
      <c r="Q661" s="105"/>
      <c r="R661" s="105"/>
      <c r="S661" s="105"/>
      <c r="T661" s="105"/>
    </row>
    <row r="662" spans="1:25" x14ac:dyDescent="0.25">
      <c r="A662" s="13"/>
      <c r="B662" s="196" t="s">
        <v>1917</v>
      </c>
      <c r="C662" s="103"/>
      <c r="D662" s="13"/>
      <c r="E662" s="13"/>
      <c r="F662" s="105"/>
      <c r="G662" s="105"/>
      <c r="H662" s="105"/>
      <c r="I662" s="105"/>
      <c r="J662" s="105"/>
      <c r="K662" s="105"/>
      <c r="L662" s="105"/>
      <c r="M662" s="105"/>
      <c r="N662" s="105"/>
      <c r="O662" s="105"/>
      <c r="P662" s="105"/>
      <c r="Q662" s="105"/>
      <c r="R662" s="105"/>
      <c r="S662" s="105"/>
      <c r="T662" s="105"/>
      <c r="W662" s="111" t="s">
        <v>1035</v>
      </c>
    </row>
    <row r="663" spans="1:25" x14ac:dyDescent="0.25">
      <c r="A663" s="104">
        <v>13</v>
      </c>
      <c r="B663" s="196" t="s">
        <v>1907</v>
      </c>
      <c r="C663" s="194" t="s">
        <v>1252</v>
      </c>
      <c r="D663" s="105">
        <v>2106294.1423076922</v>
      </c>
      <c r="E663" s="13"/>
      <c r="F663" s="105">
        <v>0</v>
      </c>
      <c r="G663" s="105"/>
      <c r="H663" s="105">
        <v>2106294.1423076922</v>
      </c>
      <c r="I663" s="105">
        <v>0</v>
      </c>
      <c r="J663" s="105"/>
      <c r="K663" s="105"/>
      <c r="L663" s="105">
        <v>0</v>
      </c>
      <c r="M663" s="105"/>
      <c r="N663" s="105">
        <v>0</v>
      </c>
      <c r="O663" s="105">
        <v>0</v>
      </c>
      <c r="P663" s="105">
        <v>0</v>
      </c>
      <c r="Q663" s="105">
        <v>0</v>
      </c>
      <c r="R663" s="105"/>
      <c r="S663" s="105"/>
      <c r="T663" s="105">
        <v>2106294.1423076922</v>
      </c>
      <c r="U663" s="111"/>
      <c r="V663" s="111"/>
      <c r="W663" s="111">
        <v>2386664.8923076922</v>
      </c>
      <c r="X663" s="111"/>
      <c r="Y663" s="111"/>
    </row>
    <row r="664" spans="1:25" x14ac:dyDescent="0.25">
      <c r="A664" s="104">
        <v>14</v>
      </c>
      <c r="B664" s="196" t="s">
        <v>1908</v>
      </c>
      <c r="C664" s="194" t="s">
        <v>1252</v>
      </c>
      <c r="D664" s="105">
        <v>1743195.88</v>
      </c>
      <c r="E664" s="13"/>
      <c r="F664" s="105">
        <v>0</v>
      </c>
      <c r="G664" s="105"/>
      <c r="H664" s="105">
        <v>1743195.88</v>
      </c>
      <c r="I664" s="105">
        <v>0</v>
      </c>
      <c r="J664" s="105"/>
      <c r="K664" s="105"/>
      <c r="L664" s="105">
        <v>0</v>
      </c>
      <c r="M664" s="105"/>
      <c r="N664" s="105">
        <v>0</v>
      </c>
      <c r="O664" s="105">
        <v>0</v>
      </c>
      <c r="P664" s="105">
        <v>0</v>
      </c>
      <c r="Q664" s="105">
        <v>0</v>
      </c>
      <c r="R664" s="105"/>
      <c r="S664" s="105"/>
      <c r="T664" s="105">
        <v>1743195.88</v>
      </c>
      <c r="U664" s="111"/>
      <c r="V664" s="111"/>
      <c r="W664" s="111">
        <v>1743195.88</v>
      </c>
      <c r="X664" s="111">
        <v>3</v>
      </c>
      <c r="Y664" s="111"/>
    </row>
    <row r="665" spans="1:25" x14ac:dyDescent="0.25">
      <c r="A665" s="104">
        <v>15</v>
      </c>
      <c r="B665" s="196" t="s">
        <v>1909</v>
      </c>
      <c r="C665" s="194" t="s">
        <v>1252</v>
      </c>
      <c r="D665" s="105">
        <v>22950562.109999996</v>
      </c>
      <c r="E665" s="13"/>
      <c r="F665" s="105">
        <v>0</v>
      </c>
      <c r="G665" s="105"/>
      <c r="H665" s="105">
        <v>22950562.109999996</v>
      </c>
      <c r="I665" s="105">
        <v>0</v>
      </c>
      <c r="J665" s="105"/>
      <c r="K665" s="105"/>
      <c r="L665" s="105">
        <v>0</v>
      </c>
      <c r="M665" s="105"/>
      <c r="N665" s="105">
        <v>0</v>
      </c>
      <c r="O665" s="105">
        <v>0</v>
      </c>
      <c r="P665" s="105">
        <v>0</v>
      </c>
      <c r="Q665" s="105">
        <v>0</v>
      </c>
      <c r="R665" s="105"/>
      <c r="S665" s="105"/>
      <c r="T665" s="105">
        <v>22950562.109999996</v>
      </c>
      <c r="U665" s="111"/>
      <c r="V665" s="111"/>
      <c r="W665" s="111">
        <v>22950562.109999996</v>
      </c>
      <c r="X665" s="111">
        <v>1573.0000000000002</v>
      </c>
      <c r="Y665" s="111"/>
    </row>
    <row r="666" spans="1:25" x14ac:dyDescent="0.25">
      <c r="A666" s="104">
        <v>16</v>
      </c>
      <c r="B666" s="196" t="s">
        <v>1910</v>
      </c>
      <c r="C666" s="194" t="s">
        <v>1252</v>
      </c>
      <c r="D666" s="105">
        <v>2411758.4300000016</v>
      </c>
      <c r="E666" s="13"/>
      <c r="F666" s="105">
        <v>0</v>
      </c>
      <c r="G666" s="105"/>
      <c r="H666" s="105">
        <v>2411758.4300000016</v>
      </c>
      <c r="I666" s="105">
        <v>0</v>
      </c>
      <c r="J666" s="105"/>
      <c r="K666" s="105"/>
      <c r="L666" s="105">
        <v>0</v>
      </c>
      <c r="M666" s="105"/>
      <c r="N666" s="105">
        <v>0</v>
      </c>
      <c r="O666" s="105">
        <v>0</v>
      </c>
      <c r="P666" s="105">
        <v>0</v>
      </c>
      <c r="Q666" s="105">
        <v>0</v>
      </c>
      <c r="R666" s="105"/>
      <c r="S666" s="105"/>
      <c r="T666" s="105">
        <v>2411758.4300000016</v>
      </c>
      <c r="U666" s="111"/>
      <c r="V666" s="111"/>
      <c r="W666" s="111">
        <v>7181081.3000000007</v>
      </c>
      <c r="X666" s="111"/>
      <c r="Y666" s="111"/>
    </row>
    <row r="667" spans="1:25" x14ac:dyDescent="0.25">
      <c r="A667" s="104">
        <v>17</v>
      </c>
      <c r="B667" s="196" t="s">
        <v>1911</v>
      </c>
      <c r="C667" s="194" t="s">
        <v>1252</v>
      </c>
      <c r="D667" s="105">
        <v>14995536.116923079</v>
      </c>
      <c r="E667" s="13"/>
      <c r="F667" s="105">
        <v>0</v>
      </c>
      <c r="G667" s="105"/>
      <c r="H667" s="105">
        <v>14995536.116923079</v>
      </c>
      <c r="I667" s="105">
        <v>0</v>
      </c>
      <c r="J667" s="105"/>
      <c r="K667" s="105"/>
      <c r="L667" s="105">
        <v>0</v>
      </c>
      <c r="M667" s="105"/>
      <c r="N667" s="105">
        <v>0</v>
      </c>
      <c r="O667" s="105">
        <v>0</v>
      </c>
      <c r="P667" s="105">
        <v>0</v>
      </c>
      <c r="Q667" s="105">
        <v>0</v>
      </c>
      <c r="R667" s="105"/>
      <c r="S667" s="105"/>
      <c r="T667" s="105">
        <v>14995536.116923079</v>
      </c>
      <c r="U667" s="111"/>
      <c r="V667" s="111"/>
      <c r="W667" s="111">
        <v>15046894.096923079</v>
      </c>
      <c r="X667" s="111">
        <v>649.7700000000001</v>
      </c>
      <c r="Y667" s="111"/>
    </row>
    <row r="668" spans="1:25" x14ac:dyDescent="0.25">
      <c r="A668" s="104">
        <v>18</v>
      </c>
      <c r="B668" s="196" t="s">
        <v>1912</v>
      </c>
      <c r="C668" s="194" t="s">
        <v>1252</v>
      </c>
      <c r="D668" s="105">
        <v>15564837.119999995</v>
      </c>
      <c r="E668" s="13"/>
      <c r="F668" s="105">
        <v>0</v>
      </c>
      <c r="G668" s="105"/>
      <c r="H668" s="105">
        <v>15564837.119999995</v>
      </c>
      <c r="I668" s="105">
        <v>0</v>
      </c>
      <c r="J668" s="105"/>
      <c r="K668" s="105"/>
      <c r="L668" s="105">
        <v>0</v>
      </c>
      <c r="M668" s="105"/>
      <c r="N668" s="105">
        <v>0</v>
      </c>
      <c r="O668" s="105">
        <v>0</v>
      </c>
      <c r="P668" s="105">
        <v>0</v>
      </c>
      <c r="Q668" s="105">
        <v>0</v>
      </c>
      <c r="R668" s="105"/>
      <c r="S668" s="105"/>
      <c r="T668" s="105">
        <v>15564837.119999995</v>
      </c>
      <c r="U668" s="111"/>
      <c r="V668" s="111"/>
      <c r="W668" s="111">
        <v>18694214.929999996</v>
      </c>
      <c r="X668" s="111">
        <v>2064.610000000001</v>
      </c>
      <c r="Y668" s="111"/>
    </row>
    <row r="669" spans="1:25" x14ac:dyDescent="0.25">
      <c r="A669" s="104">
        <v>19</v>
      </c>
      <c r="B669" s="196" t="s">
        <v>1886</v>
      </c>
      <c r="C669" s="194" t="s">
        <v>1252</v>
      </c>
      <c r="D669" s="105">
        <v>2.0000000000000009</v>
      </c>
      <c r="E669" s="13"/>
      <c r="F669" s="105">
        <v>0</v>
      </c>
      <c r="G669" s="105"/>
      <c r="H669" s="105">
        <v>2.0000000000000009</v>
      </c>
      <c r="I669" s="105">
        <v>0</v>
      </c>
      <c r="J669" s="105"/>
      <c r="K669" s="105"/>
      <c r="L669" s="105">
        <v>0</v>
      </c>
      <c r="M669" s="105"/>
      <c r="N669" s="105">
        <v>0</v>
      </c>
      <c r="O669" s="105">
        <v>0</v>
      </c>
      <c r="P669" s="105">
        <v>0</v>
      </c>
      <c r="Q669" s="105">
        <v>0</v>
      </c>
      <c r="R669" s="105"/>
      <c r="S669" s="105"/>
      <c r="T669" s="105">
        <v>2.0000000000000009</v>
      </c>
      <c r="U669" s="111"/>
      <c r="V669" s="111"/>
      <c r="W669" s="111">
        <v>2.0000000000000009</v>
      </c>
      <c r="X669" s="111">
        <v>4290.380000000001</v>
      </c>
      <c r="Y669" s="111"/>
    </row>
    <row r="670" spans="1:25" x14ac:dyDescent="0.25">
      <c r="A670" s="104">
        <v>20</v>
      </c>
      <c r="B670" s="196" t="s">
        <v>1887</v>
      </c>
      <c r="C670" s="194" t="s">
        <v>1252</v>
      </c>
      <c r="D670" s="105">
        <v>4288.380000000001</v>
      </c>
      <c r="E670" s="13"/>
      <c r="F670" s="105">
        <v>0</v>
      </c>
      <c r="G670" s="105"/>
      <c r="H670" s="105">
        <v>4288.380000000001</v>
      </c>
      <c r="I670" s="105">
        <v>0</v>
      </c>
      <c r="J670" s="105"/>
      <c r="K670" s="105"/>
      <c r="L670" s="105">
        <v>0</v>
      </c>
      <c r="M670" s="105"/>
      <c r="N670" s="105">
        <v>0</v>
      </c>
      <c r="O670" s="105">
        <v>0</v>
      </c>
      <c r="P670" s="105">
        <v>0</v>
      </c>
      <c r="Q670" s="105">
        <v>0</v>
      </c>
      <c r="R670" s="105"/>
      <c r="S670" s="105"/>
      <c r="T670" s="105">
        <v>4288.380000000001</v>
      </c>
      <c r="U670" s="111"/>
      <c r="W670" s="111">
        <v>4288.380000000001</v>
      </c>
    </row>
    <row r="671" spans="1:25" x14ac:dyDescent="0.25">
      <c r="A671" s="104">
        <v>21</v>
      </c>
      <c r="B671" s="196" t="s">
        <v>1918</v>
      </c>
      <c r="C671" s="103"/>
      <c r="D671" s="105">
        <v>59776474.179230765</v>
      </c>
      <c r="E671" s="13"/>
      <c r="F671" s="105">
        <v>0</v>
      </c>
      <c r="G671" s="105"/>
      <c r="H671" s="105">
        <v>59776474.179230765</v>
      </c>
      <c r="I671" s="105">
        <v>0</v>
      </c>
      <c r="J671" s="105"/>
      <c r="K671" s="105"/>
      <c r="L671" s="105">
        <v>0</v>
      </c>
      <c r="M671" s="105"/>
      <c r="N671" s="105">
        <v>0</v>
      </c>
      <c r="O671" s="105">
        <v>0</v>
      </c>
      <c r="P671" s="105">
        <v>0</v>
      </c>
      <c r="Q671" s="105">
        <v>0</v>
      </c>
      <c r="R671" s="105"/>
      <c r="S671" s="105"/>
      <c r="T671" s="105"/>
      <c r="U671" s="116" t="s">
        <v>537</v>
      </c>
    </row>
    <row r="672" spans="1:25" x14ac:dyDescent="0.25">
      <c r="A672" s="13"/>
      <c r="B672" s="13"/>
      <c r="C672" s="103"/>
      <c r="D672" s="13"/>
      <c r="E672" s="13"/>
      <c r="F672" s="105"/>
      <c r="G672" s="105"/>
      <c r="H672" s="105"/>
      <c r="I672" s="105"/>
      <c r="J672" s="105"/>
      <c r="K672" s="105"/>
      <c r="L672" s="105"/>
      <c r="M672" s="105"/>
      <c r="N672" s="105"/>
      <c r="O672" s="105"/>
      <c r="P672" s="105"/>
      <c r="Q672" s="105"/>
      <c r="R672" s="105"/>
      <c r="S672" s="105"/>
      <c r="T672" s="105"/>
    </row>
    <row r="673" spans="1:25" x14ac:dyDescent="0.25">
      <c r="A673" s="13"/>
      <c r="B673" s="196" t="s">
        <v>1919</v>
      </c>
      <c r="C673" s="103"/>
      <c r="D673" s="13"/>
      <c r="E673" s="13"/>
      <c r="F673" s="105"/>
      <c r="G673" s="105"/>
      <c r="H673" s="105"/>
      <c r="I673" s="105"/>
      <c r="J673" s="105"/>
      <c r="K673" s="105"/>
      <c r="L673" s="105"/>
      <c r="M673" s="105"/>
      <c r="N673" s="105"/>
      <c r="O673" s="105"/>
      <c r="P673" s="105"/>
      <c r="Q673" s="105"/>
      <c r="R673" s="105"/>
      <c r="S673" s="105"/>
      <c r="T673" s="105"/>
      <c r="W673" s="146"/>
    </row>
    <row r="674" spans="1:25" x14ac:dyDescent="0.25">
      <c r="A674" s="104">
        <v>22</v>
      </c>
      <c r="B674" s="196" t="s">
        <v>1907</v>
      </c>
      <c r="C674" s="194" t="s">
        <v>2019</v>
      </c>
      <c r="D674" s="105">
        <v>280370.75</v>
      </c>
      <c r="E674" s="13"/>
      <c r="F674" s="105">
        <v>280369.85005183908</v>
      </c>
      <c r="G674" s="105"/>
      <c r="H674" s="105">
        <v>0</v>
      </c>
      <c r="I674" s="105">
        <v>0.89994816091621976</v>
      </c>
      <c r="J674" s="105"/>
      <c r="K674" s="105"/>
      <c r="L674" s="105">
        <v>0.89994816091621976</v>
      </c>
      <c r="M674" s="105"/>
      <c r="N674" s="105">
        <v>0</v>
      </c>
      <c r="O674" s="105">
        <v>0</v>
      </c>
      <c r="P674" s="105">
        <v>0</v>
      </c>
      <c r="Q674" s="105">
        <v>0</v>
      </c>
      <c r="R674" s="105"/>
      <c r="S674" s="105"/>
      <c r="T674" s="105">
        <v>280370.75</v>
      </c>
      <c r="U674" s="111"/>
      <c r="V674" s="111"/>
      <c r="W674" s="111"/>
      <c r="X674" s="111"/>
      <c r="Y674" s="111"/>
    </row>
    <row r="675" spans="1:25" x14ac:dyDescent="0.25">
      <c r="A675" s="104">
        <v>23</v>
      </c>
      <c r="B675" s="196" t="s">
        <v>1910</v>
      </c>
      <c r="C675" s="194" t="s">
        <v>2019</v>
      </c>
      <c r="D675" s="105">
        <v>4769322.8699999992</v>
      </c>
      <c r="E675" s="13"/>
      <c r="F675" s="105">
        <v>4769307.5611871304</v>
      </c>
      <c r="G675" s="105"/>
      <c r="H675" s="105">
        <v>0</v>
      </c>
      <c r="I675" s="105">
        <v>15.308812868932177</v>
      </c>
      <c r="J675" s="105"/>
      <c r="K675" s="105"/>
      <c r="L675" s="105">
        <v>15.308812868932177</v>
      </c>
      <c r="M675" s="105"/>
      <c r="N675" s="105">
        <v>0</v>
      </c>
      <c r="O675" s="105">
        <v>0</v>
      </c>
      <c r="P675" s="105">
        <v>0</v>
      </c>
      <c r="Q675" s="105">
        <v>0</v>
      </c>
      <c r="R675" s="105"/>
      <c r="S675" s="105"/>
      <c r="T675" s="105">
        <v>4769322.8699999992</v>
      </c>
      <c r="U675" s="111"/>
      <c r="V675" s="111"/>
      <c r="W675" s="111"/>
      <c r="X675" s="111"/>
      <c r="Y675" s="111"/>
    </row>
    <row r="676" spans="1:25" x14ac:dyDescent="0.25">
      <c r="A676" s="104">
        <v>24</v>
      </c>
      <c r="B676" s="196" t="s">
        <v>1911</v>
      </c>
      <c r="C676" s="194" t="s">
        <v>2019</v>
      </c>
      <c r="D676" s="105">
        <v>51357.98</v>
      </c>
      <c r="E676" s="13"/>
      <c r="F676" s="105">
        <v>51357.815148567926</v>
      </c>
      <c r="G676" s="105"/>
      <c r="H676" s="105">
        <v>0</v>
      </c>
      <c r="I676" s="105">
        <v>0.164851432074751</v>
      </c>
      <c r="J676" s="105"/>
      <c r="K676" s="105"/>
      <c r="L676" s="105">
        <v>0.164851432074751</v>
      </c>
      <c r="M676" s="105"/>
      <c r="N676" s="105">
        <v>0</v>
      </c>
      <c r="O676" s="105">
        <v>0</v>
      </c>
      <c r="P676" s="105">
        <v>0</v>
      </c>
      <c r="Q676" s="105">
        <v>0</v>
      </c>
      <c r="R676" s="105"/>
      <c r="S676" s="105"/>
      <c r="T676" s="105">
        <v>51357.979999999996</v>
      </c>
      <c r="U676" s="111"/>
      <c r="V676" s="111"/>
      <c r="W676" s="111"/>
      <c r="X676" s="111"/>
      <c r="Y676" s="111"/>
    </row>
    <row r="677" spans="1:25" x14ac:dyDescent="0.25">
      <c r="A677" s="104">
        <v>25</v>
      </c>
      <c r="B677" s="196" t="s">
        <v>1912</v>
      </c>
      <c r="C677" s="194" t="s">
        <v>2019</v>
      </c>
      <c r="D677" s="105">
        <v>3129377.81</v>
      </c>
      <c r="E677" s="13"/>
      <c r="F677" s="105">
        <v>3129367.7651654198</v>
      </c>
      <c r="G677" s="105"/>
      <c r="H677" s="105">
        <v>0</v>
      </c>
      <c r="I677" s="105">
        <v>10.044834580360209</v>
      </c>
      <c r="J677" s="105"/>
      <c r="K677" s="105"/>
      <c r="L677" s="105">
        <v>10.044834580360209</v>
      </c>
      <c r="M677" s="105"/>
      <c r="N677" s="105">
        <v>0</v>
      </c>
      <c r="O677" s="105">
        <v>0</v>
      </c>
      <c r="P677" s="105">
        <v>0</v>
      </c>
      <c r="Q677" s="105">
        <v>0</v>
      </c>
      <c r="R677" s="105"/>
      <c r="S677" s="105"/>
      <c r="T677" s="105">
        <v>3129377.81</v>
      </c>
      <c r="U677" s="111"/>
      <c r="V677" s="111"/>
      <c r="W677" s="111"/>
      <c r="X677" s="111"/>
      <c r="Y677" s="111"/>
    </row>
    <row r="678" spans="1:25" x14ac:dyDescent="0.25">
      <c r="A678" s="104">
        <v>26</v>
      </c>
      <c r="B678" s="196" t="s">
        <v>1886</v>
      </c>
      <c r="C678" s="194" t="s">
        <v>1239</v>
      </c>
      <c r="D678" s="105">
        <v>0</v>
      </c>
      <c r="E678" s="13"/>
      <c r="F678" s="105">
        <v>0</v>
      </c>
      <c r="G678" s="105"/>
      <c r="H678" s="105">
        <v>0</v>
      </c>
      <c r="I678" s="105">
        <v>0</v>
      </c>
      <c r="J678" s="105"/>
      <c r="K678" s="105"/>
      <c r="L678" s="105">
        <v>0</v>
      </c>
      <c r="M678" s="105"/>
      <c r="N678" s="105">
        <v>0</v>
      </c>
      <c r="O678" s="105">
        <v>0</v>
      </c>
      <c r="P678" s="105">
        <v>0</v>
      </c>
      <c r="Q678" s="105">
        <v>0</v>
      </c>
      <c r="R678" s="105"/>
      <c r="S678" s="105"/>
      <c r="T678" s="105">
        <v>0</v>
      </c>
      <c r="U678" s="111"/>
      <c r="V678" s="111"/>
      <c r="W678" s="111"/>
      <c r="X678" s="111"/>
      <c r="Y678" s="111"/>
    </row>
    <row r="679" spans="1:25" x14ac:dyDescent="0.25">
      <c r="A679" s="104">
        <v>27</v>
      </c>
      <c r="B679" s="196" t="s">
        <v>1887</v>
      </c>
      <c r="C679" s="194" t="s">
        <v>1245</v>
      </c>
      <c r="D679" s="105">
        <v>0</v>
      </c>
      <c r="E679" s="13"/>
      <c r="F679" s="105">
        <v>0</v>
      </c>
      <c r="G679" s="105"/>
      <c r="H679" s="105">
        <v>0</v>
      </c>
      <c r="I679" s="105">
        <v>0</v>
      </c>
      <c r="J679" s="105"/>
      <c r="K679" s="105"/>
      <c r="L679" s="105">
        <v>0</v>
      </c>
      <c r="M679" s="105"/>
      <c r="N679" s="105">
        <v>0</v>
      </c>
      <c r="O679" s="105">
        <v>0</v>
      </c>
      <c r="P679" s="105">
        <v>0</v>
      </c>
      <c r="Q679" s="105">
        <v>0</v>
      </c>
      <c r="R679" s="105"/>
      <c r="S679" s="105"/>
      <c r="T679" s="105">
        <v>0</v>
      </c>
      <c r="U679" s="111"/>
    </row>
    <row r="680" spans="1:25" x14ac:dyDescent="0.25">
      <c r="A680" s="104">
        <v>28</v>
      </c>
      <c r="B680" s="196" t="s">
        <v>1920</v>
      </c>
      <c r="C680" s="103"/>
      <c r="D680" s="105">
        <v>8230429.4099999983</v>
      </c>
      <c r="E680" s="13"/>
      <c r="F680" s="105">
        <v>8230402.9915529564</v>
      </c>
      <c r="G680" s="105"/>
      <c r="H680" s="105">
        <v>0</v>
      </c>
      <c r="I680" s="105">
        <v>26.418447042283358</v>
      </c>
      <c r="J680" s="105"/>
      <c r="K680" s="105"/>
      <c r="L680" s="105">
        <v>26.418447042283358</v>
      </c>
      <c r="M680" s="105"/>
      <c r="N680" s="105">
        <v>0</v>
      </c>
      <c r="O680" s="105">
        <v>0</v>
      </c>
      <c r="P680" s="105">
        <v>0</v>
      </c>
      <c r="Q680" s="105">
        <v>0</v>
      </c>
      <c r="R680" s="105"/>
      <c r="S680" s="105"/>
      <c r="T680" s="105"/>
      <c r="U680" s="116" t="s">
        <v>537</v>
      </c>
    </row>
    <row r="681" spans="1:25" x14ac:dyDescent="0.25">
      <c r="A681" s="13"/>
      <c r="B681" s="13"/>
      <c r="C681" s="13"/>
      <c r="D681" s="13"/>
      <c r="E681" s="13"/>
      <c r="F681" s="105"/>
      <c r="G681" s="105"/>
      <c r="H681" s="105"/>
      <c r="I681" s="105"/>
      <c r="J681" s="105"/>
      <c r="K681" s="105"/>
      <c r="L681" s="105"/>
      <c r="M681" s="105"/>
      <c r="N681" s="105"/>
      <c r="O681" s="105"/>
      <c r="P681" s="105"/>
      <c r="Q681" s="105"/>
      <c r="R681" s="105"/>
      <c r="S681" s="105"/>
      <c r="T681" s="105"/>
    </row>
    <row r="682" spans="1:25" x14ac:dyDescent="0.25">
      <c r="A682" s="104">
        <v>29</v>
      </c>
      <c r="B682" s="193" t="s">
        <v>881</v>
      </c>
      <c r="C682" s="103"/>
      <c r="D682" s="105">
        <v>1141908577.8892298</v>
      </c>
      <c r="E682" s="13"/>
      <c r="F682" s="105">
        <v>1033643288.8802201</v>
      </c>
      <c r="G682" s="105"/>
      <c r="H682" s="105">
        <v>107528649.13235721</v>
      </c>
      <c r="I682" s="105">
        <v>736639.87665251666</v>
      </c>
      <c r="J682" s="105"/>
      <c r="K682" s="105"/>
      <c r="L682" s="105">
        <v>3309.5623200062578</v>
      </c>
      <c r="M682" s="105"/>
      <c r="N682" s="105">
        <v>733330.31433251034</v>
      </c>
      <c r="O682" s="105">
        <v>371924.64084374672</v>
      </c>
      <c r="P682" s="105">
        <v>361405.67348876363</v>
      </c>
      <c r="Q682" s="105">
        <v>0</v>
      </c>
      <c r="R682" s="105"/>
      <c r="S682" s="105"/>
      <c r="T682" s="105"/>
      <c r="U682" s="116" t="s">
        <v>537</v>
      </c>
    </row>
    <row r="683" spans="1:25" x14ac:dyDescent="0.25">
      <c r="A683" s="13"/>
      <c r="B683" s="13"/>
      <c r="C683" s="103"/>
      <c r="D683" s="13"/>
      <c r="E683" s="13"/>
      <c r="F683" s="105"/>
      <c r="G683" s="105"/>
      <c r="H683" s="105"/>
      <c r="I683" s="105"/>
      <c r="J683" s="105"/>
      <c r="K683" s="105"/>
      <c r="L683" s="105"/>
      <c r="M683" s="105"/>
      <c r="N683" s="105"/>
      <c r="O683" s="105"/>
      <c r="P683" s="105"/>
      <c r="Q683" s="105"/>
      <c r="R683" s="105"/>
      <c r="S683" s="105"/>
      <c r="T683" s="105"/>
    </row>
    <row r="684" spans="1:25" x14ac:dyDescent="0.25">
      <c r="A684" s="13"/>
      <c r="B684" s="195" t="s">
        <v>1037</v>
      </c>
      <c r="C684" s="13"/>
      <c r="D684" s="13"/>
      <c r="E684" s="13"/>
      <c r="F684" s="105"/>
      <c r="G684" s="105"/>
      <c r="H684" s="105"/>
      <c r="I684" s="105"/>
      <c r="J684" s="105"/>
      <c r="K684" s="105"/>
      <c r="L684" s="105"/>
      <c r="M684" s="105"/>
      <c r="N684" s="105"/>
      <c r="O684" s="105"/>
      <c r="P684" s="105"/>
      <c r="Q684" s="105"/>
      <c r="R684" s="105"/>
      <c r="S684" s="105"/>
      <c r="T684" s="105"/>
    </row>
    <row r="685" spans="1:25" x14ac:dyDescent="0.25">
      <c r="A685" s="13"/>
      <c r="B685" s="13"/>
      <c r="C685" s="13"/>
      <c r="D685" s="13"/>
      <c r="E685" s="13"/>
      <c r="F685" s="105"/>
      <c r="G685" s="105"/>
      <c r="H685" s="105"/>
      <c r="I685" s="105"/>
      <c r="J685" s="105"/>
      <c r="K685" s="105"/>
      <c r="L685" s="105"/>
      <c r="M685" s="105"/>
      <c r="N685" s="105"/>
      <c r="O685" s="105"/>
      <c r="P685" s="105"/>
      <c r="Q685" s="105"/>
      <c r="R685" s="105"/>
      <c r="S685" s="105"/>
      <c r="T685" s="105"/>
    </row>
    <row r="686" spans="1:25" x14ac:dyDescent="0.25">
      <c r="A686" s="13"/>
      <c r="B686" s="193" t="s">
        <v>1038</v>
      </c>
      <c r="C686" s="103"/>
      <c r="D686" s="13"/>
      <c r="E686" s="13"/>
      <c r="F686" s="105"/>
      <c r="G686" s="105"/>
      <c r="H686" s="105"/>
      <c r="I686" s="105"/>
      <c r="J686" s="105"/>
      <c r="K686" s="105"/>
      <c r="L686" s="105"/>
      <c r="M686" s="105"/>
      <c r="N686" s="105"/>
      <c r="O686" s="105"/>
      <c r="P686" s="105"/>
      <c r="Q686" s="105"/>
      <c r="R686" s="105"/>
      <c r="S686" s="105"/>
      <c r="T686" s="105"/>
    </row>
    <row r="687" spans="1:25" x14ac:dyDescent="0.25">
      <c r="A687" s="13"/>
      <c r="B687" s="193" t="s">
        <v>1039</v>
      </c>
      <c r="C687" s="103"/>
      <c r="D687" s="13"/>
      <c r="E687" s="13"/>
      <c r="F687" s="105"/>
      <c r="G687" s="105"/>
      <c r="H687" s="105"/>
      <c r="I687" s="105"/>
      <c r="J687" s="105"/>
      <c r="K687" s="105"/>
      <c r="L687" s="105"/>
      <c r="M687" s="105"/>
      <c r="N687" s="105"/>
      <c r="O687" s="105"/>
      <c r="P687" s="105"/>
      <c r="Q687" s="105"/>
      <c r="R687" s="105"/>
      <c r="S687" s="105"/>
      <c r="T687" s="105"/>
    </row>
    <row r="688" spans="1:25" x14ac:dyDescent="0.25">
      <c r="A688" s="104">
        <v>1</v>
      </c>
      <c r="B688" s="196" t="s">
        <v>1921</v>
      </c>
      <c r="C688" s="197" t="s">
        <v>1770</v>
      </c>
      <c r="D688" s="105">
        <v>9294854.2499999888</v>
      </c>
      <c r="E688" s="13"/>
      <c r="F688" s="105">
        <v>9285697.2499999888</v>
      </c>
      <c r="G688" s="105"/>
      <c r="H688" s="105">
        <v>0</v>
      </c>
      <c r="I688" s="105">
        <v>9157</v>
      </c>
      <c r="J688" s="105"/>
      <c r="K688" s="105"/>
      <c r="L688" s="105">
        <v>0</v>
      </c>
      <c r="M688" s="105"/>
      <c r="N688" s="105">
        <v>9157</v>
      </c>
      <c r="O688" s="105">
        <v>9157</v>
      </c>
      <c r="P688" s="105">
        <v>0</v>
      </c>
      <c r="Q688" s="105">
        <v>0</v>
      </c>
      <c r="R688" s="105"/>
      <c r="S688" s="105"/>
      <c r="T688" s="105">
        <v>9294854.2499999888</v>
      </c>
      <c r="U688" s="111"/>
      <c r="V688" s="111"/>
      <c r="W688" s="111"/>
      <c r="X688" s="111"/>
      <c r="Y688" s="111"/>
    </row>
    <row r="689" spans="1:27" x14ac:dyDescent="0.25">
      <c r="A689" s="104">
        <v>2</v>
      </c>
      <c r="B689" s="196" t="s">
        <v>1922</v>
      </c>
      <c r="C689" s="197" t="s">
        <v>1772</v>
      </c>
      <c r="D689" s="105">
        <v>28360265.465384614</v>
      </c>
      <c r="E689" s="13"/>
      <c r="F689" s="105">
        <v>28004853.465384614</v>
      </c>
      <c r="G689" s="105"/>
      <c r="H689" s="105">
        <v>0</v>
      </c>
      <c r="I689" s="105">
        <v>355412</v>
      </c>
      <c r="J689" s="105"/>
      <c r="K689" s="105"/>
      <c r="L689" s="105">
        <v>0</v>
      </c>
      <c r="M689" s="105"/>
      <c r="N689" s="105">
        <v>355412</v>
      </c>
      <c r="O689" s="105">
        <v>355412</v>
      </c>
      <c r="P689" s="105">
        <v>0</v>
      </c>
      <c r="Q689" s="105">
        <v>0</v>
      </c>
      <c r="R689" s="105"/>
      <c r="S689" s="105"/>
      <c r="T689" s="105">
        <v>28360265.465384614</v>
      </c>
      <c r="U689" s="111"/>
      <c r="V689" s="111"/>
      <c r="W689" s="111"/>
      <c r="X689" s="111"/>
      <c r="Y689" s="111"/>
    </row>
    <row r="690" spans="1:27" x14ac:dyDescent="0.25">
      <c r="A690" s="104">
        <v>3</v>
      </c>
      <c r="B690" s="196" t="s">
        <v>1923</v>
      </c>
      <c r="C690" s="197" t="s">
        <v>1774</v>
      </c>
      <c r="D690" s="105">
        <v>246271632.29076874</v>
      </c>
      <c r="E690" s="13"/>
      <c r="F690" s="105">
        <v>243018549.29076874</v>
      </c>
      <c r="G690" s="105"/>
      <c r="H690" s="105">
        <v>0</v>
      </c>
      <c r="I690" s="105">
        <v>3253083</v>
      </c>
      <c r="J690" s="105"/>
      <c r="K690" s="105"/>
      <c r="L690" s="105">
        <v>0</v>
      </c>
      <c r="M690" s="105"/>
      <c r="N690" s="105">
        <v>3253083</v>
      </c>
      <c r="O690" s="105">
        <v>3253083</v>
      </c>
      <c r="P690" s="105">
        <v>0</v>
      </c>
      <c r="Q690" s="105">
        <v>0</v>
      </c>
      <c r="R690" s="105"/>
      <c r="S690" s="105"/>
      <c r="T690" s="105">
        <v>246271632.29076874</v>
      </c>
      <c r="U690" s="111"/>
      <c r="V690" s="111"/>
      <c r="W690" s="108"/>
      <c r="X690" s="111"/>
      <c r="Y690" s="111"/>
    </row>
    <row r="691" spans="1:27" x14ac:dyDescent="0.25">
      <c r="A691" s="104">
        <v>4</v>
      </c>
      <c r="B691" s="196" t="s">
        <v>1924</v>
      </c>
      <c r="C691" s="197" t="s">
        <v>1776</v>
      </c>
      <c r="D691" s="105">
        <v>398398893.60384554</v>
      </c>
      <c r="E691" s="13"/>
      <c r="F691" s="105">
        <v>398398893.60384554</v>
      </c>
      <c r="G691" s="105"/>
      <c r="H691" s="105">
        <v>0</v>
      </c>
      <c r="I691" s="105">
        <v>0</v>
      </c>
      <c r="J691" s="105"/>
      <c r="K691" s="105"/>
      <c r="L691" s="105">
        <v>0</v>
      </c>
      <c r="M691" s="105"/>
      <c r="N691" s="105">
        <v>0</v>
      </c>
      <c r="O691" s="105">
        <v>0</v>
      </c>
      <c r="P691" s="105">
        <v>0</v>
      </c>
      <c r="Q691" s="105">
        <v>0</v>
      </c>
      <c r="R691" s="105"/>
      <c r="S691" s="105"/>
      <c r="T691" s="105">
        <v>398398893.60384554</v>
      </c>
      <c r="U691" s="111"/>
      <c r="V691" s="111"/>
      <c r="W691" s="111"/>
      <c r="X691" s="111"/>
      <c r="Y691" s="111"/>
    </row>
    <row r="692" spans="1:27" x14ac:dyDescent="0.25">
      <c r="A692" s="104">
        <v>5</v>
      </c>
      <c r="B692" s="196" t="s">
        <v>1925</v>
      </c>
      <c r="C692" s="197" t="s">
        <v>1778</v>
      </c>
      <c r="D692" s="105">
        <v>400526272.49461544</v>
      </c>
      <c r="E692" s="13"/>
      <c r="F692" s="105">
        <v>400526272.49461544</v>
      </c>
      <c r="G692" s="105"/>
      <c r="H692" s="105">
        <v>0</v>
      </c>
      <c r="I692" s="105">
        <v>0</v>
      </c>
      <c r="J692" s="105"/>
      <c r="K692" s="105"/>
      <c r="L692" s="105">
        <v>0</v>
      </c>
      <c r="M692" s="105"/>
      <c r="N692" s="105">
        <v>0</v>
      </c>
      <c r="O692" s="105">
        <v>0</v>
      </c>
      <c r="P692" s="105">
        <v>0</v>
      </c>
      <c r="Q692" s="105">
        <v>0</v>
      </c>
      <c r="R692" s="105"/>
      <c r="S692" s="105"/>
      <c r="T692" s="105">
        <v>400526272.49461544</v>
      </c>
      <c r="U692" s="111"/>
      <c r="V692" s="111"/>
      <c r="W692" s="111"/>
      <c r="X692" s="111"/>
      <c r="Y692" s="111"/>
    </row>
    <row r="693" spans="1:27" x14ac:dyDescent="0.25">
      <c r="A693" s="104">
        <v>6</v>
      </c>
      <c r="B693" s="196" t="s">
        <v>1926</v>
      </c>
      <c r="C693" s="197" t="s">
        <v>1780</v>
      </c>
      <c r="D693" s="105">
        <v>2390106.04</v>
      </c>
      <c r="E693" s="13"/>
      <c r="F693" s="105">
        <v>2390106.04</v>
      </c>
      <c r="G693" s="105"/>
      <c r="H693" s="105">
        <v>0</v>
      </c>
      <c r="I693" s="105">
        <v>0</v>
      </c>
      <c r="J693" s="105"/>
      <c r="K693" s="105"/>
      <c r="L693" s="105">
        <v>0</v>
      </c>
      <c r="M693" s="105"/>
      <c r="N693" s="105">
        <v>0</v>
      </c>
      <c r="O693" s="105">
        <v>0</v>
      </c>
      <c r="P693" s="105">
        <v>0</v>
      </c>
      <c r="Q693" s="105">
        <v>0</v>
      </c>
      <c r="R693" s="105"/>
      <c r="S693" s="105"/>
      <c r="T693" s="105">
        <v>2390106.04</v>
      </c>
      <c r="U693" s="111"/>
      <c r="V693" s="111"/>
      <c r="W693" s="111"/>
      <c r="X693" s="111"/>
      <c r="Y693" s="111"/>
    </row>
    <row r="694" spans="1:27" x14ac:dyDescent="0.25">
      <c r="A694" s="104">
        <v>7</v>
      </c>
      <c r="B694" s="196" t="s">
        <v>1927</v>
      </c>
      <c r="C694" s="197" t="s">
        <v>1782</v>
      </c>
      <c r="D694" s="105">
        <v>217404135.46846145</v>
      </c>
      <c r="E694" s="13"/>
      <c r="F694" s="105">
        <v>217404135.46846145</v>
      </c>
      <c r="G694" s="105"/>
      <c r="H694" s="105">
        <v>0</v>
      </c>
      <c r="I694" s="105">
        <v>0</v>
      </c>
      <c r="J694" s="105"/>
      <c r="K694" s="105"/>
      <c r="L694" s="105">
        <v>0</v>
      </c>
      <c r="M694" s="105"/>
      <c r="N694" s="105">
        <v>0</v>
      </c>
      <c r="O694" s="105">
        <v>0</v>
      </c>
      <c r="P694" s="105">
        <v>0</v>
      </c>
      <c r="Q694" s="105">
        <v>0</v>
      </c>
      <c r="R694" s="105"/>
      <c r="S694" s="105"/>
      <c r="T694" s="105">
        <v>217404135.46846145</v>
      </c>
      <c r="U694" s="111"/>
      <c r="V694" s="111"/>
      <c r="W694" s="111"/>
      <c r="X694" s="111"/>
      <c r="Y694" s="111"/>
    </row>
    <row r="695" spans="1:27" x14ac:dyDescent="0.25">
      <c r="A695" s="13"/>
      <c r="B695" s="196" t="s">
        <v>1928</v>
      </c>
      <c r="C695" s="103"/>
      <c r="D695" s="13"/>
      <c r="E695" s="13"/>
      <c r="F695" s="105"/>
      <c r="G695" s="105"/>
      <c r="H695" s="105"/>
      <c r="I695" s="105"/>
      <c r="J695" s="105"/>
      <c r="K695" s="105"/>
      <c r="L695" s="105"/>
      <c r="M695" s="105"/>
      <c r="N695" s="105"/>
      <c r="O695" s="105"/>
      <c r="P695" s="105"/>
      <c r="Q695" s="105"/>
      <c r="R695" s="105"/>
      <c r="S695" s="105"/>
      <c r="T695" s="105"/>
      <c r="V695" s="111"/>
    </row>
    <row r="696" spans="1:27" x14ac:dyDescent="0.25">
      <c r="A696" s="104">
        <v>8</v>
      </c>
      <c r="B696" s="193" t="s">
        <v>1</v>
      </c>
      <c r="C696" s="194" t="s">
        <v>1329</v>
      </c>
      <c r="D696" s="105">
        <v>5932112.0200000023</v>
      </c>
      <c r="E696" s="13"/>
      <c r="F696" s="105">
        <v>5932112.0200000023</v>
      </c>
      <c r="G696" s="105"/>
      <c r="H696" s="105">
        <v>0</v>
      </c>
      <c r="I696" s="105">
        <v>0</v>
      </c>
      <c r="J696" s="105"/>
      <c r="K696" s="105"/>
      <c r="L696" s="105">
        <v>0</v>
      </c>
      <c r="M696" s="105"/>
      <c r="N696" s="105">
        <v>0</v>
      </c>
      <c r="O696" s="105">
        <v>0</v>
      </c>
      <c r="P696" s="105">
        <v>0</v>
      </c>
      <c r="Q696" s="105">
        <v>0</v>
      </c>
      <c r="R696" s="105"/>
      <c r="S696" s="105"/>
      <c r="T696" s="105">
        <v>5932112.0200000023</v>
      </c>
      <c r="U696" s="111"/>
      <c r="V696" s="111"/>
      <c r="W696" s="108" t="s">
        <v>2102</v>
      </c>
      <c r="X696" s="111"/>
      <c r="Y696" s="111"/>
      <c r="AA696" s="111">
        <v>5932406.1000000024</v>
      </c>
    </row>
    <row r="697" spans="1:27" x14ac:dyDescent="0.25">
      <c r="A697" s="104">
        <v>9</v>
      </c>
      <c r="B697" s="193" t="s">
        <v>2</v>
      </c>
      <c r="C697" s="194" t="s">
        <v>1329</v>
      </c>
      <c r="D697" s="105">
        <v>310042206.07076925</v>
      </c>
      <c r="E697" s="13"/>
      <c r="F697" s="105">
        <v>310042206.07076925</v>
      </c>
      <c r="G697" s="105"/>
      <c r="H697" s="105">
        <v>0</v>
      </c>
      <c r="I697" s="105">
        <v>0</v>
      </c>
      <c r="J697" s="105"/>
      <c r="K697" s="105"/>
      <c r="L697" s="105">
        <v>0</v>
      </c>
      <c r="M697" s="105"/>
      <c r="N697" s="105">
        <v>0</v>
      </c>
      <c r="O697" s="105">
        <v>0</v>
      </c>
      <c r="P697" s="105">
        <v>0</v>
      </c>
      <c r="Q697" s="105">
        <v>0</v>
      </c>
      <c r="R697" s="105"/>
      <c r="S697" s="105"/>
      <c r="T697" s="105">
        <v>310042206.07076925</v>
      </c>
      <c r="U697" s="111"/>
      <c r="V697" s="111"/>
      <c r="W697" s="111"/>
      <c r="X697" s="111"/>
      <c r="Y697" s="111"/>
    </row>
    <row r="698" spans="1:27" x14ac:dyDescent="0.25">
      <c r="A698" s="104">
        <v>10</v>
      </c>
      <c r="B698" s="196" t="s">
        <v>1929</v>
      </c>
      <c r="C698" s="103"/>
      <c r="D698" s="105">
        <v>315974318.09076923</v>
      </c>
      <c r="E698" s="13"/>
      <c r="F698" s="105">
        <v>315974318.09076923</v>
      </c>
      <c r="G698" s="105"/>
      <c r="H698" s="105">
        <v>0</v>
      </c>
      <c r="I698" s="105">
        <v>0</v>
      </c>
      <c r="J698" s="105"/>
      <c r="K698" s="105"/>
      <c r="L698" s="105">
        <v>0</v>
      </c>
      <c r="M698" s="105"/>
      <c r="N698" s="105">
        <v>0</v>
      </c>
      <c r="O698" s="105">
        <v>0</v>
      </c>
      <c r="P698" s="105">
        <v>0</v>
      </c>
      <c r="Q698" s="105">
        <v>0</v>
      </c>
      <c r="R698" s="105"/>
      <c r="S698" s="105"/>
      <c r="T698" s="105">
        <v>315974318.09076923</v>
      </c>
      <c r="U698" s="116" t="s">
        <v>537</v>
      </c>
      <c r="V698" s="111"/>
      <c r="W698" s="111"/>
    </row>
    <row r="699" spans="1:27" x14ac:dyDescent="0.25">
      <c r="A699" s="104">
        <v>11</v>
      </c>
      <c r="B699" s="196" t="s">
        <v>1930</v>
      </c>
      <c r="C699" s="194" t="s">
        <v>1349</v>
      </c>
      <c r="D699" s="105">
        <v>108672088.16153848</v>
      </c>
      <c r="E699" s="13"/>
      <c r="F699" s="105">
        <v>108672088.16153848</v>
      </c>
      <c r="G699" s="105"/>
      <c r="H699" s="105">
        <v>0</v>
      </c>
      <c r="I699" s="105">
        <v>0</v>
      </c>
      <c r="J699" s="105"/>
      <c r="K699" s="105"/>
      <c r="L699" s="105">
        <v>0</v>
      </c>
      <c r="M699" s="105"/>
      <c r="N699" s="105">
        <v>0</v>
      </c>
      <c r="O699" s="105">
        <v>0</v>
      </c>
      <c r="P699" s="105">
        <v>0</v>
      </c>
      <c r="Q699" s="105">
        <v>0</v>
      </c>
      <c r="R699" s="105"/>
      <c r="S699" s="105"/>
      <c r="T699" s="105">
        <v>108672088.16153848</v>
      </c>
      <c r="U699" s="111"/>
      <c r="V699" s="111"/>
      <c r="W699" s="111"/>
      <c r="X699" s="111"/>
      <c r="Y699" s="111"/>
    </row>
    <row r="700" spans="1:27" x14ac:dyDescent="0.25">
      <c r="A700" s="104">
        <v>12</v>
      </c>
      <c r="B700" s="196" t="s">
        <v>1931</v>
      </c>
      <c r="C700" s="194" t="s">
        <v>1351</v>
      </c>
      <c r="D700" s="105">
        <v>78879628.828461438</v>
      </c>
      <c r="E700" s="13"/>
      <c r="F700" s="105">
        <v>78832320.828461438</v>
      </c>
      <c r="G700" s="105"/>
      <c r="H700" s="105">
        <v>0</v>
      </c>
      <c r="I700" s="105">
        <v>47308</v>
      </c>
      <c r="J700" s="105"/>
      <c r="K700" s="105"/>
      <c r="L700" s="105">
        <v>0</v>
      </c>
      <c r="M700" s="105"/>
      <c r="N700" s="105">
        <v>47308</v>
      </c>
      <c r="O700" s="105">
        <v>20456</v>
      </c>
      <c r="P700" s="105">
        <v>26852</v>
      </c>
      <c r="Q700" s="105">
        <v>0</v>
      </c>
      <c r="R700" s="105"/>
      <c r="S700" s="105"/>
      <c r="T700" s="105">
        <v>78879628.828461438</v>
      </c>
      <c r="U700" s="111"/>
      <c r="V700" s="111"/>
      <c r="W700" s="111"/>
      <c r="X700" s="111"/>
      <c r="Y700" s="111"/>
    </row>
    <row r="701" spans="1:27" x14ac:dyDescent="0.25">
      <c r="A701" s="104">
        <v>13</v>
      </c>
      <c r="B701" s="196" t="s">
        <v>1932</v>
      </c>
      <c r="C701" s="194" t="s">
        <v>1353</v>
      </c>
      <c r="D701" s="105">
        <v>148818.36999999903</v>
      </c>
      <c r="E701" s="13"/>
      <c r="F701" s="105">
        <v>148818.36999999903</v>
      </c>
      <c r="G701" s="105"/>
      <c r="H701" s="105">
        <v>0</v>
      </c>
      <c r="I701" s="105">
        <v>0</v>
      </c>
      <c r="J701" s="105"/>
      <c r="K701" s="105"/>
      <c r="L701" s="105">
        <v>0</v>
      </c>
      <c r="M701" s="105"/>
      <c r="N701" s="105">
        <v>0</v>
      </c>
      <c r="O701" s="105">
        <v>0</v>
      </c>
      <c r="P701" s="105">
        <v>0</v>
      </c>
      <c r="Q701" s="105">
        <v>0</v>
      </c>
      <c r="R701" s="105"/>
      <c r="S701" s="105"/>
      <c r="T701" s="105">
        <v>148818.36999999903</v>
      </c>
      <c r="U701" s="111"/>
      <c r="V701" s="111"/>
      <c r="W701" s="111"/>
      <c r="X701" s="111"/>
      <c r="Y701" s="111"/>
    </row>
    <row r="702" spans="1:27" x14ac:dyDescent="0.25">
      <c r="A702" s="104">
        <v>14</v>
      </c>
      <c r="B702" s="196" t="s">
        <v>1933</v>
      </c>
      <c r="C702" s="194" t="s">
        <v>1355</v>
      </c>
      <c r="D702" s="105">
        <v>127240903.38000001</v>
      </c>
      <c r="E702" s="13"/>
      <c r="F702" s="105">
        <v>127240903.38000001</v>
      </c>
      <c r="G702" s="105"/>
      <c r="H702" s="105">
        <v>0</v>
      </c>
      <c r="I702" s="105">
        <v>0</v>
      </c>
      <c r="J702" s="105"/>
      <c r="K702" s="105"/>
      <c r="L702" s="105">
        <v>0</v>
      </c>
      <c r="M702" s="105"/>
      <c r="N702" s="105">
        <v>0</v>
      </c>
      <c r="O702" s="105">
        <v>0</v>
      </c>
      <c r="P702" s="105">
        <v>0</v>
      </c>
      <c r="Q702" s="105">
        <v>0</v>
      </c>
      <c r="R702" s="105"/>
      <c r="S702" s="105"/>
      <c r="T702" s="105">
        <v>127240903.38000001</v>
      </c>
      <c r="U702" s="111"/>
      <c r="V702" s="111"/>
      <c r="W702" s="111"/>
      <c r="X702" s="111"/>
      <c r="Y702" s="111"/>
    </row>
    <row r="703" spans="1:27" x14ac:dyDescent="0.25">
      <c r="A703" s="104">
        <v>15</v>
      </c>
      <c r="B703" s="196" t="s">
        <v>1749</v>
      </c>
      <c r="C703" s="194" t="s">
        <v>1750</v>
      </c>
      <c r="D703" s="105">
        <v>658287.18999999994</v>
      </c>
      <c r="E703" s="13"/>
      <c r="F703" s="105">
        <v>658287.18999999994</v>
      </c>
      <c r="G703" s="105"/>
      <c r="H703" s="105">
        <v>0</v>
      </c>
      <c r="I703" s="105">
        <v>0</v>
      </c>
      <c r="J703" s="105"/>
      <c r="K703" s="105"/>
      <c r="L703" s="105">
        <v>0</v>
      </c>
      <c r="M703" s="105"/>
      <c r="N703" s="105">
        <v>0</v>
      </c>
      <c r="O703" s="105">
        <v>0</v>
      </c>
      <c r="P703" s="105">
        <v>0</v>
      </c>
      <c r="Q703" s="105">
        <v>0</v>
      </c>
      <c r="R703" s="105"/>
      <c r="S703" s="105"/>
      <c r="T703" s="105">
        <v>658287.18999999994</v>
      </c>
      <c r="U703" s="111"/>
      <c r="V703" s="111"/>
      <c r="W703" s="111"/>
      <c r="X703" s="111"/>
      <c r="Y703" s="111"/>
    </row>
    <row r="704" spans="1:27" x14ac:dyDescent="0.25">
      <c r="A704" s="104">
        <v>16</v>
      </c>
      <c r="B704" s="193" t="s">
        <v>3</v>
      </c>
      <c r="C704" s="103"/>
      <c r="D704" s="105">
        <v>1934220203.6338449</v>
      </c>
      <c r="E704" s="13"/>
      <c r="F704" s="105">
        <v>1930555243.6338449</v>
      </c>
      <c r="G704" s="105"/>
      <c r="H704" s="105">
        <v>0</v>
      </c>
      <c r="I704" s="105">
        <v>3664960</v>
      </c>
      <c r="J704" s="105"/>
      <c r="K704" s="105"/>
      <c r="L704" s="105">
        <v>0</v>
      </c>
      <c r="M704" s="105"/>
      <c r="N704" s="105">
        <v>3664960</v>
      </c>
      <c r="O704" s="105">
        <v>3638108</v>
      </c>
      <c r="P704" s="105">
        <v>26852</v>
      </c>
      <c r="Q704" s="105">
        <v>0</v>
      </c>
      <c r="R704" s="105"/>
      <c r="S704" s="105"/>
      <c r="T704" s="105"/>
      <c r="U704" s="116" t="s">
        <v>2184</v>
      </c>
      <c r="V704" s="111">
        <v>1934220203.6338451</v>
      </c>
      <c r="W704" s="111">
        <v>0</v>
      </c>
    </row>
    <row r="705" spans="1:27" x14ac:dyDescent="0.25">
      <c r="A705" s="13"/>
      <c r="B705" s="103"/>
      <c r="C705" s="103"/>
      <c r="D705" s="13"/>
      <c r="E705" s="13"/>
      <c r="F705" s="105"/>
      <c r="G705" s="105"/>
      <c r="H705" s="105"/>
      <c r="I705" s="105"/>
      <c r="J705" s="105"/>
      <c r="K705" s="105"/>
      <c r="L705" s="105"/>
      <c r="M705" s="105"/>
      <c r="N705" s="105"/>
      <c r="O705" s="105"/>
      <c r="P705" s="105"/>
      <c r="Q705" s="105"/>
      <c r="R705" s="105"/>
      <c r="S705" s="105"/>
      <c r="T705" s="105"/>
      <c r="V705" s="111"/>
      <c r="W705" s="111"/>
    </row>
    <row r="706" spans="1:27" x14ac:dyDescent="0.25">
      <c r="A706" s="13"/>
      <c r="B706" s="193" t="s">
        <v>4</v>
      </c>
      <c r="C706" s="103"/>
      <c r="D706" s="13"/>
      <c r="E706" s="13"/>
      <c r="F706" s="105"/>
      <c r="G706" s="105"/>
      <c r="H706" s="105"/>
      <c r="I706" s="105"/>
      <c r="J706" s="105"/>
      <c r="K706" s="105"/>
      <c r="L706" s="105"/>
      <c r="M706" s="105"/>
      <c r="N706" s="105"/>
      <c r="O706" s="105"/>
      <c r="P706" s="105"/>
      <c r="Q706" s="105"/>
      <c r="R706" s="105"/>
      <c r="S706" s="105"/>
      <c r="T706" s="105"/>
      <c r="V706" s="111"/>
      <c r="W706" s="111"/>
    </row>
    <row r="707" spans="1:27" x14ac:dyDescent="0.25">
      <c r="A707" s="104">
        <v>17</v>
      </c>
      <c r="B707" s="196" t="s">
        <v>1921</v>
      </c>
      <c r="C707" s="197" t="s">
        <v>1786</v>
      </c>
      <c r="D707" s="105">
        <v>318250.43999999989</v>
      </c>
      <c r="E707" s="13"/>
      <c r="F707" s="105">
        <v>0</v>
      </c>
      <c r="G707" s="105"/>
      <c r="H707" s="105">
        <v>318250.43999999989</v>
      </c>
      <c r="I707" s="105">
        <v>0</v>
      </c>
      <c r="J707" s="105"/>
      <c r="K707" s="105"/>
      <c r="L707" s="105">
        <v>0</v>
      </c>
      <c r="M707" s="105"/>
      <c r="N707" s="105">
        <v>0</v>
      </c>
      <c r="O707" s="105">
        <v>0</v>
      </c>
      <c r="P707" s="105">
        <v>0</v>
      </c>
      <c r="Q707" s="105">
        <v>0</v>
      </c>
      <c r="R707" s="105"/>
      <c r="S707" s="105"/>
      <c r="T707" s="105">
        <v>318250.43999999989</v>
      </c>
      <c r="U707" s="111"/>
      <c r="V707" s="111"/>
      <c r="W707" s="111"/>
      <c r="X707" s="111"/>
      <c r="Y707" s="111"/>
    </row>
    <row r="708" spans="1:27" x14ac:dyDescent="0.25">
      <c r="A708" s="104">
        <v>18</v>
      </c>
      <c r="B708" s="196" t="s">
        <v>1922</v>
      </c>
      <c r="C708" s="197" t="s">
        <v>1788</v>
      </c>
      <c r="D708" s="105">
        <v>774879.02999999991</v>
      </c>
      <c r="E708" s="13"/>
      <c r="F708" s="105">
        <v>0</v>
      </c>
      <c r="G708" s="105"/>
      <c r="H708" s="105">
        <v>774879.02999999991</v>
      </c>
      <c r="I708" s="105">
        <v>0</v>
      </c>
      <c r="J708" s="105"/>
      <c r="K708" s="105"/>
      <c r="L708" s="105">
        <v>0</v>
      </c>
      <c r="M708" s="105"/>
      <c r="N708" s="105">
        <v>0</v>
      </c>
      <c r="O708" s="105">
        <v>0</v>
      </c>
      <c r="P708" s="105">
        <v>0</v>
      </c>
      <c r="Q708" s="105">
        <v>0</v>
      </c>
      <c r="R708" s="105"/>
      <c r="S708" s="105"/>
      <c r="T708" s="105">
        <v>774879.02999999991</v>
      </c>
      <c r="U708" s="111"/>
      <c r="V708" s="111"/>
      <c r="W708" s="111"/>
      <c r="X708" s="111"/>
      <c r="Y708" s="111"/>
    </row>
    <row r="709" spans="1:27" x14ac:dyDescent="0.25">
      <c r="A709" s="104">
        <v>19</v>
      </c>
      <c r="B709" s="196" t="s">
        <v>1923</v>
      </c>
      <c r="C709" s="197" t="s">
        <v>1790</v>
      </c>
      <c r="D709" s="105">
        <v>8513231.9299999978</v>
      </c>
      <c r="E709" s="13"/>
      <c r="F709" s="105">
        <v>0</v>
      </c>
      <c r="G709" s="105"/>
      <c r="H709" s="105">
        <v>8513231.9299999978</v>
      </c>
      <c r="I709" s="105">
        <v>0</v>
      </c>
      <c r="J709" s="105"/>
      <c r="K709" s="105"/>
      <c r="L709" s="105">
        <v>0</v>
      </c>
      <c r="M709" s="105"/>
      <c r="N709" s="105">
        <v>0</v>
      </c>
      <c r="O709" s="105">
        <v>0</v>
      </c>
      <c r="P709" s="105">
        <v>0</v>
      </c>
      <c r="Q709" s="105">
        <v>0</v>
      </c>
      <c r="R709" s="105"/>
      <c r="S709" s="105"/>
      <c r="T709" s="105">
        <v>8513231.9299999978</v>
      </c>
      <c r="U709" s="111"/>
      <c r="V709" s="111"/>
      <c r="W709" s="111"/>
      <c r="X709" s="111"/>
      <c r="Y709" s="111"/>
    </row>
    <row r="710" spans="1:27" x14ac:dyDescent="0.25">
      <c r="A710" s="104">
        <v>20</v>
      </c>
      <c r="B710" s="196" t="s">
        <v>1924</v>
      </c>
      <c r="C710" s="197" t="s">
        <v>1792</v>
      </c>
      <c r="D710" s="105">
        <v>30732362.571538366</v>
      </c>
      <c r="E710" s="13"/>
      <c r="F710" s="105">
        <v>0</v>
      </c>
      <c r="G710" s="105"/>
      <c r="H710" s="105">
        <v>30732362.571538366</v>
      </c>
      <c r="I710" s="105">
        <v>0</v>
      </c>
      <c r="J710" s="105"/>
      <c r="K710" s="105"/>
      <c r="L710" s="105">
        <v>0</v>
      </c>
      <c r="M710" s="105"/>
      <c r="N710" s="105">
        <v>0</v>
      </c>
      <c r="O710" s="105">
        <v>0</v>
      </c>
      <c r="P710" s="105">
        <v>0</v>
      </c>
      <c r="Q710" s="105">
        <v>0</v>
      </c>
      <c r="R710" s="105"/>
      <c r="S710" s="105"/>
      <c r="T710" s="105">
        <v>30732362.571538366</v>
      </c>
      <c r="U710" s="111"/>
      <c r="V710" s="111"/>
      <c r="W710" s="111"/>
      <c r="X710" s="111"/>
      <c r="Y710" s="111"/>
    </row>
    <row r="711" spans="1:27" x14ac:dyDescent="0.25">
      <c r="A711" s="104">
        <v>21</v>
      </c>
      <c r="B711" s="196" t="s">
        <v>1925</v>
      </c>
      <c r="C711" s="197" t="s">
        <v>1794</v>
      </c>
      <c r="D711" s="105">
        <v>29359960.575384516</v>
      </c>
      <c r="E711" s="13"/>
      <c r="F711" s="105">
        <v>0</v>
      </c>
      <c r="G711" s="105"/>
      <c r="H711" s="105">
        <v>29359960.575384516</v>
      </c>
      <c r="I711" s="105">
        <v>0</v>
      </c>
      <c r="J711" s="105"/>
      <c r="K711" s="105"/>
      <c r="L711" s="105">
        <v>0</v>
      </c>
      <c r="M711" s="105"/>
      <c r="N711" s="105">
        <v>0</v>
      </c>
      <c r="O711" s="105">
        <v>0</v>
      </c>
      <c r="P711" s="105">
        <v>0</v>
      </c>
      <c r="Q711" s="105">
        <v>0</v>
      </c>
      <c r="R711" s="105"/>
      <c r="S711" s="105"/>
      <c r="T711" s="105">
        <v>29359960.575384516</v>
      </c>
      <c r="U711" s="111"/>
      <c r="V711" s="111"/>
      <c r="W711" s="111"/>
      <c r="X711" s="111"/>
      <c r="Y711" s="111"/>
    </row>
    <row r="712" spans="1:27" x14ac:dyDescent="0.25">
      <c r="A712" s="104">
        <v>22</v>
      </c>
      <c r="B712" s="196" t="s">
        <v>1927</v>
      </c>
      <c r="C712" s="197" t="s">
        <v>1796</v>
      </c>
      <c r="D712" s="105">
        <v>5148669.6176923076</v>
      </c>
      <c r="E712" s="13"/>
      <c r="F712" s="105">
        <v>0</v>
      </c>
      <c r="G712" s="105"/>
      <c r="H712" s="105">
        <v>5148669.6176923076</v>
      </c>
      <c r="I712" s="105">
        <v>0</v>
      </c>
      <c r="J712" s="105"/>
      <c r="K712" s="105"/>
      <c r="L712" s="105">
        <v>0</v>
      </c>
      <c r="M712" s="105"/>
      <c r="N712" s="105">
        <v>0</v>
      </c>
      <c r="O712" s="105">
        <v>0</v>
      </c>
      <c r="P712" s="105">
        <v>0</v>
      </c>
      <c r="Q712" s="105">
        <v>0</v>
      </c>
      <c r="R712" s="105"/>
      <c r="S712" s="105"/>
      <c r="T712" s="105">
        <v>5148669.6176923076</v>
      </c>
      <c r="U712" s="111"/>
      <c r="V712" s="111"/>
      <c r="W712" s="111"/>
      <c r="X712" s="111"/>
      <c r="Y712" s="111"/>
    </row>
    <row r="713" spans="1:27" x14ac:dyDescent="0.25">
      <c r="A713" s="13"/>
      <c r="B713" s="196" t="s">
        <v>1928</v>
      </c>
      <c r="C713" s="103"/>
      <c r="D713" s="13"/>
      <c r="E713" s="13"/>
      <c r="F713" s="105"/>
      <c r="G713" s="105"/>
      <c r="H713" s="105"/>
      <c r="I713" s="105"/>
      <c r="J713" s="105"/>
      <c r="K713" s="105"/>
      <c r="L713" s="105"/>
      <c r="M713" s="105"/>
      <c r="N713" s="105"/>
      <c r="O713" s="105"/>
      <c r="P713" s="105"/>
      <c r="Q713" s="105"/>
      <c r="R713" s="105"/>
      <c r="S713" s="105"/>
      <c r="T713" s="105"/>
      <c r="V713" s="111"/>
      <c r="W713" s="111"/>
    </row>
    <row r="714" spans="1:27" x14ac:dyDescent="0.25">
      <c r="A714" s="104">
        <v>23</v>
      </c>
      <c r="B714" s="193" t="s">
        <v>1</v>
      </c>
      <c r="C714" s="194" t="s">
        <v>1330</v>
      </c>
      <c r="D714" s="105">
        <v>128027.56</v>
      </c>
      <c r="E714" s="13"/>
      <c r="F714" s="105">
        <v>0</v>
      </c>
      <c r="G714" s="105"/>
      <c r="H714" s="105">
        <v>128027.56</v>
      </c>
      <c r="I714" s="105">
        <v>0</v>
      </c>
      <c r="J714" s="105"/>
      <c r="K714" s="105"/>
      <c r="L714" s="105">
        <v>0</v>
      </c>
      <c r="M714" s="105"/>
      <c r="N714" s="105">
        <v>0</v>
      </c>
      <c r="O714" s="105">
        <v>0</v>
      </c>
      <c r="P714" s="105">
        <v>0</v>
      </c>
      <c r="Q714" s="105">
        <v>0</v>
      </c>
      <c r="R714" s="105"/>
      <c r="S714" s="105"/>
      <c r="T714" s="105">
        <v>128027.56</v>
      </c>
      <c r="U714" s="111"/>
      <c r="V714" s="111"/>
      <c r="W714" s="108" t="s">
        <v>2103</v>
      </c>
      <c r="X714" s="111"/>
      <c r="Y714" s="111"/>
      <c r="AA714" s="111">
        <v>128027.56</v>
      </c>
    </row>
    <row r="715" spans="1:27" x14ac:dyDescent="0.25">
      <c r="A715" s="104">
        <v>24</v>
      </c>
      <c r="B715" s="193" t="s">
        <v>2</v>
      </c>
      <c r="C715" s="194" t="s">
        <v>1330</v>
      </c>
      <c r="D715" s="105">
        <v>11051086.719230767</v>
      </c>
      <c r="E715" s="13"/>
      <c r="F715" s="105">
        <v>0</v>
      </c>
      <c r="G715" s="105"/>
      <c r="H715" s="105">
        <v>11051086.719230767</v>
      </c>
      <c r="I715" s="105">
        <v>0</v>
      </c>
      <c r="J715" s="105"/>
      <c r="K715" s="105"/>
      <c r="L715" s="105">
        <v>0</v>
      </c>
      <c r="M715" s="105"/>
      <c r="N715" s="105">
        <v>0</v>
      </c>
      <c r="O715" s="105">
        <v>0</v>
      </c>
      <c r="P715" s="105">
        <v>0</v>
      </c>
      <c r="Q715" s="105">
        <v>0</v>
      </c>
      <c r="R715" s="105"/>
      <c r="S715" s="105"/>
      <c r="T715" s="105">
        <v>11051086.719230767</v>
      </c>
      <c r="U715" s="111"/>
      <c r="V715" s="111"/>
      <c r="W715" s="111"/>
      <c r="X715" s="111"/>
      <c r="Y715" s="111"/>
    </row>
    <row r="716" spans="1:27" x14ac:dyDescent="0.25">
      <c r="A716" s="104">
        <v>25</v>
      </c>
      <c r="B716" s="196" t="s">
        <v>1929</v>
      </c>
      <c r="C716" s="103"/>
      <c r="D716" s="105">
        <v>11179114.279230768</v>
      </c>
      <c r="E716" s="13"/>
      <c r="F716" s="105">
        <v>0</v>
      </c>
      <c r="G716" s="105"/>
      <c r="H716" s="105">
        <v>11179114.279230768</v>
      </c>
      <c r="I716" s="105">
        <v>0</v>
      </c>
      <c r="J716" s="105"/>
      <c r="K716" s="105"/>
      <c r="L716" s="105">
        <v>0</v>
      </c>
      <c r="M716" s="105"/>
      <c r="N716" s="105">
        <v>0</v>
      </c>
      <c r="O716" s="105">
        <v>0</v>
      </c>
      <c r="P716" s="105">
        <v>0</v>
      </c>
      <c r="Q716" s="105">
        <v>0</v>
      </c>
      <c r="R716" s="105"/>
      <c r="S716" s="105"/>
      <c r="T716" s="105">
        <v>11179114.279230768</v>
      </c>
      <c r="U716" s="116" t="s">
        <v>537</v>
      </c>
      <c r="V716" s="111"/>
      <c r="W716" s="111"/>
    </row>
    <row r="717" spans="1:27" x14ac:dyDescent="0.25">
      <c r="A717" s="104">
        <v>26</v>
      </c>
      <c r="B717" s="196" t="s">
        <v>1930</v>
      </c>
      <c r="C717" s="194" t="s">
        <v>1367</v>
      </c>
      <c r="D717" s="105">
        <v>5852947.5299999993</v>
      </c>
      <c r="E717" s="13"/>
      <c r="F717" s="105">
        <v>0</v>
      </c>
      <c r="G717" s="105"/>
      <c r="H717" s="105">
        <v>5852947.5299999993</v>
      </c>
      <c r="I717" s="105">
        <v>0</v>
      </c>
      <c r="J717" s="105"/>
      <c r="K717" s="105"/>
      <c r="L717" s="105">
        <v>0</v>
      </c>
      <c r="M717" s="105"/>
      <c r="N717" s="105">
        <v>0</v>
      </c>
      <c r="O717" s="105">
        <v>0</v>
      </c>
      <c r="P717" s="105">
        <v>0</v>
      </c>
      <c r="Q717" s="105">
        <v>0</v>
      </c>
      <c r="R717" s="105"/>
      <c r="S717" s="105"/>
      <c r="T717" s="105">
        <v>5852947.5299999993</v>
      </c>
      <c r="U717" s="111"/>
      <c r="V717" s="111"/>
      <c r="W717" s="111"/>
      <c r="X717" s="111"/>
      <c r="Y717" s="111"/>
    </row>
    <row r="718" spans="1:27" x14ac:dyDescent="0.25">
      <c r="A718" s="104">
        <v>27</v>
      </c>
      <c r="B718" s="196" t="s">
        <v>1931</v>
      </c>
      <c r="C718" s="194" t="s">
        <v>1369</v>
      </c>
      <c r="D718" s="105">
        <v>3783545.2</v>
      </c>
      <c r="E718" s="13"/>
      <c r="F718" s="105">
        <v>0</v>
      </c>
      <c r="G718" s="105"/>
      <c r="H718" s="105">
        <v>3783545.2</v>
      </c>
      <c r="I718" s="105">
        <v>0</v>
      </c>
      <c r="J718" s="105"/>
      <c r="K718" s="105"/>
      <c r="L718" s="105">
        <v>0</v>
      </c>
      <c r="M718" s="105"/>
      <c r="N718" s="105">
        <v>0</v>
      </c>
      <c r="O718" s="105">
        <v>0</v>
      </c>
      <c r="P718" s="105">
        <v>0</v>
      </c>
      <c r="Q718" s="105">
        <v>0</v>
      </c>
      <c r="R718" s="105"/>
      <c r="S718" s="105"/>
      <c r="T718" s="105">
        <v>3783545.2</v>
      </c>
      <c r="U718" s="111"/>
      <c r="V718" s="111"/>
      <c r="W718" s="111"/>
      <c r="X718" s="111"/>
      <c r="Y718" s="111"/>
    </row>
    <row r="719" spans="1:27" x14ac:dyDescent="0.25">
      <c r="A719" s="104">
        <v>28</v>
      </c>
      <c r="B719" s="196" t="s">
        <v>1932</v>
      </c>
      <c r="C719" s="194" t="s">
        <v>1371</v>
      </c>
      <c r="D719" s="105">
        <v>0</v>
      </c>
      <c r="E719" s="13"/>
      <c r="F719" s="105">
        <v>0</v>
      </c>
      <c r="G719" s="105"/>
      <c r="H719" s="105">
        <v>0</v>
      </c>
      <c r="I719" s="105">
        <v>0</v>
      </c>
      <c r="J719" s="105"/>
      <c r="K719" s="105"/>
      <c r="L719" s="105">
        <v>0</v>
      </c>
      <c r="M719" s="105"/>
      <c r="N719" s="105">
        <v>0</v>
      </c>
      <c r="O719" s="105">
        <v>0</v>
      </c>
      <c r="P719" s="105">
        <v>0</v>
      </c>
      <c r="Q719" s="105">
        <v>0</v>
      </c>
      <c r="R719" s="105"/>
      <c r="S719" s="105"/>
      <c r="T719" s="105">
        <v>0</v>
      </c>
      <c r="U719" s="111"/>
      <c r="V719" s="111"/>
      <c r="W719" s="111"/>
      <c r="X719" s="111"/>
      <c r="Y719" s="111"/>
    </row>
    <row r="720" spans="1:27" x14ac:dyDescent="0.25">
      <c r="A720" s="104">
        <v>29</v>
      </c>
      <c r="B720" s="196" t="s">
        <v>1933</v>
      </c>
      <c r="C720" s="194" t="s">
        <v>1373</v>
      </c>
      <c r="D720" s="105">
        <v>4004097.9446153841</v>
      </c>
      <c r="E720" s="13"/>
      <c r="F720" s="105">
        <v>0</v>
      </c>
      <c r="G720" s="105"/>
      <c r="H720" s="105">
        <v>4004097.9446153841</v>
      </c>
      <c r="I720" s="105">
        <v>0</v>
      </c>
      <c r="J720" s="105"/>
      <c r="K720" s="105"/>
      <c r="L720" s="105">
        <v>0</v>
      </c>
      <c r="M720" s="105"/>
      <c r="N720" s="105">
        <v>0</v>
      </c>
      <c r="O720" s="105">
        <v>0</v>
      </c>
      <c r="P720" s="105">
        <v>0</v>
      </c>
      <c r="Q720" s="105">
        <v>0</v>
      </c>
      <c r="R720" s="105"/>
      <c r="S720" s="105"/>
      <c r="T720" s="105">
        <v>4004097.9446153841</v>
      </c>
      <c r="U720" s="111"/>
      <c r="V720" s="111"/>
      <c r="W720" s="111"/>
      <c r="X720" s="111"/>
      <c r="Y720" s="111"/>
    </row>
    <row r="721" spans="1:25" x14ac:dyDescent="0.25">
      <c r="A721" s="104">
        <v>30</v>
      </c>
      <c r="B721" s="193" t="s">
        <v>5</v>
      </c>
      <c r="C721" s="103"/>
      <c r="D721" s="105">
        <v>99667059.118461341</v>
      </c>
      <c r="E721" s="13"/>
      <c r="F721" s="105">
        <v>0</v>
      </c>
      <c r="G721" s="105"/>
      <c r="H721" s="105">
        <v>99667059.118461341</v>
      </c>
      <c r="I721" s="105">
        <v>0</v>
      </c>
      <c r="J721" s="105"/>
      <c r="K721" s="105"/>
      <c r="L721" s="105">
        <v>0</v>
      </c>
      <c r="M721" s="105"/>
      <c r="N721" s="105">
        <v>0</v>
      </c>
      <c r="O721" s="105">
        <v>0</v>
      </c>
      <c r="P721" s="105">
        <v>0</v>
      </c>
      <c r="Q721" s="105">
        <v>0</v>
      </c>
      <c r="R721" s="105"/>
      <c r="S721" s="105"/>
      <c r="T721" s="105"/>
      <c r="U721" s="116" t="s">
        <v>537</v>
      </c>
      <c r="V721" s="111"/>
      <c r="W721" s="111"/>
    </row>
    <row r="722" spans="1:25" x14ac:dyDescent="0.25">
      <c r="A722" s="13"/>
      <c r="B722" s="13"/>
      <c r="C722" s="103"/>
      <c r="D722" s="13"/>
      <c r="E722" s="13"/>
      <c r="F722" s="105"/>
      <c r="G722" s="105"/>
      <c r="H722" s="105"/>
      <c r="I722" s="105"/>
      <c r="J722" s="105"/>
      <c r="K722" s="105"/>
      <c r="L722" s="105"/>
      <c r="M722" s="105"/>
      <c r="N722" s="105"/>
      <c r="O722" s="105"/>
      <c r="P722" s="105"/>
      <c r="Q722" s="105"/>
      <c r="R722" s="105"/>
      <c r="S722" s="105"/>
      <c r="T722" s="105"/>
      <c r="V722" s="111"/>
      <c r="W722" s="111"/>
    </row>
    <row r="723" spans="1:25" x14ac:dyDescent="0.25">
      <c r="A723" s="13"/>
      <c r="B723" s="196" t="s">
        <v>1934</v>
      </c>
      <c r="C723" s="103"/>
      <c r="D723" s="13"/>
      <c r="E723" s="13"/>
      <c r="F723" s="105"/>
      <c r="G723" s="105"/>
      <c r="H723" s="105"/>
      <c r="I723" s="105"/>
      <c r="J723" s="105"/>
      <c r="K723" s="105"/>
      <c r="L723" s="105"/>
      <c r="M723" s="105"/>
      <c r="N723" s="105"/>
      <c r="O723" s="105"/>
      <c r="P723" s="105"/>
      <c r="Q723" s="105"/>
      <c r="R723" s="105"/>
      <c r="S723" s="105"/>
      <c r="T723" s="105"/>
      <c r="V723" s="111"/>
      <c r="W723" s="111"/>
    </row>
    <row r="724" spans="1:25" x14ac:dyDescent="0.25">
      <c r="A724" s="104">
        <v>31</v>
      </c>
      <c r="B724" s="196" t="s">
        <v>1921</v>
      </c>
      <c r="C724" s="194" t="s">
        <v>1799</v>
      </c>
      <c r="D724" s="105">
        <v>495040.22999999992</v>
      </c>
      <c r="E724" s="13"/>
      <c r="F724" s="105">
        <v>0</v>
      </c>
      <c r="G724" s="105"/>
      <c r="H724" s="105">
        <v>0</v>
      </c>
      <c r="I724" s="105">
        <v>495040.22999999992</v>
      </c>
      <c r="J724" s="105"/>
      <c r="K724" s="105"/>
      <c r="L724" s="105">
        <v>495040.22999999992</v>
      </c>
      <c r="M724" s="105"/>
      <c r="N724" s="105">
        <v>0</v>
      </c>
      <c r="O724" s="105">
        <v>0</v>
      </c>
      <c r="P724" s="105">
        <v>0</v>
      </c>
      <c r="Q724" s="105">
        <v>0</v>
      </c>
      <c r="R724" s="105"/>
      <c r="S724" s="105"/>
      <c r="T724" s="105">
        <v>495040.22999999992</v>
      </c>
      <c r="U724" s="116" t="s">
        <v>537</v>
      </c>
      <c r="V724" s="111"/>
      <c r="W724" s="111"/>
      <c r="X724" s="111"/>
      <c r="Y724" s="111"/>
    </row>
    <row r="725" spans="1:25" x14ac:dyDescent="0.25">
      <c r="A725" s="104">
        <v>32</v>
      </c>
      <c r="B725" s="196" t="s">
        <v>1922</v>
      </c>
      <c r="C725" s="194" t="s">
        <v>1801</v>
      </c>
      <c r="D725" s="105">
        <v>2545.13</v>
      </c>
      <c r="E725" s="13"/>
      <c r="F725" s="105">
        <v>0</v>
      </c>
      <c r="G725" s="105"/>
      <c r="H725" s="105">
        <v>0</v>
      </c>
      <c r="I725" s="105">
        <v>2545.13</v>
      </c>
      <c r="J725" s="105"/>
      <c r="K725" s="105"/>
      <c r="L725" s="105">
        <v>2545.13</v>
      </c>
      <c r="M725" s="105"/>
      <c r="N725" s="105">
        <v>0</v>
      </c>
      <c r="O725" s="105">
        <v>0</v>
      </c>
      <c r="P725" s="105">
        <v>0</v>
      </c>
      <c r="Q725" s="105">
        <v>0</v>
      </c>
      <c r="R725" s="105"/>
      <c r="S725" s="105"/>
      <c r="T725" s="105">
        <v>2545.13</v>
      </c>
      <c r="U725" s="116" t="s">
        <v>537</v>
      </c>
      <c r="V725" s="111"/>
      <c r="W725" s="111"/>
      <c r="X725" s="111"/>
      <c r="Y725" s="111"/>
    </row>
    <row r="726" spans="1:25" x14ac:dyDescent="0.25">
      <c r="A726" s="104">
        <v>33</v>
      </c>
      <c r="B726" s="196" t="s">
        <v>1923</v>
      </c>
      <c r="C726" s="194" t="s">
        <v>1803</v>
      </c>
      <c r="D726" s="105">
        <v>66880.14999999998</v>
      </c>
      <c r="E726" s="13"/>
      <c r="F726" s="105">
        <v>0</v>
      </c>
      <c r="G726" s="105"/>
      <c r="H726" s="105">
        <v>0</v>
      </c>
      <c r="I726" s="105">
        <v>66880.14999999998</v>
      </c>
      <c r="J726" s="105"/>
      <c r="K726" s="105"/>
      <c r="L726" s="105">
        <v>66880.14999999998</v>
      </c>
      <c r="M726" s="105"/>
      <c r="N726" s="105">
        <v>0</v>
      </c>
      <c r="O726" s="105">
        <v>0</v>
      </c>
      <c r="P726" s="105">
        <v>0</v>
      </c>
      <c r="Q726" s="105">
        <v>0</v>
      </c>
      <c r="R726" s="105"/>
      <c r="S726" s="105"/>
      <c r="T726" s="105">
        <v>66880.14999999998</v>
      </c>
      <c r="U726" s="116" t="s">
        <v>537</v>
      </c>
      <c r="V726" s="111"/>
      <c r="W726" s="111"/>
      <c r="X726" s="111"/>
      <c r="Y726" s="111"/>
    </row>
    <row r="727" spans="1:25" x14ac:dyDescent="0.25">
      <c r="A727" s="104">
        <v>34</v>
      </c>
      <c r="B727" s="196" t="s">
        <v>1924</v>
      </c>
      <c r="C727" s="194" t="s">
        <v>1805</v>
      </c>
      <c r="D727" s="105">
        <v>47785.56</v>
      </c>
      <c r="E727" s="13"/>
      <c r="F727" s="105">
        <v>0</v>
      </c>
      <c r="G727" s="105"/>
      <c r="H727" s="105">
        <v>0</v>
      </c>
      <c r="I727" s="105">
        <v>47785.56</v>
      </c>
      <c r="J727" s="105"/>
      <c r="K727" s="105"/>
      <c r="L727" s="105">
        <v>47785.56</v>
      </c>
      <c r="M727" s="105"/>
      <c r="N727" s="105">
        <v>0</v>
      </c>
      <c r="O727" s="105">
        <v>0</v>
      </c>
      <c r="P727" s="105">
        <v>0</v>
      </c>
      <c r="Q727" s="105">
        <v>0</v>
      </c>
      <c r="R727" s="105"/>
      <c r="S727" s="105"/>
      <c r="T727" s="105">
        <v>47785.56</v>
      </c>
      <c r="U727" s="116" t="s">
        <v>537</v>
      </c>
      <c r="V727" s="111"/>
      <c r="W727" s="111"/>
      <c r="X727" s="111"/>
      <c r="Y727" s="111"/>
    </row>
    <row r="728" spans="1:25" x14ac:dyDescent="0.25">
      <c r="A728" s="104">
        <v>35</v>
      </c>
      <c r="B728" s="196" t="s">
        <v>1925</v>
      </c>
      <c r="C728" s="194" t="s">
        <v>1807</v>
      </c>
      <c r="D728" s="105">
        <v>46763.22</v>
      </c>
      <c r="E728" s="13"/>
      <c r="F728" s="105">
        <v>0</v>
      </c>
      <c r="G728" s="105"/>
      <c r="H728" s="105">
        <v>0</v>
      </c>
      <c r="I728" s="105">
        <v>46763.22</v>
      </c>
      <c r="J728" s="105"/>
      <c r="K728" s="105"/>
      <c r="L728" s="105">
        <v>46763.22</v>
      </c>
      <c r="M728" s="105"/>
      <c r="N728" s="105">
        <v>0</v>
      </c>
      <c r="O728" s="105">
        <v>0</v>
      </c>
      <c r="P728" s="105">
        <v>0</v>
      </c>
      <c r="Q728" s="105">
        <v>0</v>
      </c>
      <c r="R728" s="105"/>
      <c r="S728" s="105"/>
      <c r="T728" s="105">
        <v>46763.22</v>
      </c>
      <c r="U728" s="116" t="s">
        <v>537</v>
      </c>
      <c r="V728" s="111"/>
      <c r="W728" s="111"/>
      <c r="X728" s="111"/>
      <c r="Y728" s="111"/>
    </row>
    <row r="729" spans="1:25" x14ac:dyDescent="0.25">
      <c r="A729" s="104">
        <v>36</v>
      </c>
      <c r="B729" s="196" t="s">
        <v>1928</v>
      </c>
      <c r="C729" s="194" t="s">
        <v>1809</v>
      </c>
      <c r="D729" s="105">
        <v>3118.2799999999988</v>
      </c>
      <c r="E729" s="13"/>
      <c r="F729" s="105">
        <v>0</v>
      </c>
      <c r="G729" s="105"/>
      <c r="H729" s="105">
        <v>0</v>
      </c>
      <c r="I729" s="105">
        <v>3118.2799999999988</v>
      </c>
      <c r="J729" s="105"/>
      <c r="K729" s="105"/>
      <c r="L729" s="105">
        <v>3118.2799999999988</v>
      </c>
      <c r="M729" s="105"/>
      <c r="N729" s="105">
        <v>0</v>
      </c>
      <c r="O729" s="105">
        <v>0</v>
      </c>
      <c r="P729" s="105">
        <v>0</v>
      </c>
      <c r="Q729" s="105">
        <v>0</v>
      </c>
      <c r="R729" s="105"/>
      <c r="S729" s="105"/>
      <c r="T729" s="105">
        <v>3118.2799999999988</v>
      </c>
      <c r="U729" s="116" t="s">
        <v>537</v>
      </c>
      <c r="V729" s="111"/>
      <c r="W729" s="111"/>
      <c r="X729" s="111"/>
      <c r="Y729" s="111"/>
    </row>
    <row r="730" spans="1:25" x14ac:dyDescent="0.25">
      <c r="A730" s="104">
        <v>37</v>
      </c>
      <c r="B730" s="196" t="s">
        <v>1930</v>
      </c>
      <c r="C730" s="194" t="s">
        <v>1811</v>
      </c>
      <c r="D730" s="105">
        <v>254.62</v>
      </c>
      <c r="E730" s="13"/>
      <c r="F730" s="105">
        <v>0</v>
      </c>
      <c r="G730" s="105"/>
      <c r="H730" s="105">
        <v>0</v>
      </c>
      <c r="I730" s="105">
        <v>254.62</v>
      </c>
      <c r="J730" s="105"/>
      <c r="K730" s="105"/>
      <c r="L730" s="105">
        <v>254.62</v>
      </c>
      <c r="M730" s="105"/>
      <c r="N730" s="105">
        <v>0</v>
      </c>
      <c r="O730" s="105">
        <v>0</v>
      </c>
      <c r="P730" s="105">
        <v>0</v>
      </c>
      <c r="Q730" s="105">
        <v>0</v>
      </c>
      <c r="R730" s="105"/>
      <c r="S730" s="105"/>
      <c r="T730" s="105">
        <v>254.62</v>
      </c>
      <c r="U730" s="116" t="s">
        <v>537</v>
      </c>
      <c r="V730" s="111"/>
      <c r="W730" s="111"/>
      <c r="X730" s="111"/>
      <c r="Y730" s="111"/>
    </row>
    <row r="731" spans="1:25" x14ac:dyDescent="0.25">
      <c r="A731" s="104">
        <v>38</v>
      </c>
      <c r="B731" s="196" t="s">
        <v>1931</v>
      </c>
      <c r="C731" s="194" t="s">
        <v>1813</v>
      </c>
      <c r="D731" s="105">
        <v>4199.21</v>
      </c>
      <c r="E731" s="13"/>
      <c r="F731" s="105">
        <v>0</v>
      </c>
      <c r="G731" s="105"/>
      <c r="H731" s="105">
        <v>0</v>
      </c>
      <c r="I731" s="105">
        <v>4199.21</v>
      </c>
      <c r="J731" s="105"/>
      <c r="K731" s="105"/>
      <c r="L731" s="105">
        <v>4199.21</v>
      </c>
      <c r="M731" s="105"/>
      <c r="N731" s="105">
        <v>0</v>
      </c>
      <c r="O731" s="105">
        <v>0</v>
      </c>
      <c r="P731" s="105">
        <v>0</v>
      </c>
      <c r="Q731" s="105">
        <v>0</v>
      </c>
      <c r="R731" s="105"/>
      <c r="S731" s="105"/>
      <c r="T731" s="105">
        <v>4199.21</v>
      </c>
      <c r="U731" s="116" t="s">
        <v>537</v>
      </c>
      <c r="V731" s="111"/>
      <c r="W731" s="111"/>
      <c r="X731" s="111"/>
      <c r="Y731" s="111"/>
    </row>
    <row r="732" spans="1:25" x14ac:dyDescent="0.25">
      <c r="A732" s="104">
        <v>39</v>
      </c>
      <c r="B732" s="196" t="s">
        <v>1932</v>
      </c>
      <c r="C732" s="194" t="s">
        <v>1815</v>
      </c>
      <c r="D732" s="105">
        <v>0</v>
      </c>
      <c r="E732" s="13"/>
      <c r="F732" s="105">
        <v>0</v>
      </c>
      <c r="G732" s="105"/>
      <c r="H732" s="105">
        <v>0</v>
      </c>
      <c r="I732" s="105">
        <v>0</v>
      </c>
      <c r="J732" s="105"/>
      <c r="K732" s="105"/>
      <c r="L732" s="105">
        <v>0</v>
      </c>
      <c r="M732" s="105"/>
      <c r="N732" s="105">
        <v>0</v>
      </c>
      <c r="O732" s="105">
        <v>0</v>
      </c>
      <c r="P732" s="105">
        <v>0</v>
      </c>
      <c r="Q732" s="105">
        <v>0</v>
      </c>
      <c r="R732" s="105"/>
      <c r="S732" s="105"/>
      <c r="T732" s="105">
        <v>0</v>
      </c>
      <c r="U732" s="116" t="s">
        <v>537</v>
      </c>
      <c r="V732" s="111"/>
      <c r="W732" s="111"/>
      <c r="X732" s="111"/>
      <c r="Y732" s="111"/>
    </row>
    <row r="733" spans="1:25" x14ac:dyDescent="0.25">
      <c r="A733" s="104">
        <v>40</v>
      </c>
      <c r="B733" s="196" t="s">
        <v>1935</v>
      </c>
      <c r="C733" s="103"/>
      <c r="D733" s="105">
        <v>666586.39999999979</v>
      </c>
      <c r="E733" s="13"/>
      <c r="F733" s="105">
        <v>0</v>
      </c>
      <c r="G733" s="105"/>
      <c r="H733" s="105">
        <v>0</v>
      </c>
      <c r="I733" s="105">
        <v>666586.39999999979</v>
      </c>
      <c r="J733" s="105"/>
      <c r="K733" s="105"/>
      <c r="L733" s="105">
        <v>666586.39999999979</v>
      </c>
      <c r="M733" s="105"/>
      <c r="N733" s="105">
        <v>0</v>
      </c>
      <c r="O733" s="105">
        <v>0</v>
      </c>
      <c r="P733" s="105">
        <v>0</v>
      </c>
      <c r="Q733" s="105">
        <v>0</v>
      </c>
      <c r="R733" s="105"/>
      <c r="S733" s="105"/>
      <c r="T733" s="105"/>
      <c r="U733" s="116" t="s">
        <v>537</v>
      </c>
      <c r="V733" s="111"/>
      <c r="W733" s="111"/>
    </row>
    <row r="734" spans="1:25" x14ac:dyDescent="0.25">
      <c r="A734" s="104"/>
      <c r="B734" s="193"/>
      <c r="C734" s="194"/>
      <c r="D734" s="105"/>
      <c r="E734" s="13"/>
      <c r="F734" s="105"/>
      <c r="G734" s="105"/>
      <c r="H734" s="105"/>
      <c r="I734" s="105"/>
      <c r="J734" s="105"/>
      <c r="K734" s="105"/>
      <c r="L734" s="105"/>
      <c r="M734" s="105"/>
      <c r="N734" s="105"/>
      <c r="O734" s="105"/>
      <c r="P734" s="105"/>
      <c r="Q734" s="105"/>
      <c r="R734" s="105"/>
      <c r="S734" s="105"/>
      <c r="T734" s="105"/>
      <c r="U734" s="116"/>
      <c r="V734" s="111"/>
      <c r="W734" s="111"/>
      <c r="X734" s="111"/>
      <c r="Y734" s="111"/>
    </row>
    <row r="735" spans="1:25" x14ac:dyDescent="0.25">
      <c r="A735" s="104">
        <v>41</v>
      </c>
      <c r="B735" s="193" t="s">
        <v>1407</v>
      </c>
      <c r="C735" s="103"/>
      <c r="D735" s="105">
        <v>2034553849.1523063</v>
      </c>
      <c r="E735" s="13"/>
      <c r="F735" s="105">
        <v>1930555243.6338449</v>
      </c>
      <c r="G735" s="105"/>
      <c r="H735" s="105">
        <v>99667059.118461341</v>
      </c>
      <c r="I735" s="105">
        <v>4331546.3999999994</v>
      </c>
      <c r="J735" s="105"/>
      <c r="K735" s="105"/>
      <c r="L735" s="105">
        <v>666586.39999999979</v>
      </c>
      <c r="M735" s="105"/>
      <c r="N735" s="105">
        <v>3664960</v>
      </c>
      <c r="O735" s="105">
        <v>3638108</v>
      </c>
      <c r="P735" s="105">
        <v>26852</v>
      </c>
      <c r="Q735" s="105">
        <v>0</v>
      </c>
      <c r="R735" s="105"/>
      <c r="S735" s="105"/>
      <c r="T735" s="105"/>
      <c r="U735" s="111"/>
      <c r="V735" s="111"/>
      <c r="W735" s="111"/>
    </row>
    <row r="736" spans="1:25" x14ac:dyDescent="0.25">
      <c r="A736" s="13"/>
      <c r="B736" s="13"/>
      <c r="C736" s="103"/>
      <c r="D736" s="13"/>
      <c r="E736" s="13"/>
      <c r="F736" s="105"/>
      <c r="G736" s="105"/>
      <c r="H736" s="105"/>
      <c r="I736" s="105"/>
      <c r="J736" s="105"/>
      <c r="K736" s="105"/>
      <c r="L736" s="105"/>
      <c r="M736" s="105"/>
      <c r="N736" s="105"/>
      <c r="O736" s="105"/>
      <c r="P736" s="105"/>
      <c r="Q736" s="105"/>
      <c r="R736" s="105"/>
      <c r="S736" s="105"/>
      <c r="T736" s="105"/>
      <c r="U736" s="111"/>
      <c r="V736" s="111"/>
      <c r="W736" s="111"/>
    </row>
    <row r="737" spans="1:23" x14ac:dyDescent="0.25">
      <c r="A737" s="13"/>
      <c r="B737" s="195" t="s">
        <v>1037</v>
      </c>
      <c r="C737" s="13"/>
      <c r="D737" s="13"/>
      <c r="E737" s="13"/>
      <c r="F737" s="105"/>
      <c r="G737" s="105"/>
      <c r="H737" s="105"/>
      <c r="I737" s="105"/>
      <c r="J737" s="105"/>
      <c r="K737" s="105"/>
      <c r="L737" s="105"/>
      <c r="M737" s="105"/>
      <c r="N737" s="105"/>
      <c r="O737" s="105"/>
      <c r="P737" s="105"/>
      <c r="Q737" s="105"/>
      <c r="R737" s="105"/>
      <c r="S737" s="105"/>
      <c r="T737" s="105"/>
    </row>
    <row r="738" spans="1:23" x14ac:dyDescent="0.25">
      <c r="A738" s="13"/>
      <c r="B738" s="13"/>
      <c r="C738" s="13"/>
      <c r="D738" s="13"/>
      <c r="E738" s="13"/>
      <c r="F738" s="105"/>
      <c r="G738" s="105"/>
      <c r="H738" s="105"/>
      <c r="I738" s="105"/>
      <c r="J738" s="105"/>
      <c r="K738" s="105"/>
      <c r="L738" s="105"/>
      <c r="M738" s="105"/>
      <c r="N738" s="105"/>
      <c r="O738" s="105"/>
      <c r="P738" s="105"/>
      <c r="Q738" s="105"/>
      <c r="R738" s="105"/>
      <c r="S738" s="105"/>
      <c r="T738" s="105"/>
    </row>
    <row r="739" spans="1:23" x14ac:dyDescent="0.25">
      <c r="A739" s="13"/>
      <c r="B739" s="196" t="s">
        <v>22</v>
      </c>
      <c r="C739" s="103"/>
      <c r="D739" s="13"/>
      <c r="E739" s="13"/>
      <c r="F739" s="105"/>
      <c r="G739" s="105"/>
      <c r="H739" s="105"/>
      <c r="I739" s="105"/>
      <c r="J739" s="105"/>
      <c r="K739" s="105"/>
      <c r="L739" s="105"/>
      <c r="M739" s="105"/>
      <c r="N739" s="105"/>
      <c r="O739" s="105"/>
      <c r="P739" s="105"/>
      <c r="Q739" s="105"/>
      <c r="R739" s="105"/>
      <c r="S739" s="105"/>
      <c r="T739" s="105"/>
      <c r="V739" s="111"/>
      <c r="W739" s="111"/>
    </row>
    <row r="740" spans="1:23" x14ac:dyDescent="0.25">
      <c r="A740" s="104">
        <v>1</v>
      </c>
      <c r="B740" s="196" t="s">
        <v>1936</v>
      </c>
      <c r="C740" s="194" t="s">
        <v>1392</v>
      </c>
      <c r="D740" s="105">
        <v>4425710.41153845</v>
      </c>
      <c r="E740" s="13"/>
      <c r="F740" s="105">
        <v>4163259.8308460773</v>
      </c>
      <c r="G740" s="105"/>
      <c r="H740" s="105">
        <v>209445.07433006237</v>
      </c>
      <c r="I740" s="105">
        <v>53005.506362310691</v>
      </c>
      <c r="J740" s="105"/>
      <c r="K740" s="105"/>
      <c r="L740" s="105">
        <v>305.81316983046025</v>
      </c>
      <c r="M740" s="105"/>
      <c r="N740" s="105">
        <v>52699.693192480234</v>
      </c>
      <c r="O740" s="105">
        <v>27468.863791597341</v>
      </c>
      <c r="P740" s="105">
        <v>25230.829400882889</v>
      </c>
      <c r="Q740" s="105">
        <v>2.3589717073902073E-13</v>
      </c>
      <c r="R740" s="105"/>
      <c r="S740" s="105"/>
      <c r="T740" s="105">
        <v>4425710.411538451</v>
      </c>
      <c r="U740" s="116" t="s">
        <v>537</v>
      </c>
      <c r="V740" s="116"/>
      <c r="W740" s="116"/>
    </row>
    <row r="741" spans="1:23" x14ac:dyDescent="0.25">
      <c r="A741" s="104">
        <v>2</v>
      </c>
      <c r="B741" s="196" t="s">
        <v>1937</v>
      </c>
      <c r="C741" s="194" t="s">
        <v>1392</v>
      </c>
      <c r="D741" s="105">
        <v>82988551.647692308</v>
      </c>
      <c r="E741" s="13"/>
      <c r="F741" s="105">
        <v>78067218.902112901</v>
      </c>
      <c r="G741" s="105"/>
      <c r="H741" s="105">
        <v>3927401.8749801167</v>
      </c>
      <c r="I741" s="105">
        <v>993930.87059927848</v>
      </c>
      <c r="J741" s="105"/>
      <c r="K741" s="105"/>
      <c r="L741" s="105">
        <v>5734.4447962191643</v>
      </c>
      <c r="M741" s="105"/>
      <c r="N741" s="105">
        <v>988196.42580305936</v>
      </c>
      <c r="O741" s="105">
        <v>515081.42410971114</v>
      </c>
      <c r="P741" s="105">
        <v>473115.00169334823</v>
      </c>
      <c r="Q741" s="105">
        <v>4.4234174216144655E-12</v>
      </c>
      <c r="R741" s="105"/>
      <c r="S741" s="105"/>
      <c r="T741" s="105">
        <v>82988551.647692308</v>
      </c>
      <c r="U741" s="116" t="s">
        <v>537</v>
      </c>
      <c r="V741" s="116"/>
      <c r="W741" s="116"/>
    </row>
    <row r="742" spans="1:23" x14ac:dyDescent="0.25">
      <c r="A742" s="104">
        <v>3</v>
      </c>
      <c r="B742" s="196" t="s">
        <v>1938</v>
      </c>
      <c r="C742" s="194" t="s">
        <v>1392</v>
      </c>
      <c r="D742" s="105">
        <v>43733664.389230743</v>
      </c>
      <c r="E742" s="13"/>
      <c r="F742" s="105">
        <v>41140199.262178056</v>
      </c>
      <c r="G742" s="105"/>
      <c r="H742" s="105">
        <v>2069679.1558814025</v>
      </c>
      <c r="I742" s="105">
        <v>523785.97117128409</v>
      </c>
      <c r="J742" s="105"/>
      <c r="K742" s="105"/>
      <c r="L742" s="105">
        <v>3021.9624176727443</v>
      </c>
      <c r="M742" s="105"/>
      <c r="N742" s="105">
        <v>520764.00875361136</v>
      </c>
      <c r="O742" s="105">
        <v>271439.82739657239</v>
      </c>
      <c r="P742" s="105">
        <v>249324.18135703893</v>
      </c>
      <c r="Q742" s="105">
        <v>2.3310715650469224E-12</v>
      </c>
      <c r="R742" s="105"/>
      <c r="S742" s="105"/>
      <c r="T742" s="105">
        <v>43733664.389230751</v>
      </c>
      <c r="U742" s="116" t="s">
        <v>2184</v>
      </c>
      <c r="V742" s="116"/>
      <c r="W742" s="116"/>
    </row>
    <row r="743" spans="1:23" x14ac:dyDescent="0.25">
      <c r="A743" s="104">
        <v>4</v>
      </c>
      <c r="B743" s="196" t="s">
        <v>1939</v>
      </c>
      <c r="C743" s="194" t="s">
        <v>1392</v>
      </c>
      <c r="D743" s="105">
        <v>7538271.7000000011</v>
      </c>
      <c r="E743" s="13"/>
      <c r="F743" s="105">
        <v>7091242.0480092494</v>
      </c>
      <c r="G743" s="105"/>
      <c r="H743" s="105">
        <v>356745.86218077247</v>
      </c>
      <c r="I743" s="105">
        <v>90283.789809979804</v>
      </c>
      <c r="J743" s="105"/>
      <c r="K743" s="105"/>
      <c r="L743" s="105">
        <v>520.88874988521695</v>
      </c>
      <c r="M743" s="105"/>
      <c r="N743" s="105">
        <v>89762.901060094591</v>
      </c>
      <c r="O743" s="105">
        <v>46787.462191719133</v>
      </c>
      <c r="P743" s="105">
        <v>42975.438868375459</v>
      </c>
      <c r="Q743" s="105">
        <v>4.0180147387318019E-13</v>
      </c>
      <c r="R743" s="105"/>
      <c r="S743" s="105"/>
      <c r="T743" s="105">
        <v>7538271.700000002</v>
      </c>
      <c r="U743" s="116" t="s">
        <v>537</v>
      </c>
      <c r="V743" s="116"/>
      <c r="W743" s="116"/>
    </row>
    <row r="744" spans="1:23" x14ac:dyDescent="0.25">
      <c r="A744" s="104">
        <v>5</v>
      </c>
      <c r="B744" s="196" t="s">
        <v>1940</v>
      </c>
      <c r="C744" s="194" t="s">
        <v>1392</v>
      </c>
      <c r="D744" s="105">
        <v>910091.12307692319</v>
      </c>
      <c r="E744" s="13"/>
      <c r="F744" s="105">
        <v>856121.49526038405</v>
      </c>
      <c r="G744" s="105"/>
      <c r="H744" s="105">
        <v>43069.718801080679</v>
      </c>
      <c r="I744" s="105">
        <v>10899.909015458461</v>
      </c>
      <c r="J744" s="105"/>
      <c r="K744" s="105"/>
      <c r="L744" s="105">
        <v>62.886593405909153</v>
      </c>
      <c r="M744" s="105"/>
      <c r="N744" s="105">
        <v>10837.022422052552</v>
      </c>
      <c r="O744" s="105">
        <v>5648.6228815526429</v>
      </c>
      <c r="P744" s="105">
        <v>5188.3995404999096</v>
      </c>
      <c r="Q744" s="105">
        <v>4.8509256387137851E-14</v>
      </c>
      <c r="R744" s="105"/>
      <c r="S744" s="105"/>
      <c r="T744" s="105">
        <v>910091.12307692331</v>
      </c>
      <c r="U744" s="116" t="s">
        <v>537</v>
      </c>
      <c r="V744" s="116"/>
      <c r="W744" s="116"/>
    </row>
    <row r="745" spans="1:23" x14ac:dyDescent="0.25">
      <c r="A745" s="104">
        <v>6</v>
      </c>
      <c r="B745" s="196" t="s">
        <v>1941</v>
      </c>
      <c r="C745" s="194" t="s">
        <v>1392</v>
      </c>
      <c r="D745" s="105">
        <v>17031591.320769224</v>
      </c>
      <c r="E745" s="13"/>
      <c r="F745" s="105">
        <v>16021595.045234054</v>
      </c>
      <c r="G745" s="105"/>
      <c r="H745" s="105">
        <v>806013.62909728743</v>
      </c>
      <c r="I745" s="105">
        <v>203982.64643788373</v>
      </c>
      <c r="J745" s="105"/>
      <c r="K745" s="105"/>
      <c r="L745" s="105">
        <v>1176.8698004917217</v>
      </c>
      <c r="M745" s="105"/>
      <c r="N745" s="105">
        <v>202805.776637392</v>
      </c>
      <c r="O745" s="105">
        <v>105709.23504724586</v>
      </c>
      <c r="P745" s="105">
        <v>97096.541590146153</v>
      </c>
      <c r="Q745" s="105">
        <v>9.078100083724413E-13</v>
      </c>
      <c r="R745" s="105"/>
      <c r="S745" s="105"/>
      <c r="T745" s="105">
        <v>17031591.320769228</v>
      </c>
      <c r="U745" s="116" t="s">
        <v>537</v>
      </c>
      <c r="V745" s="116"/>
      <c r="W745" s="116"/>
    </row>
    <row r="746" spans="1:23" x14ac:dyDescent="0.25">
      <c r="A746" s="104">
        <v>7</v>
      </c>
      <c r="B746" s="196" t="s">
        <v>1942</v>
      </c>
      <c r="C746" s="194" t="s">
        <v>1392</v>
      </c>
      <c r="D746" s="105">
        <v>0</v>
      </c>
      <c r="E746" s="13"/>
      <c r="F746" s="105">
        <v>0</v>
      </c>
      <c r="G746" s="105"/>
      <c r="H746" s="105">
        <v>0</v>
      </c>
      <c r="I746" s="105">
        <v>0</v>
      </c>
      <c r="J746" s="105"/>
      <c r="K746" s="105"/>
      <c r="L746" s="105">
        <v>0</v>
      </c>
      <c r="M746" s="105"/>
      <c r="N746" s="105">
        <v>0</v>
      </c>
      <c r="O746" s="105">
        <v>0</v>
      </c>
      <c r="P746" s="105">
        <v>0</v>
      </c>
      <c r="Q746" s="105">
        <v>0</v>
      </c>
      <c r="R746" s="105"/>
      <c r="S746" s="105"/>
      <c r="T746" s="105">
        <v>0</v>
      </c>
      <c r="U746" s="116" t="s">
        <v>537</v>
      </c>
      <c r="V746" s="116"/>
      <c r="W746" s="116"/>
    </row>
    <row r="747" spans="1:23" x14ac:dyDescent="0.25">
      <c r="A747" s="104">
        <v>8</v>
      </c>
      <c r="B747" s="196" t="s">
        <v>1943</v>
      </c>
      <c r="C747" s="194" t="s">
        <v>1392</v>
      </c>
      <c r="D747" s="105">
        <v>4137907.3999999994</v>
      </c>
      <c r="E747" s="13"/>
      <c r="F747" s="105">
        <v>3892523.9250329249</v>
      </c>
      <c r="G747" s="105"/>
      <c r="H747" s="105">
        <v>195824.90546701814</v>
      </c>
      <c r="I747" s="105">
        <v>49558.569500056612</v>
      </c>
      <c r="J747" s="105"/>
      <c r="K747" s="105"/>
      <c r="L747" s="105">
        <v>285.9262041094629</v>
      </c>
      <c r="M747" s="105"/>
      <c r="N747" s="105">
        <v>49272.643295947149</v>
      </c>
      <c r="O747" s="105">
        <v>25682.569391911777</v>
      </c>
      <c r="P747" s="105">
        <v>23590.073904035373</v>
      </c>
      <c r="Q747" s="105">
        <v>2.2055682764402594E-13</v>
      </c>
      <c r="R747" s="105"/>
      <c r="S747" s="105"/>
      <c r="T747" s="105">
        <v>4137907.4</v>
      </c>
      <c r="U747" s="116" t="s">
        <v>537</v>
      </c>
      <c r="V747" s="116"/>
      <c r="W747" s="116"/>
    </row>
    <row r="748" spans="1:23" x14ac:dyDescent="0.25">
      <c r="A748" s="13"/>
      <c r="B748" s="196" t="s">
        <v>1944</v>
      </c>
      <c r="C748" s="103"/>
      <c r="D748" s="13"/>
      <c r="E748" s="13"/>
      <c r="F748" s="105"/>
      <c r="G748" s="105"/>
      <c r="H748" s="105"/>
      <c r="I748" s="105"/>
      <c r="J748" s="105"/>
      <c r="K748" s="105"/>
      <c r="L748" s="105"/>
      <c r="M748" s="105"/>
      <c r="N748" s="105"/>
      <c r="O748" s="105"/>
      <c r="P748" s="105"/>
      <c r="Q748" s="105"/>
      <c r="R748" s="105"/>
      <c r="S748" s="105"/>
      <c r="T748" s="105"/>
      <c r="V748" s="111"/>
      <c r="W748" s="111"/>
    </row>
    <row r="749" spans="1:23" x14ac:dyDescent="0.25">
      <c r="A749" s="104">
        <v>9</v>
      </c>
      <c r="B749" s="196" t="s">
        <v>2030</v>
      </c>
      <c r="C749" s="194" t="s">
        <v>906</v>
      </c>
      <c r="D749" s="105">
        <v>7971453.149230768</v>
      </c>
      <c r="E749" s="13"/>
      <c r="F749" s="105">
        <v>7971453.149230768</v>
      </c>
      <c r="G749" s="105"/>
      <c r="H749" s="105">
        <v>0</v>
      </c>
      <c r="I749" s="105">
        <v>0</v>
      </c>
      <c r="J749" s="105"/>
      <c r="K749" s="105"/>
      <c r="L749" s="105">
        <v>0</v>
      </c>
      <c r="M749" s="105"/>
      <c r="N749" s="105">
        <v>0</v>
      </c>
      <c r="O749" s="105">
        <v>0</v>
      </c>
      <c r="P749" s="105">
        <v>0</v>
      </c>
      <c r="Q749" s="105">
        <v>0</v>
      </c>
      <c r="R749" s="105"/>
      <c r="S749" s="105"/>
      <c r="T749" s="105">
        <v>7971453.149230768</v>
      </c>
      <c r="U749" s="116" t="s">
        <v>537</v>
      </c>
      <c r="V749" s="116"/>
      <c r="W749" s="116"/>
    </row>
    <row r="750" spans="1:23" x14ac:dyDescent="0.25">
      <c r="A750" s="104">
        <v>10</v>
      </c>
      <c r="B750" s="196" t="s">
        <v>2</v>
      </c>
      <c r="C750" s="194" t="s">
        <v>1392</v>
      </c>
      <c r="D750" s="105">
        <v>59590018.735384494</v>
      </c>
      <c r="E750" s="13"/>
      <c r="F750" s="105">
        <v>56056250.46627298</v>
      </c>
      <c r="G750" s="105"/>
      <c r="H750" s="105">
        <v>2820075.1388575081</v>
      </c>
      <c r="I750" s="105">
        <v>713693.13025400916</v>
      </c>
      <c r="J750" s="105"/>
      <c r="K750" s="105"/>
      <c r="L750" s="105">
        <v>4117.6242512870795</v>
      </c>
      <c r="M750" s="105"/>
      <c r="N750" s="105">
        <v>709575.50600272208</v>
      </c>
      <c r="O750" s="105">
        <v>369854.77036939864</v>
      </c>
      <c r="P750" s="105">
        <v>339720.73563332349</v>
      </c>
      <c r="Q750" s="105">
        <v>3.1762396354071325E-12</v>
      </c>
      <c r="R750" s="105"/>
      <c r="S750" s="105"/>
      <c r="T750" s="105">
        <v>59590018.735384502</v>
      </c>
      <c r="U750" s="116" t="s">
        <v>537</v>
      </c>
      <c r="V750" s="116"/>
      <c r="W750" s="116"/>
    </row>
    <row r="751" spans="1:23" x14ac:dyDescent="0.25">
      <c r="A751" s="104">
        <v>11</v>
      </c>
      <c r="B751" s="196" t="s">
        <v>2031</v>
      </c>
      <c r="C751" s="103"/>
      <c r="D751" s="105">
        <v>67561471.884615272</v>
      </c>
      <c r="E751" s="13"/>
      <c r="F751" s="105">
        <v>64027703.615503751</v>
      </c>
      <c r="G751" s="105"/>
      <c r="H751" s="105">
        <v>2820075.1388575081</v>
      </c>
      <c r="I751" s="105">
        <v>713693.13025400916</v>
      </c>
      <c r="J751" s="105"/>
      <c r="K751" s="105"/>
      <c r="L751" s="105">
        <v>4117.6242512870795</v>
      </c>
      <c r="M751" s="105"/>
      <c r="N751" s="105">
        <v>709575.50600272208</v>
      </c>
      <c r="O751" s="105">
        <v>369854.77036939864</v>
      </c>
      <c r="P751" s="105">
        <v>339720.73563332349</v>
      </c>
      <c r="Q751" s="105">
        <v>3.1762396354071325E-12</v>
      </c>
      <c r="R751" s="105"/>
      <c r="S751" s="105"/>
      <c r="T751" s="105">
        <v>67561471.884615272</v>
      </c>
      <c r="U751" s="116" t="s">
        <v>537</v>
      </c>
      <c r="V751" s="111"/>
      <c r="W751" s="111"/>
    </row>
    <row r="752" spans="1:23" x14ac:dyDescent="0.25">
      <c r="A752" s="104">
        <v>12</v>
      </c>
      <c r="B752" s="196" t="s">
        <v>1945</v>
      </c>
      <c r="C752" s="194" t="s">
        <v>1392</v>
      </c>
      <c r="D752" s="105">
        <v>0</v>
      </c>
      <c r="E752" s="13"/>
      <c r="F752" s="105">
        <v>0</v>
      </c>
      <c r="G752" s="105"/>
      <c r="H752" s="105">
        <v>0</v>
      </c>
      <c r="I752" s="105">
        <v>0</v>
      </c>
      <c r="J752" s="105"/>
      <c r="K752" s="105"/>
      <c r="L752" s="105">
        <v>0</v>
      </c>
      <c r="M752" s="105"/>
      <c r="N752" s="105">
        <v>0</v>
      </c>
      <c r="O752" s="105">
        <v>0</v>
      </c>
      <c r="P752" s="105">
        <v>0</v>
      </c>
      <c r="Q752" s="105">
        <v>0</v>
      </c>
      <c r="R752" s="105"/>
      <c r="S752" s="105"/>
      <c r="T752" s="105">
        <v>0</v>
      </c>
      <c r="U752" s="116" t="s">
        <v>537</v>
      </c>
      <c r="V752" s="116"/>
      <c r="W752" s="116"/>
    </row>
    <row r="753" spans="1:25" x14ac:dyDescent="0.25">
      <c r="A753" s="104">
        <v>13</v>
      </c>
      <c r="B753" s="196" t="s">
        <v>1946</v>
      </c>
      <c r="C753" s="103"/>
      <c r="D753" s="105">
        <v>228327259.87692291</v>
      </c>
      <c r="E753" s="13"/>
      <c r="F753" s="105">
        <v>215259864.1241774</v>
      </c>
      <c r="G753" s="105"/>
      <c r="H753" s="105">
        <v>10428255.359595247</v>
      </c>
      <c r="I753" s="105">
        <v>2639140.3931502611</v>
      </c>
      <c r="J753" s="105"/>
      <c r="K753" s="105"/>
      <c r="L753" s="105">
        <v>15226.415982901759</v>
      </c>
      <c r="M753" s="105"/>
      <c r="N753" s="105">
        <v>2623913.9771673596</v>
      </c>
      <c r="O753" s="105">
        <v>1367672.7751797088</v>
      </c>
      <c r="P753" s="105">
        <v>1256241.2019876505</v>
      </c>
      <c r="Q753" s="105">
        <v>1.4921542994491459E-11</v>
      </c>
      <c r="R753" s="105"/>
      <c r="S753" s="105"/>
      <c r="T753" s="105"/>
      <c r="U753" s="116" t="s">
        <v>537</v>
      </c>
      <c r="V753" s="111"/>
      <c r="W753" s="111"/>
    </row>
    <row r="754" spans="1:25" x14ac:dyDescent="0.25">
      <c r="A754" s="13"/>
      <c r="B754" s="13"/>
      <c r="C754" s="103"/>
      <c r="D754" s="13"/>
      <c r="E754" s="13"/>
      <c r="F754" s="105"/>
      <c r="G754" s="105"/>
      <c r="H754" s="105"/>
      <c r="I754" s="105"/>
      <c r="J754" s="105"/>
      <c r="K754" s="105"/>
      <c r="L754" s="105"/>
      <c r="M754" s="105"/>
      <c r="N754" s="105"/>
      <c r="O754" s="105"/>
      <c r="P754" s="105"/>
      <c r="Q754" s="105"/>
      <c r="R754" s="105"/>
      <c r="S754" s="105"/>
      <c r="T754" s="105"/>
      <c r="U754" s="111"/>
      <c r="V754" s="111"/>
      <c r="W754" s="111"/>
    </row>
    <row r="755" spans="1:25" x14ac:dyDescent="0.25">
      <c r="A755" s="13"/>
      <c r="B755" s="196" t="s">
        <v>1947</v>
      </c>
      <c r="C755" s="103"/>
      <c r="D755" s="13"/>
      <c r="E755" s="13"/>
      <c r="F755" s="105"/>
      <c r="G755" s="105"/>
      <c r="H755" s="105"/>
      <c r="I755" s="105"/>
      <c r="J755" s="105"/>
      <c r="K755" s="105"/>
      <c r="L755" s="105"/>
      <c r="M755" s="105"/>
      <c r="N755" s="105"/>
      <c r="O755" s="105"/>
      <c r="P755" s="105"/>
      <c r="Q755" s="105"/>
      <c r="R755" s="105"/>
      <c r="S755" s="105"/>
      <c r="T755" s="105"/>
      <c r="U755" s="111"/>
      <c r="V755" s="111"/>
      <c r="W755" s="111"/>
      <c r="X755" s="111"/>
      <c r="Y755" s="111"/>
    </row>
    <row r="756" spans="1:25" x14ac:dyDescent="0.25">
      <c r="A756" s="104">
        <v>14</v>
      </c>
      <c r="B756" s="196" t="s">
        <v>1948</v>
      </c>
      <c r="C756" s="194" t="s">
        <v>1237</v>
      </c>
      <c r="D756" s="105">
        <v>309540.85000000003</v>
      </c>
      <c r="E756" s="13"/>
      <c r="F756" s="105">
        <v>290168.5549759267</v>
      </c>
      <c r="G756" s="105"/>
      <c r="H756" s="105">
        <v>13287.175231352554</v>
      </c>
      <c r="I756" s="105">
        <v>6085.1197927207468</v>
      </c>
      <c r="J756" s="105"/>
      <c r="K756" s="105"/>
      <c r="L756" s="105">
        <v>0.93140063868500578</v>
      </c>
      <c r="M756" s="105"/>
      <c r="N756" s="105">
        <v>6084.1883920820619</v>
      </c>
      <c r="O756" s="105">
        <v>3085.7303159634239</v>
      </c>
      <c r="P756" s="105">
        <v>2998.4580761186385</v>
      </c>
      <c r="Q756" s="105">
        <v>0</v>
      </c>
      <c r="R756" s="105"/>
      <c r="S756" s="105"/>
      <c r="T756" s="105">
        <v>309540.84999999998</v>
      </c>
      <c r="U756" s="116"/>
      <c r="V756" s="111"/>
      <c r="W756" s="111"/>
      <c r="X756" s="111"/>
      <c r="Y756" s="111"/>
    </row>
    <row r="757" spans="1:25" x14ac:dyDescent="0.25">
      <c r="A757" s="104">
        <v>15</v>
      </c>
      <c r="B757" s="196" t="s">
        <v>1949</v>
      </c>
      <c r="C757" s="194" t="s">
        <v>1768</v>
      </c>
      <c r="D757" s="105">
        <v>0</v>
      </c>
      <c r="E757" s="13"/>
      <c r="F757" s="105">
        <v>0</v>
      </c>
      <c r="G757" s="105"/>
      <c r="H757" s="105">
        <v>0</v>
      </c>
      <c r="I757" s="105">
        <v>0</v>
      </c>
      <c r="J757" s="105"/>
      <c r="K757" s="105"/>
      <c r="L757" s="105">
        <v>0</v>
      </c>
      <c r="M757" s="105"/>
      <c r="N757" s="105">
        <v>0</v>
      </c>
      <c r="O757" s="105">
        <v>0</v>
      </c>
      <c r="P757" s="105">
        <v>0</v>
      </c>
      <c r="Q757" s="105">
        <v>0</v>
      </c>
      <c r="R757" s="105"/>
      <c r="S757" s="105"/>
      <c r="T757" s="105">
        <v>0</v>
      </c>
      <c r="U757" s="116"/>
      <c r="V757" s="111"/>
      <c r="W757" s="111"/>
      <c r="X757" s="111"/>
      <c r="Y757" s="111"/>
    </row>
    <row r="758" spans="1:25" x14ac:dyDescent="0.25">
      <c r="A758" s="104">
        <v>16</v>
      </c>
      <c r="B758" s="196" t="s">
        <v>1950</v>
      </c>
      <c r="C758" s="197" t="s">
        <v>2066</v>
      </c>
      <c r="D758" s="105">
        <v>1471422.5899999999</v>
      </c>
      <c r="E758" s="13"/>
      <c r="F758" s="105">
        <v>1147334.75</v>
      </c>
      <c r="G758" s="105"/>
      <c r="H758" s="105">
        <v>324087.83999999997</v>
      </c>
      <c r="I758" s="105">
        <v>0</v>
      </c>
      <c r="J758" s="105"/>
      <c r="K758" s="105"/>
      <c r="L758" s="105">
        <v>0</v>
      </c>
      <c r="M758" s="105"/>
      <c r="N758" s="105">
        <v>0</v>
      </c>
      <c r="O758" s="105">
        <v>0</v>
      </c>
      <c r="P758" s="105">
        <v>0</v>
      </c>
      <c r="Q758" s="105">
        <v>0</v>
      </c>
      <c r="R758" s="105"/>
      <c r="S758" s="105"/>
      <c r="T758" s="105">
        <v>1471422.5899999999</v>
      </c>
      <c r="U758" s="116"/>
      <c r="V758" s="111" t="s">
        <v>2140</v>
      </c>
      <c r="W758" s="111"/>
      <c r="X758" s="111"/>
      <c r="Y758" s="111"/>
    </row>
    <row r="759" spans="1:25" x14ac:dyDescent="0.25">
      <c r="A759" s="104">
        <v>17</v>
      </c>
      <c r="B759" s="196" t="s">
        <v>1089</v>
      </c>
      <c r="C759" s="194" t="s">
        <v>1392</v>
      </c>
      <c r="D759" s="105">
        <v>131956.30999999997</v>
      </c>
      <c r="E759" s="13"/>
      <c r="F759" s="105">
        <v>124131.12331466416</v>
      </c>
      <c r="G759" s="105"/>
      <c r="H759" s="105">
        <v>6244.7825515685872</v>
      </c>
      <c r="I759" s="105">
        <v>1580.4041337672311</v>
      </c>
      <c r="J759" s="105"/>
      <c r="K759" s="105"/>
      <c r="L759" s="105">
        <v>9.1180790625212058</v>
      </c>
      <c r="M759" s="105"/>
      <c r="N759" s="105">
        <v>1571.2860547047098</v>
      </c>
      <c r="O759" s="105">
        <v>819.00747423096561</v>
      </c>
      <c r="P759" s="105">
        <v>752.27858047374434</v>
      </c>
      <c r="Q759" s="105">
        <v>7.0334742438198731E-15</v>
      </c>
      <c r="R759" s="105"/>
      <c r="S759" s="105"/>
      <c r="T759" s="105">
        <v>131956.31</v>
      </c>
      <c r="U759" s="116"/>
      <c r="V759" s="111"/>
      <c r="W759" s="111"/>
      <c r="X759" s="111"/>
      <c r="Y759" s="111"/>
    </row>
    <row r="760" spans="1:25" x14ac:dyDescent="0.25">
      <c r="A760" s="104">
        <v>18</v>
      </c>
      <c r="B760" s="196" t="s">
        <v>1951</v>
      </c>
      <c r="C760" s="13"/>
      <c r="D760" s="105">
        <v>1912919.7499999998</v>
      </c>
      <c r="E760" s="13"/>
      <c r="F760" s="105">
        <v>1561634.4282905909</v>
      </c>
      <c r="G760" s="105"/>
      <c r="H760" s="105">
        <v>343619.79778292112</v>
      </c>
      <c r="I760" s="105">
        <v>7665.5239264879792</v>
      </c>
      <c r="J760" s="105"/>
      <c r="K760" s="105"/>
      <c r="L760" s="105">
        <v>10.049479701206211</v>
      </c>
      <c r="M760" s="105"/>
      <c r="N760" s="105">
        <v>7655.4744467867731</v>
      </c>
      <c r="O760" s="105">
        <v>3904.7377901943896</v>
      </c>
      <c r="P760" s="105">
        <v>3750.736656592383</v>
      </c>
      <c r="Q760" s="105">
        <v>7.0334742438198731E-15</v>
      </c>
      <c r="R760" s="105"/>
      <c r="S760" s="105"/>
      <c r="T760" s="105">
        <v>1912919.75</v>
      </c>
      <c r="U760" s="116" t="s">
        <v>537</v>
      </c>
      <c r="V760" s="116" t="s">
        <v>537</v>
      </c>
      <c r="W760" s="108" t="s">
        <v>1952</v>
      </c>
    </row>
    <row r="761" spans="1:25" x14ac:dyDescent="0.25">
      <c r="A761" s="13"/>
      <c r="B761" s="13"/>
      <c r="C761" s="13"/>
      <c r="D761" s="13"/>
      <c r="E761" s="13"/>
      <c r="F761" s="105"/>
      <c r="G761" s="105"/>
      <c r="H761" s="105"/>
      <c r="I761" s="105"/>
      <c r="J761" s="105"/>
      <c r="K761" s="105"/>
      <c r="L761" s="105"/>
      <c r="M761" s="105"/>
      <c r="N761" s="105"/>
      <c r="O761" s="105"/>
      <c r="P761" s="105"/>
      <c r="Q761" s="105"/>
      <c r="R761" s="105"/>
      <c r="S761" s="105"/>
      <c r="T761" s="105"/>
      <c r="U761" s="111"/>
      <c r="V761" s="111"/>
      <c r="W761" s="111"/>
      <c r="X761" s="111"/>
      <c r="Y761" s="111"/>
    </row>
    <row r="762" spans="1:25" x14ac:dyDescent="0.25">
      <c r="A762" s="104">
        <v>19</v>
      </c>
      <c r="B762" s="193" t="s">
        <v>1315</v>
      </c>
      <c r="C762" s="103"/>
      <c r="D762" s="105">
        <v>10080695046.917683</v>
      </c>
      <c r="E762" s="13"/>
      <c r="F762" s="105">
        <v>9425469470.6105957</v>
      </c>
      <c r="G762" s="105"/>
      <c r="H762" s="105">
        <v>508660146.68823594</v>
      </c>
      <c r="I762" s="105">
        <v>146565429.61885062</v>
      </c>
      <c r="J762" s="105"/>
      <c r="K762" s="105"/>
      <c r="L762" s="105">
        <v>711694.75584535592</v>
      </c>
      <c r="M762" s="105"/>
      <c r="N762" s="105">
        <v>145853734.86300525</v>
      </c>
      <c r="O762" s="105">
        <v>75807020.555096</v>
      </c>
      <c r="P762" s="105">
        <v>70046714.30790925</v>
      </c>
      <c r="Q762" s="105">
        <v>1.5075051889547236E-11</v>
      </c>
      <c r="R762" s="105"/>
      <c r="S762" s="105"/>
      <c r="T762" s="105"/>
      <c r="U762" s="116" t="s">
        <v>537</v>
      </c>
      <c r="V762" s="111"/>
      <c r="W762" s="111"/>
    </row>
    <row r="763" spans="1:25" x14ac:dyDescent="0.25">
      <c r="A763" s="13"/>
      <c r="B763" s="13"/>
      <c r="C763" s="103"/>
      <c r="D763" s="13"/>
      <c r="E763" s="13"/>
      <c r="F763" s="105"/>
      <c r="G763" s="105"/>
      <c r="H763" s="105"/>
      <c r="I763" s="105"/>
      <c r="J763" s="105"/>
      <c r="K763" s="105"/>
      <c r="L763" s="105"/>
      <c r="M763" s="105"/>
      <c r="N763" s="105"/>
      <c r="O763" s="105"/>
      <c r="P763" s="105"/>
      <c r="Q763" s="105"/>
      <c r="R763" s="105"/>
      <c r="S763" s="105"/>
      <c r="T763" s="105"/>
      <c r="U763" s="111"/>
      <c r="V763" s="111"/>
      <c r="W763" s="111"/>
    </row>
    <row r="764" spans="1:25" x14ac:dyDescent="0.25">
      <c r="A764" s="13"/>
      <c r="B764" s="195" t="s">
        <v>1037</v>
      </c>
      <c r="C764" s="13"/>
      <c r="D764" s="13"/>
      <c r="E764" s="13"/>
      <c r="F764" s="105"/>
      <c r="G764" s="105"/>
      <c r="H764" s="105"/>
      <c r="I764" s="105"/>
      <c r="J764" s="105"/>
      <c r="K764" s="105"/>
      <c r="L764" s="105"/>
      <c r="M764" s="105"/>
      <c r="N764" s="105"/>
      <c r="O764" s="105"/>
      <c r="P764" s="105"/>
      <c r="Q764" s="105"/>
      <c r="R764" s="105"/>
      <c r="S764" s="105"/>
      <c r="T764" s="105"/>
      <c r="V764" s="111"/>
      <c r="W764" s="111"/>
    </row>
    <row r="765" spans="1:25" x14ac:dyDescent="0.25">
      <c r="A765" s="13"/>
      <c r="B765" s="13"/>
      <c r="C765" s="13"/>
      <c r="D765" s="13"/>
      <c r="E765" s="13"/>
      <c r="F765" s="105"/>
      <c r="G765" s="105"/>
      <c r="H765" s="105"/>
      <c r="I765" s="105"/>
      <c r="J765" s="105"/>
      <c r="K765" s="105"/>
      <c r="L765" s="105"/>
      <c r="M765" s="105"/>
      <c r="N765" s="105"/>
      <c r="O765" s="105"/>
      <c r="P765" s="105"/>
      <c r="Q765" s="105"/>
      <c r="R765" s="105"/>
      <c r="S765" s="105"/>
      <c r="T765" s="105"/>
    </row>
    <row r="766" spans="1:25" x14ac:dyDescent="0.25">
      <c r="A766" s="13"/>
      <c r="B766" s="193" t="s">
        <v>6</v>
      </c>
      <c r="C766" s="103"/>
      <c r="D766" s="13"/>
      <c r="E766" s="13"/>
      <c r="F766" s="105"/>
      <c r="G766" s="105"/>
      <c r="H766" s="105"/>
      <c r="I766" s="105"/>
      <c r="J766" s="105"/>
      <c r="K766" s="105"/>
      <c r="L766" s="105"/>
      <c r="M766" s="105"/>
      <c r="N766" s="105"/>
      <c r="O766" s="105"/>
      <c r="P766" s="105"/>
      <c r="Q766" s="105"/>
      <c r="R766" s="105"/>
      <c r="S766" s="105"/>
      <c r="T766" s="105"/>
    </row>
    <row r="767" spans="1:25" x14ac:dyDescent="0.25">
      <c r="A767" s="13"/>
      <c r="B767" s="13"/>
      <c r="C767" s="103"/>
      <c r="D767" s="13"/>
      <c r="E767" s="13"/>
      <c r="F767" s="105"/>
      <c r="G767" s="105"/>
      <c r="H767" s="105"/>
      <c r="I767" s="105"/>
      <c r="J767" s="105"/>
      <c r="K767" s="105"/>
      <c r="L767" s="105"/>
      <c r="M767" s="105"/>
      <c r="N767" s="105"/>
      <c r="O767" s="105"/>
      <c r="P767" s="105"/>
      <c r="Q767" s="105"/>
      <c r="R767" s="105"/>
      <c r="S767" s="105"/>
      <c r="T767" s="105"/>
    </row>
    <row r="768" spans="1:25" x14ac:dyDescent="0.25">
      <c r="A768" s="13"/>
      <c r="B768" s="193" t="s">
        <v>7</v>
      </c>
      <c r="C768" s="13"/>
      <c r="D768" s="13"/>
      <c r="E768" s="13"/>
      <c r="F768" s="105"/>
      <c r="G768" s="105"/>
      <c r="H768" s="105"/>
      <c r="I768" s="105"/>
      <c r="J768" s="105"/>
      <c r="K768" s="105"/>
      <c r="L768" s="105"/>
      <c r="M768" s="105"/>
      <c r="N768" s="105"/>
      <c r="O768" s="105"/>
      <c r="P768" s="105"/>
      <c r="Q768" s="105"/>
      <c r="R768" s="105"/>
      <c r="S768" s="105"/>
      <c r="T768" s="105"/>
    </row>
    <row r="769" spans="1:25" x14ac:dyDescent="0.25">
      <c r="A769" s="13"/>
      <c r="B769" s="193" t="s">
        <v>8</v>
      </c>
      <c r="C769" s="13"/>
      <c r="D769" s="13"/>
      <c r="E769" s="13"/>
      <c r="F769" s="105"/>
      <c r="G769" s="105"/>
      <c r="H769" s="105"/>
      <c r="I769" s="105"/>
      <c r="J769" s="105"/>
      <c r="K769" s="105"/>
      <c r="L769" s="105"/>
      <c r="M769" s="105"/>
      <c r="N769" s="105"/>
      <c r="O769" s="105"/>
      <c r="P769" s="105"/>
      <c r="Q769" s="105"/>
      <c r="R769" s="105"/>
      <c r="S769" s="105"/>
      <c r="T769" s="105"/>
    </row>
    <row r="770" spans="1:25" x14ac:dyDescent="0.25">
      <c r="A770" s="104">
        <v>1</v>
      </c>
      <c r="B770" s="193" t="s">
        <v>9</v>
      </c>
      <c r="C770" s="194" t="s">
        <v>1394</v>
      </c>
      <c r="D770" s="105">
        <v>1867154258.9368865</v>
      </c>
      <c r="E770" s="13"/>
      <c r="F770" s="105">
        <v>1750300334.2946937</v>
      </c>
      <c r="G770" s="105"/>
      <c r="H770" s="105">
        <v>80148406.332994923</v>
      </c>
      <c r="I770" s="105">
        <v>36705518.309197925</v>
      </c>
      <c r="J770" s="105"/>
      <c r="K770" s="105"/>
      <c r="L770" s="105">
        <v>5618.2202423274484</v>
      </c>
      <c r="M770" s="105"/>
      <c r="N770" s="105">
        <v>36699900.088955596</v>
      </c>
      <c r="O770" s="105">
        <v>18613163.662830841</v>
      </c>
      <c r="P770" s="105">
        <v>18086736.426124755</v>
      </c>
      <c r="Q770" s="105">
        <v>0</v>
      </c>
      <c r="R770" s="105"/>
      <c r="S770" s="105"/>
      <c r="T770" s="105">
        <v>1867154258.9368868</v>
      </c>
      <c r="U770" s="111"/>
      <c r="V770" s="116" t="s">
        <v>10</v>
      </c>
      <c r="W770" s="111"/>
      <c r="X770" s="111"/>
      <c r="Y770" s="111"/>
    </row>
    <row r="771" spans="1:25" x14ac:dyDescent="0.25">
      <c r="A771" s="104">
        <v>2</v>
      </c>
      <c r="B771" s="193" t="s">
        <v>11</v>
      </c>
      <c r="C771" s="194" t="s">
        <v>1239</v>
      </c>
      <c r="D771" s="105">
        <v>18008590.653333403</v>
      </c>
      <c r="E771" s="13"/>
      <c r="F771" s="105">
        <v>9457347.0627604946</v>
      </c>
      <c r="G771" s="105"/>
      <c r="H771" s="105">
        <v>5865455.5374959754</v>
      </c>
      <c r="I771" s="105">
        <v>2685788.0530769359</v>
      </c>
      <c r="J771" s="105"/>
      <c r="K771" s="105"/>
      <c r="L771" s="105">
        <v>0</v>
      </c>
      <c r="M771" s="105"/>
      <c r="N771" s="105">
        <v>2685788.0530769359</v>
      </c>
      <c r="O771" s="105">
        <v>1362156.6400569309</v>
      </c>
      <c r="P771" s="105">
        <v>1323631.4130200052</v>
      </c>
      <c r="Q771" s="105">
        <v>0</v>
      </c>
      <c r="R771" s="105"/>
      <c r="S771" s="105"/>
      <c r="T771" s="105">
        <v>18008590.653333407</v>
      </c>
      <c r="U771" s="111"/>
      <c r="V771" s="111"/>
      <c r="W771" s="111"/>
      <c r="X771" s="111"/>
      <c r="Y771" s="111"/>
    </row>
    <row r="772" spans="1:25" x14ac:dyDescent="0.25">
      <c r="A772" s="104">
        <v>3</v>
      </c>
      <c r="B772" s="193" t="s">
        <v>12</v>
      </c>
      <c r="C772" s="194" t="s">
        <v>1245</v>
      </c>
      <c r="D772" s="105">
        <v>7410604.1733333375</v>
      </c>
      <c r="E772" s="13"/>
      <c r="F772" s="105">
        <v>5771545.3993876958</v>
      </c>
      <c r="G772" s="105"/>
      <c r="H772" s="105">
        <v>0</v>
      </c>
      <c r="I772" s="105">
        <v>1639058.7739456415</v>
      </c>
      <c r="J772" s="105"/>
      <c r="K772" s="105"/>
      <c r="L772" s="105">
        <v>0</v>
      </c>
      <c r="M772" s="105"/>
      <c r="N772" s="105">
        <v>1639058.7739456415</v>
      </c>
      <c r="O772" s="105">
        <v>831284.80291503912</v>
      </c>
      <c r="P772" s="105">
        <v>807773.97103060235</v>
      </c>
      <c r="Q772" s="105">
        <v>0</v>
      </c>
      <c r="R772" s="105"/>
      <c r="S772" s="105"/>
      <c r="T772" s="105">
        <v>7410604.1733333375</v>
      </c>
      <c r="U772" s="111"/>
      <c r="V772" s="111"/>
      <c r="W772" s="111"/>
    </row>
    <row r="773" spans="1:25" x14ac:dyDescent="0.25">
      <c r="A773" s="104">
        <v>4</v>
      </c>
      <c r="B773" s="193" t="s">
        <v>13</v>
      </c>
      <c r="C773" s="13"/>
      <c r="D773" s="105">
        <v>1892573453.7635531</v>
      </c>
      <c r="E773" s="13"/>
      <c r="F773" s="105">
        <v>1765529226.7568419</v>
      </c>
      <c r="G773" s="105"/>
      <c r="H773" s="105">
        <v>86013861.870490894</v>
      </c>
      <c r="I773" s="105">
        <v>41030365.136220507</v>
      </c>
      <c r="J773" s="105"/>
      <c r="K773" s="105"/>
      <c r="L773" s="105">
        <v>5618.2202423274484</v>
      </c>
      <c r="M773" s="105"/>
      <c r="N773" s="105">
        <v>41024746.915978178</v>
      </c>
      <c r="O773" s="105">
        <v>20806605.105802812</v>
      </c>
      <c r="P773" s="105">
        <v>20218141.810175363</v>
      </c>
      <c r="Q773" s="105">
        <v>0</v>
      </c>
      <c r="R773" s="105"/>
      <c r="S773" s="105"/>
      <c r="T773" s="105"/>
      <c r="U773" s="111" t="s">
        <v>537</v>
      </c>
      <c r="V773" s="111"/>
      <c r="W773" s="111"/>
    </row>
    <row r="774" spans="1:25" x14ac:dyDescent="0.25">
      <c r="A774" s="104"/>
      <c r="B774" s="193"/>
      <c r="C774" s="13"/>
      <c r="D774" s="105"/>
      <c r="E774" s="13"/>
      <c r="F774" s="105"/>
      <c r="G774" s="105"/>
      <c r="H774" s="105"/>
      <c r="I774" s="105"/>
      <c r="J774" s="105"/>
      <c r="K774" s="105"/>
      <c r="L774" s="105"/>
      <c r="M774" s="105"/>
      <c r="N774" s="105"/>
      <c r="O774" s="105"/>
      <c r="P774" s="105"/>
      <c r="Q774" s="105"/>
      <c r="R774" s="105"/>
      <c r="S774" s="105"/>
      <c r="T774" s="105"/>
      <c r="U774" s="111"/>
      <c r="V774" s="111"/>
      <c r="W774" s="111"/>
    </row>
    <row r="775" spans="1:25" x14ac:dyDescent="0.25">
      <c r="A775" s="13"/>
      <c r="B775" s="193" t="s">
        <v>14</v>
      </c>
      <c r="C775" s="13"/>
      <c r="D775" s="13"/>
      <c r="E775" s="13"/>
      <c r="F775" s="105"/>
      <c r="G775" s="105"/>
      <c r="H775" s="105"/>
      <c r="I775" s="105"/>
      <c r="J775" s="105"/>
      <c r="K775" s="105"/>
      <c r="L775" s="105"/>
      <c r="M775" s="105"/>
      <c r="N775" s="105"/>
      <c r="O775" s="105"/>
      <c r="P775" s="105"/>
      <c r="Q775" s="105"/>
      <c r="R775" s="105"/>
      <c r="S775" s="105"/>
      <c r="T775" s="105"/>
      <c r="V775" s="111"/>
      <c r="W775" s="111"/>
    </row>
    <row r="776" spans="1:25" x14ac:dyDescent="0.25">
      <c r="A776" s="104">
        <v>5</v>
      </c>
      <c r="B776" s="193" t="s">
        <v>9</v>
      </c>
      <c r="C776" s="194" t="s">
        <v>1398</v>
      </c>
      <c r="D776" s="105">
        <v>15260438.005224779</v>
      </c>
      <c r="E776" s="13"/>
      <c r="F776" s="105">
        <v>14305379.223051779</v>
      </c>
      <c r="G776" s="105"/>
      <c r="H776" s="105">
        <v>655060.91968996602</v>
      </c>
      <c r="I776" s="105">
        <v>299997.86248303321</v>
      </c>
      <c r="J776" s="105"/>
      <c r="K776" s="105"/>
      <c r="L776" s="105">
        <v>45.918274452884958</v>
      </c>
      <c r="M776" s="105"/>
      <c r="N776" s="105">
        <v>299951.9442085803</v>
      </c>
      <c r="O776" s="105">
        <v>152127.24326240784</v>
      </c>
      <c r="P776" s="105">
        <v>147824.7009461725</v>
      </c>
      <c r="Q776" s="105">
        <v>0</v>
      </c>
      <c r="R776" s="105"/>
      <c r="S776" s="105"/>
      <c r="T776" s="105">
        <v>15260438.005224776</v>
      </c>
      <c r="U776" s="111"/>
      <c r="V776" s="116" t="s">
        <v>10</v>
      </c>
      <c r="W776" s="111"/>
      <c r="X776" s="111"/>
      <c r="Y776" s="111"/>
    </row>
    <row r="777" spans="1:25" x14ac:dyDescent="0.25">
      <c r="A777" s="104">
        <v>6</v>
      </c>
      <c r="B777" s="193" t="s">
        <v>11</v>
      </c>
      <c r="C777" s="194" t="s">
        <v>1239</v>
      </c>
      <c r="D777" s="105">
        <v>3414.3333333333408</v>
      </c>
      <c r="E777" s="13"/>
      <c r="F777" s="105">
        <v>1793.0628744292276</v>
      </c>
      <c r="G777" s="105"/>
      <c r="H777" s="105">
        <v>1112.0592800608854</v>
      </c>
      <c r="I777" s="105">
        <v>509.21117884322786</v>
      </c>
      <c r="J777" s="105"/>
      <c r="K777" s="105"/>
      <c r="L777" s="105">
        <v>0</v>
      </c>
      <c r="M777" s="105"/>
      <c r="N777" s="105">
        <v>509.21117884322786</v>
      </c>
      <c r="O777" s="105">
        <v>258.25767884322732</v>
      </c>
      <c r="P777" s="105">
        <v>250.95350000000053</v>
      </c>
      <c r="Q777" s="105">
        <v>0</v>
      </c>
      <c r="R777" s="105"/>
      <c r="S777" s="105"/>
      <c r="T777" s="105">
        <v>3414.3333333333408</v>
      </c>
      <c r="U777" s="111"/>
      <c r="V777" s="111"/>
      <c r="W777" s="111"/>
      <c r="X777" s="111"/>
      <c r="Y777" s="111"/>
    </row>
    <row r="778" spans="1:25" x14ac:dyDescent="0.25">
      <c r="A778" s="104">
        <v>7</v>
      </c>
      <c r="B778" s="193" t="s">
        <v>12</v>
      </c>
      <c r="C778" s="194" t="s">
        <v>1245</v>
      </c>
      <c r="D778" s="105">
        <v>21448.5</v>
      </c>
      <c r="E778" s="13"/>
      <c r="F778" s="105">
        <v>16704.574769250565</v>
      </c>
      <c r="G778" s="105"/>
      <c r="H778" s="105">
        <v>0</v>
      </c>
      <c r="I778" s="105">
        <v>4743.9252307494371</v>
      </c>
      <c r="J778" s="105"/>
      <c r="K778" s="105"/>
      <c r="L778" s="105">
        <v>0</v>
      </c>
      <c r="M778" s="105"/>
      <c r="N778" s="105">
        <v>4743.9252307494371</v>
      </c>
      <c r="O778" s="105">
        <v>2405.9862972418418</v>
      </c>
      <c r="P778" s="105">
        <v>2337.9389335075948</v>
      </c>
      <c r="Q778" s="105">
        <v>0</v>
      </c>
      <c r="R778" s="105"/>
      <c r="S778" s="105"/>
      <c r="T778" s="105">
        <v>21448.5</v>
      </c>
      <c r="U778" s="111"/>
      <c r="V778" s="111"/>
      <c r="W778" s="111"/>
    </row>
    <row r="779" spans="1:25" x14ac:dyDescent="0.25">
      <c r="A779" s="104">
        <v>8</v>
      </c>
      <c r="B779" s="193" t="s">
        <v>15</v>
      </c>
      <c r="C779" s="13"/>
      <c r="D779" s="105">
        <v>15285300.838558111</v>
      </c>
      <c r="E779" s="13"/>
      <c r="F779" s="105">
        <v>14323876.860695459</v>
      </c>
      <c r="G779" s="105"/>
      <c r="H779" s="105">
        <v>656172.97897002695</v>
      </c>
      <c r="I779" s="105">
        <v>305250.99889262591</v>
      </c>
      <c r="J779" s="105"/>
      <c r="K779" s="105"/>
      <c r="L779" s="105">
        <v>45.918274452884958</v>
      </c>
      <c r="M779" s="105"/>
      <c r="N779" s="105">
        <v>305205.080618173</v>
      </c>
      <c r="O779" s="105">
        <v>154791.4872384929</v>
      </c>
      <c r="P779" s="105">
        <v>150413.5933796801</v>
      </c>
      <c r="Q779" s="105">
        <v>0</v>
      </c>
      <c r="R779" s="105"/>
      <c r="S779" s="105"/>
      <c r="T779" s="105"/>
      <c r="U779" s="111" t="s">
        <v>537</v>
      </c>
      <c r="V779" s="111"/>
      <c r="W779" s="111"/>
    </row>
    <row r="780" spans="1:25" x14ac:dyDescent="0.25">
      <c r="A780" s="104"/>
      <c r="B780" s="193"/>
      <c r="C780" s="13"/>
      <c r="D780" s="105"/>
      <c r="E780" s="13"/>
      <c r="F780" s="105"/>
      <c r="G780" s="105"/>
      <c r="H780" s="105"/>
      <c r="I780" s="105"/>
      <c r="J780" s="105"/>
      <c r="K780" s="105"/>
      <c r="L780" s="105"/>
      <c r="M780" s="105"/>
      <c r="N780" s="105"/>
      <c r="O780" s="105"/>
      <c r="P780" s="105"/>
      <c r="Q780" s="105"/>
      <c r="R780" s="105"/>
      <c r="S780" s="105"/>
      <c r="T780" s="105"/>
      <c r="U780" s="111"/>
      <c r="V780" s="111"/>
      <c r="W780" s="111"/>
    </row>
    <row r="781" spans="1:25" x14ac:dyDescent="0.25">
      <c r="A781" s="13"/>
      <c r="B781" s="193" t="s">
        <v>16</v>
      </c>
      <c r="C781" s="13"/>
      <c r="D781" s="13"/>
      <c r="E781" s="13"/>
      <c r="F781" s="105"/>
      <c r="G781" s="105"/>
      <c r="H781" s="105"/>
      <c r="I781" s="105"/>
      <c r="J781" s="105"/>
      <c r="K781" s="105"/>
      <c r="L781" s="105"/>
      <c r="M781" s="105"/>
      <c r="N781" s="105"/>
      <c r="O781" s="105"/>
      <c r="P781" s="105"/>
      <c r="Q781" s="105"/>
      <c r="R781" s="105"/>
      <c r="S781" s="105"/>
      <c r="T781" s="105"/>
      <c r="V781" s="111"/>
      <c r="W781" s="111"/>
    </row>
    <row r="782" spans="1:25" x14ac:dyDescent="0.25">
      <c r="A782" s="104">
        <v>9</v>
      </c>
      <c r="B782" s="193" t="s">
        <v>9</v>
      </c>
      <c r="C782" s="194" t="s">
        <v>1400</v>
      </c>
      <c r="D782" s="105">
        <v>380255640.78208405</v>
      </c>
      <c r="E782" s="13"/>
      <c r="F782" s="105">
        <v>356457733.46937048</v>
      </c>
      <c r="G782" s="105"/>
      <c r="H782" s="105">
        <v>16322638.294046815</v>
      </c>
      <c r="I782" s="105">
        <v>7475269.018666747</v>
      </c>
      <c r="J782" s="105"/>
      <c r="K782" s="105"/>
      <c r="L782" s="105">
        <v>1144.1796670391295</v>
      </c>
      <c r="M782" s="105"/>
      <c r="N782" s="105">
        <v>7474124.8389997082</v>
      </c>
      <c r="O782" s="105">
        <v>3790667.2369006379</v>
      </c>
      <c r="P782" s="105">
        <v>3683457.6020990703</v>
      </c>
      <c r="Q782" s="105">
        <v>0</v>
      </c>
      <c r="R782" s="105"/>
      <c r="S782" s="105"/>
      <c r="T782" s="105">
        <v>380255640.78208405</v>
      </c>
      <c r="U782" s="111"/>
      <c r="V782" s="116" t="s">
        <v>10</v>
      </c>
      <c r="W782" s="111"/>
      <c r="X782" s="111"/>
      <c r="Y782" s="111"/>
    </row>
    <row r="783" spans="1:25" x14ac:dyDescent="0.25">
      <c r="A783" s="104">
        <v>10</v>
      </c>
      <c r="B783" s="193" t="s">
        <v>11</v>
      </c>
      <c r="C783" s="194" t="s">
        <v>1239</v>
      </c>
      <c r="D783" s="105">
        <v>1842.1566666666668</v>
      </c>
      <c r="E783" s="13"/>
      <c r="F783" s="105">
        <v>967.42245276255721</v>
      </c>
      <c r="G783" s="105"/>
      <c r="H783" s="105">
        <v>599.9963145053274</v>
      </c>
      <c r="I783" s="105">
        <v>274.73789939878236</v>
      </c>
      <c r="J783" s="105"/>
      <c r="K783" s="105"/>
      <c r="L783" s="105">
        <v>0</v>
      </c>
      <c r="M783" s="105"/>
      <c r="N783" s="105">
        <v>274.73789939878236</v>
      </c>
      <c r="O783" s="105">
        <v>139.33938439878236</v>
      </c>
      <c r="P783" s="105">
        <v>135.398515</v>
      </c>
      <c r="Q783" s="105">
        <v>0</v>
      </c>
      <c r="R783" s="105"/>
      <c r="S783" s="105"/>
      <c r="T783" s="105">
        <v>1842.156666666667</v>
      </c>
      <c r="U783" s="111"/>
      <c r="V783" s="111"/>
      <c r="W783" s="111"/>
      <c r="X783" s="111"/>
      <c r="Y783" s="111"/>
    </row>
    <row r="784" spans="1:25" x14ac:dyDescent="0.25">
      <c r="A784" s="104">
        <v>11</v>
      </c>
      <c r="B784" s="193" t="s">
        <v>12</v>
      </c>
      <c r="C784" s="194" t="s">
        <v>1245</v>
      </c>
      <c r="D784" s="105">
        <v>1868599.35</v>
      </c>
      <c r="E784" s="13"/>
      <c r="F784" s="105">
        <v>1455307.2501968904</v>
      </c>
      <c r="G784" s="105"/>
      <c r="H784" s="105">
        <v>0</v>
      </c>
      <c r="I784" s="105">
        <v>413292.09980310965</v>
      </c>
      <c r="J784" s="105"/>
      <c r="K784" s="105"/>
      <c r="L784" s="105">
        <v>0</v>
      </c>
      <c r="M784" s="105"/>
      <c r="N784" s="105">
        <v>413292.09980310965</v>
      </c>
      <c r="O784" s="105">
        <v>209610.20263118693</v>
      </c>
      <c r="P784" s="105">
        <v>203681.89717192273</v>
      </c>
      <c r="Q784" s="105">
        <v>0</v>
      </c>
      <c r="R784" s="105"/>
      <c r="S784" s="105"/>
      <c r="T784" s="105">
        <v>1868599.35</v>
      </c>
      <c r="U784" s="111"/>
      <c r="V784" s="111"/>
      <c r="W784" s="111"/>
    </row>
    <row r="785" spans="1:25" x14ac:dyDescent="0.25">
      <c r="A785" s="104">
        <v>12</v>
      </c>
      <c r="B785" s="193" t="s">
        <v>17</v>
      </c>
      <c r="C785" s="13"/>
      <c r="D785" s="105">
        <v>382126082.28875071</v>
      </c>
      <c r="E785" s="13"/>
      <c r="F785" s="105">
        <v>357914008.14202011</v>
      </c>
      <c r="G785" s="105"/>
      <c r="H785" s="105">
        <v>16323238.290361321</v>
      </c>
      <c r="I785" s="105">
        <v>7888835.856369256</v>
      </c>
      <c r="J785" s="105"/>
      <c r="K785" s="105"/>
      <c r="L785" s="105">
        <v>1144.1796670391295</v>
      </c>
      <c r="M785" s="105"/>
      <c r="N785" s="105">
        <v>7887691.6767022172</v>
      </c>
      <c r="O785" s="105">
        <v>4000416.7789162239</v>
      </c>
      <c r="P785" s="105">
        <v>3887274.8977859933</v>
      </c>
      <c r="Q785" s="105">
        <v>0</v>
      </c>
      <c r="R785" s="105"/>
      <c r="S785" s="105"/>
      <c r="T785" s="105"/>
      <c r="U785" s="111" t="s">
        <v>537</v>
      </c>
      <c r="V785" s="111"/>
      <c r="W785" s="111"/>
    </row>
    <row r="786" spans="1:25" x14ac:dyDescent="0.25">
      <c r="A786" s="104"/>
      <c r="B786" s="193"/>
      <c r="C786" s="13"/>
      <c r="D786" s="105"/>
      <c r="E786" s="13"/>
      <c r="F786" s="105"/>
      <c r="G786" s="105"/>
      <c r="H786" s="105"/>
      <c r="I786" s="105"/>
      <c r="J786" s="105"/>
      <c r="K786" s="105"/>
      <c r="L786" s="105"/>
      <c r="M786" s="105"/>
      <c r="N786" s="105"/>
      <c r="O786" s="105"/>
      <c r="P786" s="105"/>
      <c r="Q786" s="105"/>
      <c r="R786" s="105"/>
      <c r="S786" s="105"/>
      <c r="T786" s="105"/>
      <c r="U786" s="111"/>
      <c r="V786" s="111"/>
      <c r="W786" s="111"/>
    </row>
    <row r="787" spans="1:25" x14ac:dyDescent="0.25">
      <c r="A787" s="104">
        <v>13</v>
      </c>
      <c r="B787" s="193" t="s">
        <v>18</v>
      </c>
      <c r="C787" s="13"/>
      <c r="D787" s="105">
        <v>2289984836.8908615</v>
      </c>
      <c r="E787" s="13"/>
      <c r="F787" s="105">
        <v>2137767111.7595572</v>
      </c>
      <c r="G787" s="105"/>
      <c r="H787" s="105">
        <v>102993273.13982223</v>
      </c>
      <c r="I787" s="105">
        <v>49224451.991482385</v>
      </c>
      <c r="J787" s="105"/>
      <c r="K787" s="105"/>
      <c r="L787" s="105">
        <v>6808.3181838194632</v>
      </c>
      <c r="M787" s="105"/>
      <c r="N787" s="105">
        <v>49217643.673298568</v>
      </c>
      <c r="O787" s="105">
        <v>24961813.371957529</v>
      </c>
      <c r="P787" s="105">
        <v>24255830.301341034</v>
      </c>
      <c r="Q787" s="105">
        <v>0</v>
      </c>
      <c r="R787" s="105"/>
      <c r="S787" s="105"/>
      <c r="T787" s="105"/>
      <c r="V787" s="111"/>
      <c r="W787" s="111"/>
    </row>
    <row r="788" spans="1:25" x14ac:dyDescent="0.25">
      <c r="A788" s="13"/>
      <c r="B788" s="13"/>
      <c r="C788" s="103"/>
      <c r="D788" s="13"/>
      <c r="E788" s="13"/>
      <c r="F788" s="105"/>
      <c r="G788" s="105"/>
      <c r="H788" s="105"/>
      <c r="I788" s="105"/>
      <c r="J788" s="105"/>
      <c r="K788" s="105"/>
      <c r="L788" s="105"/>
      <c r="M788" s="105"/>
      <c r="N788" s="105"/>
      <c r="O788" s="105"/>
      <c r="P788" s="105"/>
      <c r="Q788" s="105"/>
      <c r="R788" s="105"/>
      <c r="S788" s="105"/>
      <c r="T788" s="105"/>
      <c r="V788" s="111"/>
      <c r="W788" s="111"/>
    </row>
    <row r="789" spans="1:25" x14ac:dyDescent="0.25">
      <c r="A789" s="13"/>
      <c r="B789" s="193" t="s">
        <v>19</v>
      </c>
      <c r="C789" s="13"/>
      <c r="D789" s="13"/>
      <c r="E789" s="13"/>
      <c r="F789" s="105"/>
      <c r="G789" s="105"/>
      <c r="H789" s="105"/>
      <c r="I789" s="105"/>
      <c r="J789" s="105"/>
      <c r="K789" s="105"/>
      <c r="L789" s="105"/>
      <c r="M789" s="105"/>
      <c r="N789" s="105"/>
      <c r="O789" s="105"/>
      <c r="P789" s="105"/>
      <c r="Q789" s="105"/>
      <c r="R789" s="105"/>
      <c r="S789" s="105"/>
      <c r="T789" s="105"/>
      <c r="V789" s="111"/>
      <c r="W789" s="111"/>
    </row>
    <row r="790" spans="1:25" x14ac:dyDescent="0.25">
      <c r="A790" s="104">
        <v>14</v>
      </c>
      <c r="B790" s="193" t="s">
        <v>1033</v>
      </c>
      <c r="C790" s="194" t="s">
        <v>2028</v>
      </c>
      <c r="D790" s="105">
        <v>329168995.33118629</v>
      </c>
      <c r="E790" s="13"/>
      <c r="F790" s="105">
        <v>314521138.58860999</v>
      </c>
      <c r="G790" s="105"/>
      <c r="H790" s="105">
        <v>14646849.715881679</v>
      </c>
      <c r="I790" s="105">
        <v>1007.0266945981828</v>
      </c>
      <c r="J790" s="105"/>
      <c r="K790" s="105"/>
      <c r="L790" s="105">
        <v>1007.0266945981828</v>
      </c>
      <c r="M790" s="105"/>
      <c r="N790" s="105">
        <v>0</v>
      </c>
      <c r="O790" s="105">
        <v>0</v>
      </c>
      <c r="P790" s="105">
        <v>0</v>
      </c>
      <c r="Q790" s="105">
        <v>0</v>
      </c>
      <c r="R790" s="105"/>
      <c r="S790" s="105"/>
      <c r="T790" s="105">
        <v>329168995.33118629</v>
      </c>
      <c r="U790" s="111"/>
      <c r="V790" s="116" t="s">
        <v>10</v>
      </c>
      <c r="W790" s="111"/>
      <c r="X790" s="111"/>
      <c r="Y790" s="111"/>
    </row>
    <row r="791" spans="1:25" x14ac:dyDescent="0.25">
      <c r="A791" s="104">
        <v>15</v>
      </c>
      <c r="B791" s="193" t="s">
        <v>1036</v>
      </c>
      <c r="C791" s="194" t="s">
        <v>1313</v>
      </c>
      <c r="D791" s="105">
        <v>32680977.290894702</v>
      </c>
      <c r="E791" s="13"/>
      <c r="F791" s="105">
        <v>3955151.5958807445</v>
      </c>
      <c r="G791" s="105"/>
      <c r="H791" s="105">
        <v>28725812.999528319</v>
      </c>
      <c r="I791" s="105">
        <v>12.695485638700472</v>
      </c>
      <c r="J791" s="105"/>
      <c r="K791" s="105"/>
      <c r="L791" s="105">
        <v>12.695485638700472</v>
      </c>
      <c r="M791" s="105"/>
      <c r="N791" s="105">
        <v>0</v>
      </c>
      <c r="O791" s="105">
        <v>0</v>
      </c>
      <c r="P791" s="105">
        <v>0</v>
      </c>
      <c r="Q791" s="105">
        <v>0</v>
      </c>
      <c r="R791" s="105"/>
      <c r="S791" s="105"/>
      <c r="T791" s="105">
        <v>32680977.29089471</v>
      </c>
      <c r="U791" s="111"/>
      <c r="V791" s="111"/>
      <c r="W791" s="111"/>
      <c r="X791" s="111"/>
      <c r="Y791" s="111"/>
    </row>
    <row r="792" spans="1:25" x14ac:dyDescent="0.25">
      <c r="A792" s="104">
        <v>16</v>
      </c>
      <c r="B792" s="193" t="s">
        <v>1024</v>
      </c>
      <c r="C792" s="194" t="s">
        <v>1239</v>
      </c>
      <c r="D792" s="105">
        <v>2703657.0133333327</v>
      </c>
      <c r="E792" s="13"/>
      <c r="F792" s="105">
        <v>1419845.8505705935</v>
      </c>
      <c r="G792" s="105"/>
      <c r="H792" s="105">
        <v>880589.73106873664</v>
      </c>
      <c r="I792" s="105">
        <v>403221.431694003</v>
      </c>
      <c r="J792" s="105"/>
      <c r="K792" s="105"/>
      <c r="L792" s="105">
        <v>0</v>
      </c>
      <c r="M792" s="105"/>
      <c r="N792" s="105">
        <v>403221.431694003</v>
      </c>
      <c r="O792" s="105">
        <v>204502.64121400303</v>
      </c>
      <c r="P792" s="105">
        <v>198718.79047999997</v>
      </c>
      <c r="Q792" s="105">
        <v>0</v>
      </c>
      <c r="R792" s="105"/>
      <c r="S792" s="105"/>
      <c r="T792" s="105">
        <v>2703657.0133333332</v>
      </c>
      <c r="U792" s="111"/>
      <c r="V792" s="111"/>
      <c r="W792" s="111"/>
      <c r="X792" s="111"/>
      <c r="Y792" s="111"/>
    </row>
    <row r="793" spans="1:25" x14ac:dyDescent="0.25">
      <c r="A793" s="104">
        <v>17</v>
      </c>
      <c r="B793" s="193" t="s">
        <v>1025</v>
      </c>
      <c r="C793" s="194" t="s">
        <v>1245</v>
      </c>
      <c r="D793" s="105">
        <v>355111.563333333</v>
      </c>
      <c r="E793" s="13"/>
      <c r="F793" s="105">
        <v>276568.88179253176</v>
      </c>
      <c r="G793" s="105"/>
      <c r="H793" s="105">
        <v>0</v>
      </c>
      <c r="I793" s="105">
        <v>78542.681540801219</v>
      </c>
      <c r="J793" s="105"/>
      <c r="K793" s="105"/>
      <c r="L793" s="105">
        <v>0</v>
      </c>
      <c r="M793" s="105"/>
      <c r="N793" s="105">
        <v>78542.681540801219</v>
      </c>
      <c r="O793" s="105">
        <v>39834.653023387538</v>
      </c>
      <c r="P793" s="105">
        <v>38708.028517413673</v>
      </c>
      <c r="Q793" s="105">
        <v>0</v>
      </c>
      <c r="R793" s="105"/>
      <c r="S793" s="105"/>
      <c r="T793" s="105">
        <v>355111.563333333</v>
      </c>
      <c r="U793" s="111"/>
      <c r="V793" s="111"/>
      <c r="W793" s="111"/>
    </row>
    <row r="794" spans="1:25" x14ac:dyDescent="0.25">
      <c r="A794" s="104">
        <v>18</v>
      </c>
      <c r="B794" s="193" t="s">
        <v>20</v>
      </c>
      <c r="C794" s="13"/>
      <c r="D794" s="105">
        <v>364908741.19874769</v>
      </c>
      <c r="E794" s="13"/>
      <c r="F794" s="105">
        <v>320172704.9168539</v>
      </c>
      <c r="G794" s="105"/>
      <c r="H794" s="105">
        <v>44253252.446478732</v>
      </c>
      <c r="I794" s="105">
        <v>482783.83541504113</v>
      </c>
      <c r="J794" s="105"/>
      <c r="K794" s="105"/>
      <c r="L794" s="105">
        <v>1019.7221802368832</v>
      </c>
      <c r="M794" s="105"/>
      <c r="N794" s="105">
        <v>481764.11323480424</v>
      </c>
      <c r="O794" s="105">
        <v>244337.29423739057</v>
      </c>
      <c r="P794" s="105">
        <v>237426.81899741365</v>
      </c>
      <c r="Q794" s="105">
        <v>0</v>
      </c>
      <c r="R794" s="105"/>
      <c r="S794" s="105"/>
      <c r="T794" s="105"/>
      <c r="U794" s="111" t="s">
        <v>537</v>
      </c>
      <c r="V794" s="111"/>
      <c r="W794" s="111"/>
    </row>
    <row r="795" spans="1:25" x14ac:dyDescent="0.25">
      <c r="A795" s="13"/>
      <c r="B795" s="13"/>
      <c r="C795" s="103"/>
      <c r="D795" s="13"/>
      <c r="E795" s="13"/>
      <c r="F795" s="105"/>
      <c r="G795" s="105"/>
      <c r="H795" s="105"/>
      <c r="I795" s="105"/>
      <c r="J795" s="105"/>
      <c r="K795" s="105"/>
      <c r="L795" s="105"/>
      <c r="M795" s="105"/>
      <c r="N795" s="105"/>
      <c r="O795" s="105"/>
      <c r="P795" s="105"/>
      <c r="Q795" s="105"/>
      <c r="R795" s="105"/>
      <c r="S795" s="105"/>
      <c r="T795" s="105"/>
      <c r="V795" s="111"/>
      <c r="W795" s="111"/>
    </row>
    <row r="796" spans="1:25" x14ac:dyDescent="0.25">
      <c r="A796" s="104">
        <v>19</v>
      </c>
      <c r="B796" s="196" t="s">
        <v>1953</v>
      </c>
      <c r="C796" s="194" t="s">
        <v>1332</v>
      </c>
      <c r="D796" s="105">
        <v>42400580.030656733</v>
      </c>
      <c r="E796" s="13"/>
      <c r="F796" s="105">
        <v>0</v>
      </c>
      <c r="G796" s="105"/>
      <c r="H796" s="105">
        <v>42246290.245874397</v>
      </c>
      <c r="I796" s="105">
        <v>154289.7847823358</v>
      </c>
      <c r="J796" s="105"/>
      <c r="K796" s="105"/>
      <c r="L796" s="105">
        <v>154289.7847823358</v>
      </c>
      <c r="M796" s="105"/>
      <c r="N796" s="105">
        <v>0</v>
      </c>
      <c r="O796" s="105">
        <v>0</v>
      </c>
      <c r="P796" s="105">
        <v>0</v>
      </c>
      <c r="Q796" s="105">
        <v>0</v>
      </c>
      <c r="R796" s="105"/>
      <c r="S796" s="105"/>
      <c r="T796" s="105">
        <v>42400580.030656733</v>
      </c>
      <c r="U796" s="111"/>
      <c r="V796" s="111"/>
      <c r="W796" s="111"/>
      <c r="X796" s="111"/>
      <c r="Y796" s="111"/>
    </row>
    <row r="797" spans="1:25" x14ac:dyDescent="0.25">
      <c r="A797" s="104">
        <v>20</v>
      </c>
      <c r="B797" s="196" t="s">
        <v>1954</v>
      </c>
      <c r="C797" s="194" t="s">
        <v>1410</v>
      </c>
      <c r="D797" s="105">
        <v>680264464.41589546</v>
      </c>
      <c r="E797" s="13"/>
      <c r="F797" s="105">
        <v>678975499.46411705</v>
      </c>
      <c r="G797" s="105"/>
      <c r="H797" s="105">
        <v>0</v>
      </c>
      <c r="I797" s="105">
        <v>1288964.9517783867</v>
      </c>
      <c r="J797" s="105"/>
      <c r="K797" s="105"/>
      <c r="L797" s="105">
        <v>0</v>
      </c>
      <c r="M797" s="105"/>
      <c r="N797" s="105">
        <v>1288964.9517783867</v>
      </c>
      <c r="O797" s="105">
        <v>1279521.1142235012</v>
      </c>
      <c r="P797" s="105">
        <v>9443.837554885522</v>
      </c>
      <c r="Q797" s="105">
        <v>0</v>
      </c>
      <c r="R797" s="105"/>
      <c r="S797" s="105"/>
      <c r="T797" s="105">
        <v>680264464.41589546</v>
      </c>
      <c r="U797" s="111"/>
      <c r="V797" s="116" t="s">
        <v>10</v>
      </c>
      <c r="W797" s="111"/>
      <c r="X797" s="111"/>
      <c r="Y797" s="111"/>
    </row>
    <row r="798" spans="1:25" x14ac:dyDescent="0.25">
      <c r="A798" s="104">
        <v>21</v>
      </c>
      <c r="B798" s="193" t="s">
        <v>21</v>
      </c>
      <c r="C798" s="13"/>
      <c r="D798" s="105">
        <v>722665044.44655216</v>
      </c>
      <c r="E798" s="13"/>
      <c r="F798" s="105">
        <v>678975499.46411705</v>
      </c>
      <c r="G798" s="105"/>
      <c r="H798" s="105">
        <v>42246290.245874397</v>
      </c>
      <c r="I798" s="105">
        <v>1443254.7365607226</v>
      </c>
      <c r="J798" s="105"/>
      <c r="K798" s="105"/>
      <c r="L798" s="105">
        <v>154289.7847823358</v>
      </c>
      <c r="M798" s="105"/>
      <c r="N798" s="105">
        <v>1288964.9517783867</v>
      </c>
      <c r="O798" s="105">
        <v>1279521.1142235012</v>
      </c>
      <c r="P798" s="105">
        <v>9443.837554885522</v>
      </c>
      <c r="Q798" s="105">
        <v>0</v>
      </c>
      <c r="R798" s="105"/>
      <c r="S798" s="105"/>
      <c r="T798" s="105"/>
      <c r="U798" s="111" t="s">
        <v>537</v>
      </c>
      <c r="V798" s="111"/>
      <c r="W798" s="111"/>
    </row>
    <row r="799" spans="1:25" x14ac:dyDescent="0.25">
      <c r="A799" s="13"/>
      <c r="B799" s="13"/>
      <c r="C799" s="13"/>
      <c r="D799" s="13"/>
      <c r="E799" s="13"/>
      <c r="F799" s="105"/>
      <c r="G799" s="105"/>
      <c r="H799" s="105"/>
      <c r="I799" s="105"/>
      <c r="J799" s="105"/>
      <c r="K799" s="105"/>
      <c r="L799" s="105"/>
      <c r="M799" s="105"/>
      <c r="N799" s="105"/>
      <c r="O799" s="105"/>
      <c r="P799" s="105"/>
      <c r="Q799" s="105"/>
      <c r="R799" s="105"/>
      <c r="S799" s="105"/>
      <c r="T799" s="105"/>
      <c r="V799" s="111"/>
      <c r="W799" s="111"/>
    </row>
    <row r="800" spans="1:25" x14ac:dyDescent="0.25">
      <c r="A800" s="104">
        <v>22</v>
      </c>
      <c r="B800" s="193" t="s">
        <v>22</v>
      </c>
      <c r="C800" s="194" t="s">
        <v>1412</v>
      </c>
      <c r="D800" s="105">
        <v>79173255.314442828</v>
      </c>
      <c r="E800" s="13"/>
      <c r="F800" s="105">
        <v>74642091.314206213</v>
      </c>
      <c r="G800" s="105"/>
      <c r="H800" s="105">
        <v>3616033.0768848727</v>
      </c>
      <c r="I800" s="105">
        <v>915130.92335175537</v>
      </c>
      <c r="J800" s="105"/>
      <c r="K800" s="105"/>
      <c r="L800" s="105">
        <v>5279.811621214295</v>
      </c>
      <c r="M800" s="105"/>
      <c r="N800" s="105">
        <v>909851.1117305411</v>
      </c>
      <c r="O800" s="105">
        <v>474245.1947011688</v>
      </c>
      <c r="P800" s="105">
        <v>435605.9170293723</v>
      </c>
      <c r="Q800" s="105">
        <v>5.1740958737258131E-12</v>
      </c>
      <c r="R800" s="105"/>
      <c r="S800" s="105"/>
      <c r="T800" s="105">
        <v>79173255.314442843</v>
      </c>
      <c r="U800" s="111"/>
      <c r="V800" s="116" t="s">
        <v>10</v>
      </c>
      <c r="W800" s="111"/>
      <c r="X800" s="111"/>
      <c r="Y800" s="111"/>
    </row>
    <row r="801" spans="1:25" x14ac:dyDescent="0.25">
      <c r="A801" s="13"/>
      <c r="B801" s="13"/>
      <c r="C801" s="13"/>
      <c r="D801" s="13"/>
      <c r="E801" s="13"/>
      <c r="F801" s="105"/>
      <c r="G801" s="105"/>
      <c r="H801" s="105"/>
      <c r="I801" s="105"/>
      <c r="J801" s="105"/>
      <c r="K801" s="105"/>
      <c r="L801" s="105"/>
      <c r="M801" s="105"/>
      <c r="N801" s="105"/>
      <c r="O801" s="105"/>
      <c r="P801" s="105"/>
      <c r="Q801" s="105"/>
      <c r="R801" s="105"/>
      <c r="S801" s="105"/>
      <c r="T801" s="105"/>
      <c r="V801" s="111"/>
      <c r="W801" s="111"/>
    </row>
    <row r="802" spans="1:25" x14ac:dyDescent="0.25">
      <c r="A802" s="104">
        <v>23</v>
      </c>
      <c r="B802" s="193" t="s">
        <v>23</v>
      </c>
      <c r="C802" s="197" t="s">
        <v>1834</v>
      </c>
      <c r="D802" s="105">
        <v>73066.841372800001</v>
      </c>
      <c r="E802" s="13"/>
      <c r="F802" s="105">
        <v>73066.841372800001</v>
      </c>
      <c r="G802" s="105"/>
      <c r="H802" s="105">
        <v>0</v>
      </c>
      <c r="I802" s="105">
        <v>0</v>
      </c>
      <c r="J802" s="105"/>
      <c r="K802" s="105"/>
      <c r="L802" s="105">
        <v>0</v>
      </c>
      <c r="M802" s="105"/>
      <c r="N802" s="105">
        <v>0</v>
      </c>
      <c r="O802" s="105">
        <v>0</v>
      </c>
      <c r="P802" s="105">
        <v>0</v>
      </c>
      <c r="Q802" s="105">
        <v>0</v>
      </c>
      <c r="R802" s="105"/>
      <c r="S802" s="105"/>
      <c r="T802" s="105">
        <v>73066.841372800001</v>
      </c>
      <c r="U802" s="111"/>
      <c r="V802" s="146" t="s">
        <v>1955</v>
      </c>
      <c r="W802" s="111"/>
      <c r="X802" s="111"/>
      <c r="Y802" s="111"/>
    </row>
    <row r="803" spans="1:25" x14ac:dyDescent="0.25">
      <c r="A803" s="104">
        <v>24</v>
      </c>
      <c r="B803" s="193" t="s">
        <v>24</v>
      </c>
      <c r="C803" s="197" t="s">
        <v>1835</v>
      </c>
      <c r="D803" s="105">
        <v>40383503.534799963</v>
      </c>
      <c r="E803" s="13"/>
      <c r="F803" s="105">
        <v>37758639.769648187</v>
      </c>
      <c r="G803" s="105"/>
      <c r="H803" s="105">
        <v>2037715.9196743318</v>
      </c>
      <c r="I803" s="105">
        <v>587147.8454774468</v>
      </c>
      <c r="J803" s="105"/>
      <c r="K803" s="105"/>
      <c r="L803" s="105">
        <v>2851.0818930418063</v>
      </c>
      <c r="M803" s="105"/>
      <c r="N803" s="105">
        <v>584296.76358440495</v>
      </c>
      <c r="O803" s="105">
        <v>303686.40754330013</v>
      </c>
      <c r="P803" s="105">
        <v>280610.35604110477</v>
      </c>
      <c r="Q803" s="105">
        <v>6.0391350541710271E-14</v>
      </c>
      <c r="R803" s="105"/>
      <c r="S803" s="105"/>
      <c r="T803" s="105">
        <v>40383503.534799971</v>
      </c>
      <c r="U803" s="111"/>
      <c r="V803" s="116" t="s">
        <v>10</v>
      </c>
      <c r="W803" s="111"/>
      <c r="X803" s="111"/>
      <c r="Y803" s="111"/>
    </row>
    <row r="804" spans="1:25" x14ac:dyDescent="0.25">
      <c r="A804" s="104"/>
      <c r="B804" s="193"/>
      <c r="C804" s="194"/>
      <c r="D804" s="105"/>
      <c r="E804" s="13"/>
      <c r="F804" s="105"/>
      <c r="G804" s="105"/>
      <c r="H804" s="105"/>
      <c r="I804" s="105"/>
      <c r="J804" s="105"/>
      <c r="K804" s="105"/>
      <c r="L804" s="105"/>
      <c r="M804" s="105"/>
      <c r="N804" s="105"/>
      <c r="O804" s="105"/>
      <c r="P804" s="105"/>
      <c r="Q804" s="105"/>
      <c r="R804" s="105"/>
      <c r="S804" s="105"/>
      <c r="T804" s="105"/>
      <c r="U804" s="111"/>
      <c r="V804" s="111"/>
      <c r="W804" s="111"/>
      <c r="X804" s="111"/>
      <c r="Y804" s="111"/>
    </row>
    <row r="805" spans="1:25" x14ac:dyDescent="0.25">
      <c r="A805" s="104">
        <v>25</v>
      </c>
      <c r="B805" s="193" t="s">
        <v>25</v>
      </c>
      <c r="C805" s="103"/>
      <c r="D805" s="105">
        <v>3497188448.2267771</v>
      </c>
      <c r="E805" s="13"/>
      <c r="F805" s="105">
        <v>3249389114.0657554</v>
      </c>
      <c r="G805" s="105"/>
      <c r="H805" s="105">
        <v>195146564.82873458</v>
      </c>
      <c r="I805" s="105">
        <v>52652769.332287349</v>
      </c>
      <c r="J805" s="105"/>
      <c r="K805" s="105"/>
      <c r="L805" s="105">
        <v>170248.71866064827</v>
      </c>
      <c r="M805" s="105"/>
      <c r="N805" s="105">
        <v>52482520.613626704</v>
      </c>
      <c r="O805" s="105">
        <v>27263603.382662892</v>
      </c>
      <c r="P805" s="105">
        <v>25218917.230963811</v>
      </c>
      <c r="Q805" s="105">
        <v>5.2344872242675233E-12</v>
      </c>
      <c r="R805" s="105"/>
      <c r="S805" s="105"/>
      <c r="T805" s="105"/>
      <c r="U805" s="111" t="s">
        <v>537</v>
      </c>
      <c r="W805" s="111"/>
    </row>
    <row r="806" spans="1:25" x14ac:dyDescent="0.25">
      <c r="A806" s="13"/>
      <c r="B806" s="13"/>
      <c r="C806" s="103"/>
      <c r="D806" s="13"/>
      <c r="E806" s="13"/>
      <c r="F806" s="105"/>
      <c r="G806" s="105"/>
      <c r="H806" s="105"/>
      <c r="I806" s="105"/>
      <c r="J806" s="105"/>
      <c r="K806" s="105"/>
      <c r="L806" s="105"/>
      <c r="M806" s="105"/>
      <c r="N806" s="105"/>
      <c r="O806" s="105"/>
      <c r="P806" s="105"/>
      <c r="Q806" s="105"/>
      <c r="R806" s="105"/>
      <c r="S806" s="105"/>
      <c r="T806" s="105"/>
      <c r="U806" s="111"/>
      <c r="V806" s="111"/>
      <c r="W806" s="111"/>
    </row>
    <row r="807" spans="1:25" x14ac:dyDescent="0.25">
      <c r="A807" s="104">
        <v>26</v>
      </c>
      <c r="B807" s="193" t="s">
        <v>31</v>
      </c>
      <c r="C807" s="103"/>
      <c r="D807" s="105">
        <v>6583506598.6909037</v>
      </c>
      <c r="E807" s="13"/>
      <c r="F807" s="105">
        <v>6176080356.5448399</v>
      </c>
      <c r="G807" s="105"/>
      <c r="H807" s="105">
        <v>313513581.85950136</v>
      </c>
      <c r="I807" s="105">
        <v>93912660.286563247</v>
      </c>
      <c r="J807" s="105"/>
      <c r="K807" s="105"/>
      <c r="L807" s="105">
        <v>541446.03718470759</v>
      </c>
      <c r="M807" s="105"/>
      <c r="N807" s="105">
        <v>93371214.249378547</v>
      </c>
      <c r="O807" s="105">
        <v>48543417.172433108</v>
      </c>
      <c r="P807" s="105">
        <v>44827797.076945439</v>
      </c>
      <c r="Q807" s="105">
        <v>9.8405646652797123E-12</v>
      </c>
      <c r="R807" s="105"/>
      <c r="S807" s="105"/>
      <c r="T807" s="105"/>
      <c r="U807" s="111"/>
      <c r="V807" s="111"/>
      <c r="W807" s="111"/>
    </row>
    <row r="808" spans="1:25" x14ac:dyDescent="0.25">
      <c r="A808" s="13"/>
      <c r="B808" s="13"/>
      <c r="C808" s="103"/>
      <c r="D808" s="13"/>
      <c r="E808" s="13"/>
      <c r="F808" s="105"/>
      <c r="G808" s="105"/>
      <c r="H808" s="105"/>
      <c r="I808" s="105"/>
      <c r="J808" s="105"/>
      <c r="K808" s="105"/>
      <c r="L808" s="105"/>
      <c r="M808" s="105"/>
      <c r="N808" s="105"/>
      <c r="O808" s="105"/>
      <c r="P808" s="105"/>
      <c r="Q808" s="105"/>
      <c r="R808" s="105"/>
      <c r="S808" s="105"/>
      <c r="T808" s="105"/>
      <c r="U808" s="111"/>
      <c r="W808" s="111"/>
    </row>
    <row r="809" spans="1:25" x14ac:dyDescent="0.25">
      <c r="A809" s="13"/>
      <c r="B809" s="13"/>
      <c r="C809" s="103"/>
      <c r="D809" s="13"/>
      <c r="E809" s="13"/>
      <c r="F809" s="105"/>
      <c r="G809" s="105"/>
      <c r="H809" s="105"/>
      <c r="I809" s="105"/>
      <c r="J809" s="105"/>
      <c r="K809" s="105"/>
      <c r="L809" s="105"/>
      <c r="M809" s="105"/>
      <c r="N809" s="105"/>
      <c r="O809" s="105"/>
      <c r="P809" s="105"/>
      <c r="Q809" s="105"/>
      <c r="R809" s="105"/>
      <c r="S809" s="105"/>
      <c r="T809" s="105"/>
      <c r="U809" s="111"/>
      <c r="W809" s="111"/>
    </row>
    <row r="810" spans="1:25" x14ac:dyDescent="0.25">
      <c r="A810" s="13"/>
      <c r="B810" s="195" t="s">
        <v>26</v>
      </c>
      <c r="C810" s="103"/>
      <c r="D810" s="13"/>
      <c r="E810" s="13"/>
      <c r="F810" s="105"/>
      <c r="G810" s="105"/>
      <c r="H810" s="105"/>
      <c r="I810" s="105"/>
      <c r="J810" s="105"/>
      <c r="K810" s="105"/>
      <c r="L810" s="105"/>
      <c r="M810" s="105"/>
      <c r="N810" s="105"/>
      <c r="O810" s="105"/>
      <c r="P810" s="105"/>
      <c r="Q810" s="105"/>
      <c r="R810" s="105"/>
      <c r="S810" s="105"/>
      <c r="T810" s="105"/>
      <c r="U810" s="111"/>
      <c r="W810" s="111"/>
    </row>
    <row r="811" spans="1:25" x14ac:dyDescent="0.25">
      <c r="A811" s="13"/>
      <c r="B811" s="13"/>
      <c r="C811" s="103"/>
      <c r="D811" s="13"/>
      <c r="E811" s="13"/>
      <c r="F811" s="105"/>
      <c r="G811" s="105"/>
      <c r="H811" s="105"/>
      <c r="I811" s="105"/>
      <c r="J811" s="105"/>
      <c r="K811" s="105"/>
      <c r="L811" s="105"/>
      <c r="M811" s="105"/>
      <c r="N811" s="105"/>
      <c r="O811" s="105"/>
      <c r="P811" s="105"/>
      <c r="Q811" s="105"/>
      <c r="R811" s="105"/>
      <c r="S811" s="105"/>
      <c r="T811" s="105"/>
      <c r="W811" s="111"/>
    </row>
    <row r="812" spans="1:25" x14ac:dyDescent="0.25">
      <c r="A812" s="13"/>
      <c r="B812" s="204" t="s">
        <v>1079</v>
      </c>
      <c r="C812" s="103"/>
      <c r="D812" s="13"/>
      <c r="E812" s="13"/>
      <c r="F812" s="105"/>
      <c r="G812" s="105"/>
      <c r="H812" s="105"/>
      <c r="I812" s="105"/>
      <c r="J812" s="105"/>
      <c r="K812" s="105"/>
      <c r="L812" s="105"/>
      <c r="M812" s="105"/>
      <c r="N812" s="105"/>
      <c r="O812" s="105"/>
      <c r="P812" s="105"/>
      <c r="Q812" s="105"/>
      <c r="R812" s="105"/>
      <c r="S812" s="105"/>
      <c r="T812" s="105"/>
      <c r="W812" s="111"/>
    </row>
    <row r="813" spans="1:25" x14ac:dyDescent="0.25">
      <c r="A813" s="13"/>
      <c r="B813" s="204"/>
      <c r="C813" s="103"/>
      <c r="D813" s="13"/>
      <c r="E813" s="13"/>
      <c r="F813" s="105"/>
      <c r="G813" s="105"/>
      <c r="H813" s="105"/>
      <c r="I813" s="105"/>
      <c r="J813" s="105"/>
      <c r="K813" s="105"/>
      <c r="L813" s="105"/>
      <c r="M813" s="105"/>
      <c r="N813" s="105"/>
      <c r="O813" s="105"/>
      <c r="P813" s="105"/>
      <c r="Q813" s="105"/>
      <c r="R813" s="105"/>
      <c r="S813" s="105"/>
      <c r="T813" s="105"/>
      <c r="W813" s="111"/>
    </row>
    <row r="814" spans="1:25" x14ac:dyDescent="0.25">
      <c r="A814" s="13"/>
      <c r="B814" s="193" t="s">
        <v>7</v>
      </c>
      <c r="C814" s="13"/>
      <c r="D814" s="13"/>
      <c r="E814" s="13"/>
      <c r="F814" s="105"/>
      <c r="G814" s="105"/>
      <c r="H814" s="105"/>
      <c r="I814" s="105"/>
      <c r="J814" s="105"/>
      <c r="K814" s="105"/>
      <c r="L814" s="105"/>
      <c r="M814" s="105"/>
      <c r="N814" s="105"/>
      <c r="O814" s="105"/>
      <c r="P814" s="105"/>
      <c r="Q814" s="105"/>
      <c r="R814" s="105"/>
      <c r="S814" s="105"/>
      <c r="T814" s="105"/>
      <c r="W814" s="111"/>
    </row>
    <row r="815" spans="1:25" x14ac:dyDescent="0.25">
      <c r="A815" s="104">
        <v>1</v>
      </c>
      <c r="B815" s="193" t="s">
        <v>1080</v>
      </c>
      <c r="C815" s="194" t="s">
        <v>472</v>
      </c>
      <c r="D815" s="105">
        <v>127711609.27796942</v>
      </c>
      <c r="E815" s="13"/>
      <c r="F815" s="105">
        <v>119718909.85580269</v>
      </c>
      <c r="G815" s="105"/>
      <c r="H815" s="105">
        <v>5482076.2156413607</v>
      </c>
      <c r="I815" s="105">
        <v>2510623.2065253756</v>
      </c>
      <c r="J815" s="105"/>
      <c r="K815" s="105"/>
      <c r="L815" s="105">
        <v>384.28102284073503</v>
      </c>
      <c r="M815" s="105"/>
      <c r="N815" s="105">
        <v>2510238.925502535</v>
      </c>
      <c r="O815" s="105">
        <v>1273123.0286713562</v>
      </c>
      <c r="P815" s="105">
        <v>1237115.8968311788</v>
      </c>
      <c r="Q815" s="105">
        <v>0</v>
      </c>
      <c r="R815" s="105"/>
      <c r="S815" s="105"/>
      <c r="T815" s="105">
        <v>127711609.27796942</v>
      </c>
      <c r="U815" s="111"/>
      <c r="V815" s="111"/>
      <c r="W815" s="111"/>
      <c r="X815" s="111"/>
      <c r="Y815" s="111"/>
    </row>
    <row r="816" spans="1:25" x14ac:dyDescent="0.25">
      <c r="A816" s="104">
        <v>2</v>
      </c>
      <c r="B816" s="193" t="s">
        <v>1081</v>
      </c>
      <c r="C816" s="194" t="s">
        <v>1239</v>
      </c>
      <c r="D816" s="105">
        <v>0</v>
      </c>
      <c r="E816" s="13"/>
      <c r="F816" s="105">
        <v>0</v>
      </c>
      <c r="G816" s="105"/>
      <c r="H816" s="105">
        <v>0</v>
      </c>
      <c r="I816" s="105">
        <v>0</v>
      </c>
      <c r="J816" s="105"/>
      <c r="K816" s="105"/>
      <c r="L816" s="105">
        <v>0</v>
      </c>
      <c r="M816" s="105"/>
      <c r="N816" s="105">
        <v>0</v>
      </c>
      <c r="O816" s="105">
        <v>0</v>
      </c>
      <c r="P816" s="105">
        <v>0</v>
      </c>
      <c r="Q816" s="105">
        <v>0</v>
      </c>
      <c r="R816" s="105"/>
      <c r="S816" s="105"/>
      <c r="T816" s="105">
        <v>0</v>
      </c>
      <c r="U816" s="111"/>
      <c r="V816" s="111"/>
      <c r="W816" s="111"/>
      <c r="X816" s="111"/>
      <c r="Y816" s="111"/>
    </row>
    <row r="817" spans="1:25" x14ac:dyDescent="0.25">
      <c r="A817" s="104">
        <v>3</v>
      </c>
      <c r="B817" s="193" t="s">
        <v>1082</v>
      </c>
      <c r="C817" s="194" t="s">
        <v>1245</v>
      </c>
      <c r="D817" s="105">
        <v>961676.92</v>
      </c>
      <c r="E817" s="13"/>
      <c r="F817" s="105">
        <v>748975.63997494429</v>
      </c>
      <c r="G817" s="105"/>
      <c r="H817" s="105">
        <v>0</v>
      </c>
      <c r="I817" s="105">
        <v>212701.28002505572</v>
      </c>
      <c r="J817" s="105"/>
      <c r="K817" s="105"/>
      <c r="L817" s="105">
        <v>0</v>
      </c>
      <c r="M817" s="105"/>
      <c r="N817" s="105">
        <v>212701.28002505572</v>
      </c>
      <c r="O817" s="105">
        <v>107876.14480703727</v>
      </c>
      <c r="P817" s="105">
        <v>104825.13521801845</v>
      </c>
      <c r="Q817" s="105">
        <v>0</v>
      </c>
      <c r="R817" s="105"/>
      <c r="S817" s="105"/>
      <c r="T817" s="105">
        <v>961676.92</v>
      </c>
      <c r="U817" s="124"/>
      <c r="V817" s="111"/>
      <c r="W817" s="111"/>
      <c r="X817" s="111"/>
      <c r="Y817" s="111"/>
    </row>
    <row r="818" spans="1:25" x14ac:dyDescent="0.25">
      <c r="A818" s="104">
        <v>4</v>
      </c>
      <c r="B818" s="193" t="s">
        <v>1083</v>
      </c>
      <c r="C818" s="13"/>
      <c r="D818" s="105">
        <v>128673286.19796944</v>
      </c>
      <c r="E818" s="13"/>
      <c r="F818" s="105">
        <v>120467885.49577764</v>
      </c>
      <c r="G818" s="105"/>
      <c r="H818" s="105">
        <v>5482076.2156413607</v>
      </c>
      <c r="I818" s="105">
        <v>2723324.4865504312</v>
      </c>
      <c r="J818" s="105"/>
      <c r="K818" s="105"/>
      <c r="L818" s="105">
        <v>384.28102284073503</v>
      </c>
      <c r="M818" s="105"/>
      <c r="N818" s="105">
        <v>2722940.2055275906</v>
      </c>
      <c r="O818" s="105">
        <v>1380999.1734783933</v>
      </c>
      <c r="P818" s="105">
        <v>1341941.0320491972</v>
      </c>
      <c r="Q818" s="105">
        <v>0</v>
      </c>
      <c r="R818" s="105"/>
      <c r="S818" s="105"/>
      <c r="T818" s="105"/>
      <c r="U818" s="124">
        <v>2.1161659004637751E-2</v>
      </c>
      <c r="W818" s="111"/>
    </row>
    <row r="819" spans="1:25" x14ac:dyDescent="0.25">
      <c r="A819" s="13"/>
      <c r="B819" s="13"/>
      <c r="C819" s="13"/>
      <c r="D819" s="13"/>
      <c r="E819" s="13"/>
      <c r="F819" s="105"/>
      <c r="G819" s="105"/>
      <c r="H819" s="105"/>
      <c r="I819" s="105"/>
      <c r="J819" s="105"/>
      <c r="K819" s="105"/>
      <c r="L819" s="105"/>
      <c r="M819" s="105"/>
      <c r="N819" s="105"/>
      <c r="O819" s="105"/>
      <c r="P819" s="105"/>
      <c r="Q819" s="105"/>
      <c r="R819" s="105"/>
      <c r="S819" s="105"/>
      <c r="T819" s="105"/>
      <c r="W819" s="111"/>
    </row>
    <row r="820" spans="1:25" x14ac:dyDescent="0.25">
      <c r="A820" s="13"/>
      <c r="B820" s="193" t="s">
        <v>19</v>
      </c>
      <c r="C820" s="103"/>
      <c r="D820" s="13"/>
      <c r="E820" s="13"/>
      <c r="F820" s="105"/>
      <c r="G820" s="105"/>
      <c r="H820" s="105"/>
      <c r="I820" s="105"/>
      <c r="J820" s="105"/>
      <c r="K820" s="105"/>
      <c r="L820" s="105"/>
      <c r="M820" s="105"/>
      <c r="N820" s="105"/>
      <c r="O820" s="105"/>
      <c r="P820" s="105"/>
      <c r="Q820" s="105"/>
      <c r="R820" s="105"/>
      <c r="S820" s="105"/>
      <c r="T820" s="105"/>
      <c r="W820" s="111"/>
    </row>
    <row r="821" spans="1:25" x14ac:dyDescent="0.25">
      <c r="A821" s="104">
        <v>5</v>
      </c>
      <c r="B821" s="193" t="s">
        <v>1080</v>
      </c>
      <c r="C821" s="194" t="s">
        <v>2028</v>
      </c>
      <c r="D821" s="105">
        <v>61419122.710769147</v>
      </c>
      <c r="E821" s="13"/>
      <c r="F821" s="105">
        <v>58686002.266612828</v>
      </c>
      <c r="G821" s="105"/>
      <c r="H821" s="105">
        <v>2732932.5446365969</v>
      </c>
      <c r="I821" s="105">
        <v>187.89951971726947</v>
      </c>
      <c r="J821" s="105"/>
      <c r="K821" s="105"/>
      <c r="L821" s="105">
        <v>187.89951971726947</v>
      </c>
      <c r="M821" s="105"/>
      <c r="N821" s="105">
        <v>0</v>
      </c>
      <c r="O821" s="105">
        <v>0</v>
      </c>
      <c r="P821" s="105">
        <v>0</v>
      </c>
      <c r="Q821" s="105">
        <v>0</v>
      </c>
      <c r="R821" s="105"/>
      <c r="S821" s="105"/>
      <c r="T821" s="105">
        <v>61419122.710769139</v>
      </c>
      <c r="U821" s="111"/>
      <c r="V821" s="111"/>
      <c r="W821" s="111"/>
      <c r="X821" s="111"/>
      <c r="Y821" s="111"/>
    </row>
    <row r="822" spans="1:25" x14ac:dyDescent="0.25">
      <c r="A822" s="104">
        <v>6</v>
      </c>
      <c r="B822" s="193" t="s">
        <v>1084</v>
      </c>
      <c r="C822" s="194" t="s">
        <v>2028</v>
      </c>
      <c r="D822" s="105">
        <v>0</v>
      </c>
      <c r="E822" s="13"/>
      <c r="F822" s="105">
        <v>0</v>
      </c>
      <c r="G822" s="105"/>
      <c r="H822" s="105">
        <v>0</v>
      </c>
      <c r="I822" s="105">
        <v>0</v>
      </c>
      <c r="J822" s="105"/>
      <c r="K822" s="105"/>
      <c r="L822" s="105">
        <v>0</v>
      </c>
      <c r="M822" s="105"/>
      <c r="N822" s="105">
        <v>0</v>
      </c>
      <c r="O822" s="105">
        <v>0</v>
      </c>
      <c r="P822" s="105">
        <v>0</v>
      </c>
      <c r="Q822" s="105">
        <v>0</v>
      </c>
      <c r="R822" s="105"/>
      <c r="S822" s="105"/>
      <c r="T822" s="105">
        <v>0</v>
      </c>
      <c r="U822" s="111"/>
      <c r="V822" s="111"/>
      <c r="W822" s="111"/>
      <c r="X822" s="111"/>
      <c r="Y822" s="111"/>
    </row>
    <row r="823" spans="1:25" x14ac:dyDescent="0.25">
      <c r="A823" s="104">
        <v>7</v>
      </c>
      <c r="B823" s="193" t="s">
        <v>1085</v>
      </c>
      <c r="C823" s="194" t="s">
        <v>1404</v>
      </c>
      <c r="D823" s="105">
        <v>3518072.8969230745</v>
      </c>
      <c r="E823" s="13"/>
      <c r="F823" s="105">
        <v>0</v>
      </c>
      <c r="G823" s="105"/>
      <c r="H823" s="105">
        <v>3518072.8969230745</v>
      </c>
      <c r="I823" s="105">
        <v>0</v>
      </c>
      <c r="J823" s="105"/>
      <c r="K823" s="105"/>
      <c r="L823" s="105">
        <v>0</v>
      </c>
      <c r="M823" s="105"/>
      <c r="N823" s="105">
        <v>0</v>
      </c>
      <c r="O823" s="105">
        <v>0</v>
      </c>
      <c r="P823" s="105">
        <v>0</v>
      </c>
      <c r="Q823" s="105">
        <v>0</v>
      </c>
      <c r="R823" s="105"/>
      <c r="S823" s="105"/>
      <c r="T823" s="105">
        <v>3518072.8969230745</v>
      </c>
      <c r="U823" s="111"/>
      <c r="V823" s="111"/>
      <c r="W823" s="111"/>
      <c r="X823" s="111"/>
      <c r="Y823" s="111"/>
    </row>
    <row r="824" spans="1:25" x14ac:dyDescent="0.25">
      <c r="A824" s="104">
        <v>8</v>
      </c>
      <c r="B824" s="193" t="s">
        <v>1081</v>
      </c>
      <c r="C824" s="194" t="s">
        <v>1239</v>
      </c>
      <c r="D824" s="105">
        <v>0</v>
      </c>
      <c r="E824" s="13"/>
      <c r="F824" s="105">
        <v>0</v>
      </c>
      <c r="G824" s="105"/>
      <c r="H824" s="105">
        <v>0</v>
      </c>
      <c r="I824" s="105">
        <v>0</v>
      </c>
      <c r="J824" s="105"/>
      <c r="K824" s="105"/>
      <c r="L824" s="105">
        <v>0</v>
      </c>
      <c r="M824" s="105"/>
      <c r="N824" s="105">
        <v>0</v>
      </c>
      <c r="O824" s="105">
        <v>0</v>
      </c>
      <c r="P824" s="105">
        <v>0</v>
      </c>
      <c r="Q824" s="105">
        <v>0</v>
      </c>
      <c r="R824" s="105"/>
      <c r="S824" s="105"/>
      <c r="T824" s="105">
        <v>0</v>
      </c>
      <c r="U824" s="111"/>
      <c r="V824" s="111"/>
      <c r="W824" s="111"/>
      <c r="X824" s="111"/>
      <c r="Y824" s="111"/>
    </row>
    <row r="825" spans="1:25" x14ac:dyDescent="0.25">
      <c r="A825" s="104">
        <v>9</v>
      </c>
      <c r="B825" s="193" t="s">
        <v>1082</v>
      </c>
      <c r="C825" s="194" t="s">
        <v>1245</v>
      </c>
      <c r="D825" s="105">
        <v>0</v>
      </c>
      <c r="E825" s="13"/>
      <c r="F825" s="105">
        <v>0</v>
      </c>
      <c r="G825" s="105"/>
      <c r="H825" s="105">
        <v>0</v>
      </c>
      <c r="I825" s="105">
        <v>0</v>
      </c>
      <c r="J825" s="105"/>
      <c r="K825" s="105"/>
      <c r="L825" s="105">
        <v>0</v>
      </c>
      <c r="M825" s="105"/>
      <c r="N825" s="105">
        <v>0</v>
      </c>
      <c r="O825" s="105">
        <v>0</v>
      </c>
      <c r="P825" s="105">
        <v>0</v>
      </c>
      <c r="Q825" s="105">
        <v>0</v>
      </c>
      <c r="R825" s="105"/>
      <c r="S825" s="105"/>
      <c r="T825" s="105">
        <v>0</v>
      </c>
      <c r="U825" s="111"/>
      <c r="V825" s="111"/>
      <c r="W825" s="111"/>
      <c r="X825" s="111"/>
      <c r="Y825" s="111"/>
    </row>
    <row r="826" spans="1:25" x14ac:dyDescent="0.25">
      <c r="A826" s="104">
        <v>10</v>
      </c>
      <c r="B826" s="193" t="s">
        <v>1086</v>
      </c>
      <c r="C826" s="13"/>
      <c r="D826" s="105">
        <v>64937195.607692219</v>
      </c>
      <c r="E826" s="13"/>
      <c r="F826" s="105">
        <v>58686002.266612828</v>
      </c>
      <c r="G826" s="105"/>
      <c r="H826" s="105">
        <v>6251005.4415596714</v>
      </c>
      <c r="I826" s="105">
        <v>187.89951971726947</v>
      </c>
      <c r="J826" s="105"/>
      <c r="K826" s="105"/>
      <c r="L826" s="105">
        <v>187.89951971726947</v>
      </c>
      <c r="M826" s="105"/>
      <c r="N826" s="105">
        <v>0</v>
      </c>
      <c r="O826" s="105">
        <v>0</v>
      </c>
      <c r="P826" s="105">
        <v>0</v>
      </c>
      <c r="Q826" s="105">
        <v>0</v>
      </c>
      <c r="R826" s="105"/>
      <c r="S826" s="105"/>
      <c r="T826" s="105"/>
      <c r="W826" s="111"/>
    </row>
    <row r="827" spans="1:25" x14ac:dyDescent="0.25">
      <c r="A827" s="117"/>
      <c r="B827" s="117"/>
      <c r="C827" s="117"/>
      <c r="D827" s="117"/>
      <c r="E827" s="117"/>
      <c r="F827" s="105"/>
      <c r="G827" s="105"/>
      <c r="H827" s="105"/>
      <c r="I827" s="105"/>
      <c r="J827" s="105"/>
      <c r="K827" s="105"/>
      <c r="L827" s="105"/>
      <c r="M827" s="105"/>
      <c r="N827" s="105"/>
      <c r="O827" s="105"/>
      <c r="P827" s="105"/>
      <c r="Q827" s="105"/>
      <c r="R827" s="105"/>
      <c r="S827" s="105"/>
      <c r="T827" s="105"/>
      <c r="U827" s="124"/>
      <c r="W827" s="111"/>
    </row>
    <row r="828" spans="1:25" x14ac:dyDescent="0.25">
      <c r="A828" s="104">
        <v>11</v>
      </c>
      <c r="B828" s="196" t="s">
        <v>1087</v>
      </c>
      <c r="C828" s="194" t="s">
        <v>1334</v>
      </c>
      <c r="D828" s="105">
        <v>9122.9692307694077</v>
      </c>
      <c r="E828" s="13"/>
      <c r="F828" s="105">
        <v>0</v>
      </c>
      <c r="G828" s="105"/>
      <c r="H828" s="105">
        <v>9122.9692307694077</v>
      </c>
      <c r="I828" s="105">
        <v>0</v>
      </c>
      <c r="J828" s="105"/>
      <c r="K828" s="105"/>
      <c r="L828" s="105">
        <v>0</v>
      </c>
      <c r="M828" s="105"/>
      <c r="N828" s="105">
        <v>0</v>
      </c>
      <c r="O828" s="105">
        <v>0</v>
      </c>
      <c r="P828" s="105">
        <v>0</v>
      </c>
      <c r="Q828" s="105">
        <v>0</v>
      </c>
      <c r="R828" s="105"/>
      <c r="S828" s="105"/>
      <c r="T828" s="105">
        <v>9122.9692307694077</v>
      </c>
      <c r="U828" s="111"/>
      <c r="V828" s="111"/>
      <c r="W828" s="111"/>
      <c r="X828" s="111"/>
      <c r="Y828" s="111"/>
    </row>
    <row r="829" spans="1:25" x14ac:dyDescent="0.25">
      <c r="A829" s="104">
        <v>12</v>
      </c>
      <c r="B829" s="196" t="s">
        <v>1956</v>
      </c>
      <c r="C829" s="194" t="s">
        <v>1318</v>
      </c>
      <c r="D829" s="105">
        <v>21055068.026923075</v>
      </c>
      <c r="E829" s="13"/>
      <c r="F829" s="105">
        <v>21055068.026923075</v>
      </c>
      <c r="G829" s="105"/>
      <c r="H829" s="105">
        <v>0</v>
      </c>
      <c r="I829" s="105">
        <v>0</v>
      </c>
      <c r="J829" s="105"/>
      <c r="K829" s="105"/>
      <c r="L829" s="105">
        <v>0</v>
      </c>
      <c r="M829" s="105"/>
      <c r="N829" s="105">
        <v>0</v>
      </c>
      <c r="O829" s="105">
        <v>0</v>
      </c>
      <c r="P829" s="105">
        <v>0</v>
      </c>
      <c r="Q829" s="105">
        <v>0</v>
      </c>
      <c r="R829" s="105"/>
      <c r="S829" s="105"/>
      <c r="T829" s="105">
        <v>21055068.026923075</v>
      </c>
      <c r="U829" s="111"/>
      <c r="V829" s="108" t="s">
        <v>2032</v>
      </c>
      <c r="X829" s="111"/>
      <c r="Y829" s="111"/>
    </row>
    <row r="830" spans="1:25" x14ac:dyDescent="0.25">
      <c r="A830" s="104">
        <v>13</v>
      </c>
      <c r="B830" s="193" t="s">
        <v>1088</v>
      </c>
      <c r="C830" s="13"/>
      <c r="D830" s="105">
        <v>21064190.996153846</v>
      </c>
      <c r="E830" s="13"/>
      <c r="F830" s="105">
        <v>21055068.026923075</v>
      </c>
      <c r="G830" s="105"/>
      <c r="H830" s="105">
        <v>9122.9692307694077</v>
      </c>
      <c r="I830" s="105">
        <v>0</v>
      </c>
      <c r="J830" s="105"/>
      <c r="K830" s="105"/>
      <c r="L830" s="105">
        <v>0</v>
      </c>
      <c r="M830" s="105"/>
      <c r="N830" s="105">
        <v>0</v>
      </c>
      <c r="O830" s="105">
        <v>0</v>
      </c>
      <c r="P830" s="105">
        <v>0</v>
      </c>
      <c r="Q830" s="105">
        <v>0</v>
      </c>
      <c r="R830" s="105"/>
      <c r="S830" s="105"/>
      <c r="T830" s="105"/>
      <c r="U830" s="111"/>
      <c r="W830" s="111"/>
    </row>
    <row r="831" spans="1:25" x14ac:dyDescent="0.25">
      <c r="A831" s="13"/>
      <c r="B831" s="13"/>
      <c r="C831" s="13"/>
      <c r="D831" s="13"/>
      <c r="E831" s="13"/>
      <c r="F831" s="105"/>
      <c r="G831" s="105"/>
      <c r="H831" s="105"/>
      <c r="I831" s="105"/>
      <c r="J831" s="105"/>
      <c r="K831" s="105"/>
      <c r="L831" s="105"/>
      <c r="M831" s="105"/>
      <c r="N831" s="105"/>
      <c r="O831" s="105"/>
      <c r="P831" s="105"/>
      <c r="Q831" s="105"/>
      <c r="R831" s="105"/>
      <c r="S831" s="105"/>
      <c r="T831" s="105"/>
      <c r="W831" s="111"/>
    </row>
    <row r="832" spans="1:25" x14ac:dyDescent="0.25">
      <c r="A832" s="104">
        <v>14</v>
      </c>
      <c r="B832" s="193" t="s">
        <v>1089</v>
      </c>
      <c r="C832" s="194" t="s">
        <v>1412</v>
      </c>
      <c r="D832" s="105">
        <v>23939501.055384547</v>
      </c>
      <c r="E832" s="13"/>
      <c r="F832" s="105">
        <v>22569419.64424422</v>
      </c>
      <c r="G832" s="105"/>
      <c r="H832" s="105">
        <v>1093374.6164230208</v>
      </c>
      <c r="I832" s="105">
        <v>276706.79471730586</v>
      </c>
      <c r="J832" s="105"/>
      <c r="K832" s="105"/>
      <c r="L832" s="105">
        <v>1596.448893964247</v>
      </c>
      <c r="M832" s="105"/>
      <c r="N832" s="105">
        <v>275110.34582334163</v>
      </c>
      <c r="O832" s="105">
        <v>143396.82376289286</v>
      </c>
      <c r="P832" s="105">
        <v>131713.5220604488</v>
      </c>
      <c r="Q832" s="105">
        <v>1.5644837784903401E-12</v>
      </c>
      <c r="R832" s="105"/>
      <c r="S832" s="105"/>
      <c r="T832" s="105">
        <v>23939501.055384547</v>
      </c>
      <c r="U832" s="111"/>
      <c r="V832" s="111"/>
      <c r="W832" s="118">
        <v>238614173.8572</v>
      </c>
      <c r="X832" s="118">
        <v>238614173.85720006</v>
      </c>
      <c r="Y832" s="119">
        <v>0</v>
      </c>
    </row>
    <row r="833" spans="1:26" x14ac:dyDescent="0.25">
      <c r="A833" s="13"/>
      <c r="B833" s="13"/>
      <c r="C833" s="13"/>
      <c r="D833" s="13"/>
      <c r="E833" s="13"/>
      <c r="F833" s="105"/>
      <c r="G833" s="105"/>
      <c r="H833" s="105"/>
      <c r="I833" s="105"/>
      <c r="J833" s="105"/>
      <c r="K833" s="105"/>
      <c r="L833" s="105"/>
      <c r="M833" s="105"/>
      <c r="N833" s="105"/>
      <c r="O833" s="105"/>
      <c r="P833" s="105"/>
      <c r="Q833" s="105"/>
      <c r="R833" s="105"/>
      <c r="S833" s="105"/>
      <c r="T833" s="105"/>
      <c r="U833" s="111"/>
      <c r="W833" s="111"/>
    </row>
    <row r="834" spans="1:26" x14ac:dyDescent="0.25">
      <c r="A834" s="104">
        <v>15</v>
      </c>
      <c r="B834" s="193" t="s">
        <v>1090</v>
      </c>
      <c r="C834" s="103"/>
      <c r="D834" s="105">
        <v>238614173.85720006</v>
      </c>
      <c r="E834" s="13"/>
      <c r="F834" s="105">
        <v>222778375.43355778</v>
      </c>
      <c r="G834" s="105"/>
      <c r="H834" s="105">
        <v>12835579.242854822</v>
      </c>
      <c r="I834" s="105">
        <v>3000219.1807874544</v>
      </c>
      <c r="J834" s="105"/>
      <c r="K834" s="105"/>
      <c r="L834" s="105">
        <v>2168.6294365222516</v>
      </c>
      <c r="M834" s="105"/>
      <c r="N834" s="105">
        <v>2998050.5513509321</v>
      </c>
      <c r="O834" s="105">
        <v>1524395.9972412861</v>
      </c>
      <c r="P834" s="105">
        <v>1473654.554109646</v>
      </c>
      <c r="Q834" s="105">
        <v>1.5644837784903401E-12</v>
      </c>
      <c r="R834" s="105"/>
      <c r="S834" s="105"/>
      <c r="T834" s="105"/>
      <c r="U834" s="15" t="s">
        <v>537</v>
      </c>
      <c r="W834" s="111"/>
    </row>
    <row r="835" spans="1:26" x14ac:dyDescent="0.25">
      <c r="A835" s="13"/>
      <c r="B835" s="13"/>
      <c r="C835" s="103"/>
      <c r="D835" s="13"/>
      <c r="E835" s="13"/>
      <c r="F835" s="105"/>
      <c r="G835" s="105"/>
      <c r="H835" s="105"/>
      <c r="I835" s="105"/>
      <c r="J835" s="105"/>
      <c r="K835" s="105"/>
      <c r="L835" s="105"/>
      <c r="M835" s="105"/>
      <c r="N835" s="105"/>
      <c r="O835" s="105"/>
      <c r="P835" s="105"/>
      <c r="Q835" s="105"/>
      <c r="R835" s="105"/>
      <c r="S835" s="105"/>
      <c r="T835" s="105"/>
      <c r="W835" s="111"/>
    </row>
    <row r="836" spans="1:26" x14ac:dyDescent="0.25">
      <c r="A836" s="13"/>
      <c r="B836" s="193" t="s">
        <v>1091</v>
      </c>
      <c r="C836" s="103"/>
      <c r="D836" s="13"/>
      <c r="E836" s="13"/>
      <c r="F836" s="105"/>
      <c r="G836" s="105"/>
      <c r="H836" s="105"/>
      <c r="I836" s="105"/>
      <c r="J836" s="105"/>
      <c r="K836" s="105"/>
      <c r="L836" s="105"/>
      <c r="M836" s="105"/>
      <c r="N836" s="105"/>
      <c r="O836" s="105"/>
      <c r="P836" s="105"/>
      <c r="Q836" s="105"/>
      <c r="R836" s="105"/>
      <c r="S836" s="105"/>
      <c r="T836" s="105"/>
      <c r="W836" s="111"/>
    </row>
    <row r="837" spans="1:26" x14ac:dyDescent="0.25">
      <c r="A837" s="13"/>
      <c r="B837" s="193" t="s">
        <v>544</v>
      </c>
      <c r="C837" s="103"/>
      <c r="D837" s="13"/>
      <c r="E837" s="13"/>
      <c r="F837" s="105"/>
      <c r="G837" s="105"/>
      <c r="H837" s="105"/>
      <c r="I837" s="105"/>
      <c r="J837" s="105"/>
      <c r="K837" s="105"/>
      <c r="L837" s="105"/>
      <c r="M837" s="105"/>
      <c r="N837" s="105"/>
      <c r="O837" s="105"/>
      <c r="P837" s="105"/>
      <c r="Q837" s="105"/>
      <c r="R837" s="105"/>
      <c r="S837" s="105"/>
      <c r="T837" s="105"/>
      <c r="W837" s="111"/>
    </row>
    <row r="838" spans="1:26" x14ac:dyDescent="0.25">
      <c r="A838" s="104">
        <v>16</v>
      </c>
      <c r="B838" s="193" t="s">
        <v>545</v>
      </c>
      <c r="C838" s="194" t="s">
        <v>1343</v>
      </c>
      <c r="D838" s="105">
        <v>62955456.000000007</v>
      </c>
      <c r="E838" s="13"/>
      <c r="F838" s="105">
        <v>59241660.740988947</v>
      </c>
      <c r="G838" s="105"/>
      <c r="H838" s="105">
        <v>2416789.5602463312</v>
      </c>
      <c r="I838" s="105">
        <v>1297005.6987647284</v>
      </c>
      <c r="J838" s="105"/>
      <c r="K838" s="105"/>
      <c r="L838" s="105">
        <v>265.13329903306823</v>
      </c>
      <c r="M838" s="105"/>
      <c r="N838" s="105">
        <v>1296740.5654656952</v>
      </c>
      <c r="O838" s="105">
        <v>656679.3526504836</v>
      </c>
      <c r="P838" s="105">
        <v>640061.2128152115</v>
      </c>
      <c r="Q838" s="105">
        <v>0</v>
      </c>
      <c r="R838" s="105"/>
      <c r="S838" s="105"/>
      <c r="T838" s="105">
        <v>62955456</v>
      </c>
      <c r="U838" s="111"/>
      <c r="V838" s="111" t="s">
        <v>546</v>
      </c>
      <c r="W838" s="111"/>
      <c r="X838" s="111">
        <v>68483713.423098311</v>
      </c>
      <c r="Y838" s="146" t="s">
        <v>2141</v>
      </c>
      <c r="Z838" s="111" t="s">
        <v>1735</v>
      </c>
    </row>
    <row r="839" spans="1:26" x14ac:dyDescent="0.25">
      <c r="A839" s="13"/>
      <c r="B839" s="193" t="s">
        <v>547</v>
      </c>
      <c r="C839" s="103"/>
      <c r="D839" s="13"/>
      <c r="E839" s="13"/>
      <c r="F839" s="105"/>
      <c r="G839" s="105"/>
      <c r="H839" s="105"/>
      <c r="I839" s="105"/>
      <c r="J839" s="105"/>
      <c r="K839" s="105"/>
      <c r="L839" s="105"/>
      <c r="M839" s="105"/>
      <c r="N839" s="105"/>
      <c r="O839" s="105"/>
      <c r="P839" s="105"/>
      <c r="Q839" s="105"/>
      <c r="R839" s="105"/>
      <c r="S839" s="105"/>
      <c r="T839" s="105"/>
      <c r="W839" s="111"/>
    </row>
    <row r="840" spans="1:26" x14ac:dyDescent="0.25">
      <c r="A840" s="104">
        <v>17</v>
      </c>
      <c r="B840" s="193" t="s">
        <v>548</v>
      </c>
      <c r="C840" s="194" t="s">
        <v>880</v>
      </c>
      <c r="D840" s="105">
        <v>31487351.844800003</v>
      </c>
      <c r="E840" s="13"/>
      <c r="F840" s="105">
        <v>29461087.472353283</v>
      </c>
      <c r="G840" s="105"/>
      <c r="H840" s="105">
        <v>1368237.154066639</v>
      </c>
      <c r="I840" s="105">
        <v>658027.21838007716</v>
      </c>
      <c r="J840" s="105"/>
      <c r="K840" s="105"/>
      <c r="L840" s="105">
        <v>94.075397676484201</v>
      </c>
      <c r="M840" s="105"/>
      <c r="N840" s="105">
        <v>657933.14298240072</v>
      </c>
      <c r="O840" s="105">
        <v>333685.30268063227</v>
      </c>
      <c r="P840" s="105">
        <v>324247.84030176851</v>
      </c>
      <c r="Q840" s="105">
        <v>0</v>
      </c>
      <c r="R840" s="105"/>
      <c r="S840" s="105"/>
      <c r="T840" s="105">
        <v>31487351.844799999</v>
      </c>
      <c r="U840" s="111"/>
      <c r="V840" s="111" t="s">
        <v>546</v>
      </c>
      <c r="W840" s="111"/>
      <c r="X840" s="111">
        <v>32194495.402561281</v>
      </c>
      <c r="Y840" s="146" t="s">
        <v>2141</v>
      </c>
      <c r="Z840" s="111" t="s">
        <v>1735</v>
      </c>
    </row>
    <row r="841" spans="1:26" x14ac:dyDescent="0.25">
      <c r="A841" s="104">
        <v>18</v>
      </c>
      <c r="B841" s="193" t="s">
        <v>549</v>
      </c>
      <c r="C841" s="194" t="s">
        <v>2021</v>
      </c>
      <c r="D841" s="105">
        <v>9701208.754999999</v>
      </c>
      <c r="E841" s="13"/>
      <c r="F841" s="105">
        <v>8787072.2265851256</v>
      </c>
      <c r="G841" s="105"/>
      <c r="H841" s="105">
        <v>914108.39359945268</v>
      </c>
      <c r="I841" s="105">
        <v>28.134815421463653</v>
      </c>
      <c r="J841" s="105"/>
      <c r="K841" s="105"/>
      <c r="L841" s="105">
        <v>28.134815421463653</v>
      </c>
      <c r="M841" s="105"/>
      <c r="N841" s="105">
        <v>0</v>
      </c>
      <c r="O841" s="105">
        <v>0</v>
      </c>
      <c r="P841" s="105">
        <v>0</v>
      </c>
      <c r="Q841" s="105">
        <v>0</v>
      </c>
      <c r="R841" s="105"/>
      <c r="S841" s="105"/>
      <c r="T841" s="105">
        <v>9701208.7550000008</v>
      </c>
      <c r="U841" s="111"/>
      <c r="V841" s="111" t="s">
        <v>546</v>
      </c>
      <c r="W841" s="111"/>
      <c r="X841" s="111">
        <v>9918813.5182257369</v>
      </c>
      <c r="Y841" s="146" t="s">
        <v>2141</v>
      </c>
      <c r="Z841" s="111" t="s">
        <v>1735</v>
      </c>
    </row>
    <row r="842" spans="1:26" x14ac:dyDescent="0.25">
      <c r="A842" s="104">
        <v>19</v>
      </c>
      <c r="B842" s="193" t="s">
        <v>0</v>
      </c>
      <c r="C842" s="194" t="s">
        <v>1408</v>
      </c>
      <c r="D842" s="105">
        <v>7016203.400200001</v>
      </c>
      <c r="E842" s="13"/>
      <c r="F842" s="105">
        <v>6657561.9368842449</v>
      </c>
      <c r="G842" s="105"/>
      <c r="H842" s="105">
        <v>343704.03091873863</v>
      </c>
      <c r="I842" s="105">
        <v>14937.432397017379</v>
      </c>
      <c r="J842" s="105"/>
      <c r="K842" s="105"/>
      <c r="L842" s="105">
        <v>2298.7377641322701</v>
      </c>
      <c r="M842" s="105"/>
      <c r="N842" s="105">
        <v>12638.69463288511</v>
      </c>
      <c r="O842" s="105">
        <v>12546.094924216466</v>
      </c>
      <c r="P842" s="105">
        <v>92.599708668643302</v>
      </c>
      <c r="Q842" s="105">
        <v>0</v>
      </c>
      <c r="R842" s="105"/>
      <c r="S842" s="105"/>
      <c r="T842" s="105">
        <v>7016203.400200001</v>
      </c>
      <c r="U842" s="111"/>
      <c r="V842" s="111" t="s">
        <v>546</v>
      </c>
      <c r="W842" s="111"/>
      <c r="X842" s="111">
        <v>7173912.4451532653</v>
      </c>
      <c r="Y842" s="146" t="s">
        <v>2141</v>
      </c>
      <c r="Z842" s="111" t="s">
        <v>1735</v>
      </c>
    </row>
    <row r="843" spans="1:26" x14ac:dyDescent="0.25">
      <c r="A843" s="104">
        <v>20</v>
      </c>
      <c r="B843" s="193" t="s">
        <v>550</v>
      </c>
      <c r="C843" s="194" t="s">
        <v>1412</v>
      </c>
      <c r="D843" s="105">
        <v>0</v>
      </c>
      <c r="E843" s="13"/>
      <c r="F843" s="105">
        <v>0</v>
      </c>
      <c r="G843" s="105"/>
      <c r="H843" s="105">
        <v>0</v>
      </c>
      <c r="I843" s="105">
        <v>0</v>
      </c>
      <c r="J843" s="105"/>
      <c r="K843" s="105"/>
      <c r="L843" s="105">
        <v>0</v>
      </c>
      <c r="M843" s="105"/>
      <c r="N843" s="105">
        <v>0</v>
      </c>
      <c r="O843" s="105">
        <v>0</v>
      </c>
      <c r="P843" s="105">
        <v>0</v>
      </c>
      <c r="Q843" s="105">
        <v>0</v>
      </c>
      <c r="R843" s="105"/>
      <c r="S843" s="105"/>
      <c r="T843" s="105">
        <v>0</v>
      </c>
      <c r="U843" s="111"/>
      <c r="V843" s="111" t="s">
        <v>546</v>
      </c>
      <c r="W843" s="111"/>
      <c r="X843" s="111">
        <v>0</v>
      </c>
      <c r="Y843" s="146" t="s">
        <v>2141</v>
      </c>
      <c r="Z843" s="111" t="s">
        <v>1735</v>
      </c>
    </row>
    <row r="844" spans="1:26" x14ac:dyDescent="0.25">
      <c r="A844" s="104">
        <v>21</v>
      </c>
      <c r="B844" s="193" t="s">
        <v>551</v>
      </c>
      <c r="C844" s="197" t="s">
        <v>884</v>
      </c>
      <c r="D844" s="105">
        <v>12000185</v>
      </c>
      <c r="E844" s="13"/>
      <c r="F844" s="105">
        <v>11178915.162583817</v>
      </c>
      <c r="G844" s="105"/>
      <c r="H844" s="105">
        <v>653733.74221249181</v>
      </c>
      <c r="I844" s="105">
        <v>167536.0952036925</v>
      </c>
      <c r="J844" s="105"/>
      <c r="K844" s="105"/>
      <c r="L844" s="105">
        <v>602.67536217246914</v>
      </c>
      <c r="M844" s="105"/>
      <c r="N844" s="105">
        <v>166933.41984152002</v>
      </c>
      <c r="O844" s="105">
        <v>86191.498086511565</v>
      </c>
      <c r="P844" s="105">
        <v>80741.921755008443</v>
      </c>
      <c r="Q844" s="105">
        <v>0</v>
      </c>
      <c r="R844" s="105"/>
      <c r="S844" s="105"/>
      <c r="T844" s="105">
        <v>12000185</v>
      </c>
      <c r="U844" s="111"/>
      <c r="V844" s="111" t="s">
        <v>546</v>
      </c>
      <c r="W844" s="111"/>
      <c r="X844" s="111">
        <v>12000185.019999901</v>
      </c>
      <c r="Y844" s="146" t="s">
        <v>2141</v>
      </c>
      <c r="Z844" s="111" t="s">
        <v>1735</v>
      </c>
    </row>
    <row r="845" spans="1:26" x14ac:dyDescent="0.25">
      <c r="A845" s="104">
        <v>22</v>
      </c>
      <c r="B845" s="193" t="s">
        <v>552</v>
      </c>
      <c r="C845" s="103"/>
      <c r="D845" s="105">
        <v>60204949</v>
      </c>
      <c r="E845" s="13"/>
      <c r="F845" s="105">
        <v>56084636.798406467</v>
      </c>
      <c r="G845" s="105"/>
      <c r="H845" s="105">
        <v>3279783.3207973223</v>
      </c>
      <c r="I845" s="105">
        <v>840528.88079620863</v>
      </c>
      <c r="J845" s="105"/>
      <c r="K845" s="105"/>
      <c r="L845" s="105">
        <v>3023.6233394026872</v>
      </c>
      <c r="M845" s="105"/>
      <c r="N845" s="105">
        <v>837505.25745680591</v>
      </c>
      <c r="O845" s="105">
        <v>432422.89569136029</v>
      </c>
      <c r="P845" s="105">
        <v>405082.36176544562</v>
      </c>
      <c r="Q845" s="105">
        <v>0</v>
      </c>
      <c r="R845" s="105"/>
      <c r="S845" s="105"/>
      <c r="T845" s="105"/>
      <c r="W845" s="111"/>
      <c r="X845" s="120">
        <v>61287406.385940187</v>
      </c>
    </row>
    <row r="846" spans="1:26" x14ac:dyDescent="0.25">
      <c r="A846" s="104">
        <v>23</v>
      </c>
      <c r="B846" s="193" t="s">
        <v>553</v>
      </c>
      <c r="C846" s="103"/>
      <c r="D846" s="105">
        <v>123160405.00000001</v>
      </c>
      <c r="E846" s="13"/>
      <c r="F846" s="105">
        <v>115326297.53939542</v>
      </c>
      <c r="G846" s="105"/>
      <c r="H846" s="105">
        <v>5696572.8810436539</v>
      </c>
      <c r="I846" s="105">
        <v>2137534.5795609364</v>
      </c>
      <c r="J846" s="105"/>
      <c r="K846" s="105"/>
      <c r="L846" s="105">
        <v>3288.7566384357556</v>
      </c>
      <c r="M846" s="105"/>
      <c r="N846" s="105">
        <v>2134245.8229225008</v>
      </c>
      <c r="O846" s="105">
        <v>1089102.248341844</v>
      </c>
      <c r="P846" s="105">
        <v>1045143.5745806571</v>
      </c>
      <c r="Q846" s="105">
        <v>0</v>
      </c>
      <c r="R846" s="105"/>
      <c r="S846" s="105"/>
      <c r="T846" s="105"/>
      <c r="W846" s="111"/>
    </row>
    <row r="847" spans="1:26" x14ac:dyDescent="0.25">
      <c r="A847" s="13"/>
      <c r="B847" s="13"/>
      <c r="C847" s="103"/>
      <c r="D847" s="13"/>
      <c r="E847" s="13"/>
      <c r="F847" s="105"/>
      <c r="G847" s="105"/>
      <c r="H847" s="105"/>
      <c r="I847" s="105"/>
      <c r="J847" s="105"/>
      <c r="K847" s="105"/>
      <c r="L847" s="105"/>
      <c r="M847" s="105"/>
      <c r="N847" s="105"/>
      <c r="O847" s="105"/>
      <c r="P847" s="105"/>
      <c r="Q847" s="105"/>
      <c r="R847" s="105"/>
      <c r="S847" s="105"/>
      <c r="T847" s="105"/>
      <c r="W847" s="111"/>
    </row>
    <row r="848" spans="1:26" x14ac:dyDescent="0.25">
      <c r="A848" s="13"/>
      <c r="B848" s="193" t="s">
        <v>554</v>
      </c>
      <c r="C848" s="103"/>
      <c r="D848" s="13"/>
      <c r="E848" s="13"/>
      <c r="F848" s="105"/>
      <c r="G848" s="105"/>
      <c r="H848" s="105"/>
      <c r="I848" s="105"/>
      <c r="J848" s="105"/>
      <c r="K848" s="105"/>
      <c r="L848" s="105"/>
      <c r="M848" s="105"/>
      <c r="N848" s="105"/>
      <c r="O848" s="105"/>
      <c r="P848" s="105"/>
      <c r="Q848" s="105"/>
      <c r="R848" s="105"/>
      <c r="S848" s="105"/>
      <c r="T848" s="105"/>
      <c r="W848" s="111"/>
    </row>
    <row r="849" spans="1:26" x14ac:dyDescent="0.25">
      <c r="A849" s="104">
        <v>24</v>
      </c>
      <c r="B849" s="196" t="s">
        <v>1957</v>
      </c>
      <c r="C849" s="197" t="s">
        <v>1836</v>
      </c>
      <c r="D849" s="105">
        <v>15827969.641744697</v>
      </c>
      <c r="E849" s="13"/>
      <c r="F849" s="105">
        <v>15605033.931140801</v>
      </c>
      <c r="G849" s="105"/>
      <c r="H849" s="105">
        <v>0</v>
      </c>
      <c r="I849" s="105">
        <v>222935.7106038967</v>
      </c>
      <c r="J849" s="105"/>
      <c r="K849" s="105"/>
      <c r="L849" s="105">
        <v>1163.9364484895309</v>
      </c>
      <c r="M849" s="105"/>
      <c r="N849" s="105">
        <v>221771.77415540718</v>
      </c>
      <c r="O849" s="105">
        <v>115396.90264337357</v>
      </c>
      <c r="P849" s="105">
        <v>106374.87151203361</v>
      </c>
      <c r="Q849" s="105">
        <v>4.1027953474999583E-13</v>
      </c>
      <c r="R849" s="105"/>
      <c r="S849" s="105"/>
      <c r="T849" s="105">
        <v>16644517</v>
      </c>
      <c r="U849" s="111"/>
      <c r="V849" s="111" t="s">
        <v>546</v>
      </c>
      <c r="W849" s="111"/>
      <c r="X849" s="111">
        <v>20842137.093974199</v>
      </c>
      <c r="Y849" s="146" t="s">
        <v>2141</v>
      </c>
      <c r="Z849" s="111" t="s">
        <v>1735</v>
      </c>
    </row>
    <row r="850" spans="1:26" x14ac:dyDescent="0.25">
      <c r="A850" s="104">
        <v>25</v>
      </c>
      <c r="B850" s="193" t="s">
        <v>555</v>
      </c>
      <c r="C850" s="197" t="s">
        <v>1837</v>
      </c>
      <c r="D850" s="105">
        <v>0</v>
      </c>
      <c r="E850" s="13"/>
      <c r="F850" s="105">
        <v>0</v>
      </c>
      <c r="G850" s="105"/>
      <c r="H850" s="105">
        <v>0</v>
      </c>
      <c r="I850" s="105">
        <v>0</v>
      </c>
      <c r="J850" s="105"/>
      <c r="K850" s="105"/>
      <c r="L850" s="105">
        <v>0</v>
      </c>
      <c r="M850" s="105"/>
      <c r="N850" s="105">
        <v>0</v>
      </c>
      <c r="O850" s="105">
        <v>0</v>
      </c>
      <c r="P850" s="105">
        <v>0</v>
      </c>
      <c r="Q850" s="105">
        <v>0</v>
      </c>
      <c r="R850" s="105"/>
      <c r="S850" s="105"/>
      <c r="T850" s="105">
        <v>0</v>
      </c>
      <c r="U850" s="111" t="s">
        <v>2071</v>
      </c>
      <c r="V850" s="111"/>
      <c r="W850" s="111"/>
      <c r="X850" s="111">
        <v>556665.39999999898</v>
      </c>
      <c r="Y850" s="146" t="s">
        <v>2141</v>
      </c>
      <c r="Z850" s="111" t="s">
        <v>1735</v>
      </c>
    </row>
    <row r="851" spans="1:26" x14ac:dyDescent="0.25">
      <c r="A851" s="104">
        <v>26</v>
      </c>
      <c r="B851" s="193" t="s">
        <v>556</v>
      </c>
      <c r="C851" s="103"/>
      <c r="D851" s="105">
        <v>15827969.641744697</v>
      </c>
      <c r="E851" s="13"/>
      <c r="F851" s="105">
        <v>15605033.931140801</v>
      </c>
      <c r="G851" s="105"/>
      <c r="H851" s="105">
        <v>0</v>
      </c>
      <c r="I851" s="105">
        <v>222935.7106038967</v>
      </c>
      <c r="J851" s="105"/>
      <c r="K851" s="105"/>
      <c r="L851" s="105">
        <v>1163.9364484895309</v>
      </c>
      <c r="M851" s="105"/>
      <c r="N851" s="105">
        <v>221771.77415540718</v>
      </c>
      <c r="O851" s="105">
        <v>115396.90264337357</v>
      </c>
      <c r="P851" s="105">
        <v>106374.87151203361</v>
      </c>
      <c r="Q851" s="105">
        <v>4.1027953474999583E-13</v>
      </c>
      <c r="R851" s="105"/>
      <c r="S851" s="105"/>
      <c r="T851" s="105"/>
      <c r="V851" s="146" t="s">
        <v>2104</v>
      </c>
      <c r="W851" s="111"/>
      <c r="X851" s="111"/>
    </row>
    <row r="852" spans="1:26" x14ac:dyDescent="0.25">
      <c r="A852" s="13"/>
      <c r="B852" s="13"/>
      <c r="C852" s="103"/>
      <c r="D852" s="13"/>
      <c r="E852" s="13"/>
      <c r="F852" s="105"/>
      <c r="G852" s="105"/>
      <c r="H852" s="105"/>
      <c r="I852" s="105"/>
      <c r="J852" s="105"/>
      <c r="K852" s="105"/>
      <c r="L852" s="105"/>
      <c r="M852" s="105"/>
      <c r="N852" s="105"/>
      <c r="O852" s="105"/>
      <c r="P852" s="105"/>
      <c r="Q852" s="105"/>
      <c r="R852" s="105"/>
      <c r="S852" s="105"/>
      <c r="T852" s="105"/>
      <c r="W852" s="111"/>
    </row>
    <row r="853" spans="1:26" x14ac:dyDescent="0.25">
      <c r="A853" s="104">
        <v>27</v>
      </c>
      <c r="B853" s="193" t="s">
        <v>557</v>
      </c>
      <c r="C853" s="13"/>
      <c r="D853" s="105">
        <v>106088753.94732079</v>
      </c>
      <c r="E853" s="13"/>
      <c r="F853" s="105">
        <v>97134648.882647425</v>
      </c>
      <c r="G853" s="105"/>
      <c r="H853" s="105">
        <v>7165285.0791509133</v>
      </c>
      <c r="I853" s="105">
        <v>1788819.9855224532</v>
      </c>
      <c r="J853" s="105"/>
      <c r="K853" s="105"/>
      <c r="L853" s="105">
        <v>3192.818508687782</v>
      </c>
      <c r="M853" s="105"/>
      <c r="N853" s="105">
        <v>1785627.1670137653</v>
      </c>
      <c r="O853" s="105">
        <v>910888.79298492882</v>
      </c>
      <c r="P853" s="105">
        <v>874738.37402883638</v>
      </c>
      <c r="Q853" s="105">
        <v>7.1759110057666899E-13</v>
      </c>
      <c r="R853" s="105"/>
      <c r="S853" s="105"/>
      <c r="T853" s="105">
        <v>104299933.96179834</v>
      </c>
      <c r="U853" s="111" t="s">
        <v>2142</v>
      </c>
      <c r="V853" s="146" t="s">
        <v>1736</v>
      </c>
      <c r="W853" s="111"/>
    </row>
    <row r="854" spans="1:26" x14ac:dyDescent="0.25">
      <c r="A854" s="13"/>
      <c r="B854" s="13"/>
      <c r="C854" s="103"/>
      <c r="D854" s="13"/>
      <c r="E854" s="13"/>
      <c r="F854" s="105"/>
      <c r="G854" s="105"/>
      <c r="H854" s="105"/>
      <c r="I854" s="105"/>
      <c r="J854" s="105"/>
      <c r="K854" s="105"/>
      <c r="L854" s="105"/>
      <c r="M854" s="105"/>
      <c r="N854" s="105"/>
      <c r="O854" s="105"/>
      <c r="P854" s="105"/>
      <c r="Q854" s="105"/>
      <c r="R854" s="105"/>
      <c r="S854" s="105"/>
      <c r="T854" s="105">
        <v>2653112.877029717</v>
      </c>
      <c r="V854" s="109" t="s">
        <v>2143</v>
      </c>
      <c r="W854" s="111"/>
    </row>
    <row r="855" spans="1:26" x14ac:dyDescent="0.25">
      <c r="A855" s="104">
        <v>28</v>
      </c>
      <c r="B855" s="193" t="s">
        <v>558</v>
      </c>
      <c r="C855" s="103"/>
      <c r="D855" s="105">
        <v>245077128.58906546</v>
      </c>
      <c r="E855" s="13"/>
      <c r="F855" s="105">
        <v>228065980.35318363</v>
      </c>
      <c r="G855" s="105"/>
      <c r="H855" s="105">
        <v>12861857.960194567</v>
      </c>
      <c r="I855" s="105">
        <v>4149290.2756872866</v>
      </c>
      <c r="J855" s="105"/>
      <c r="K855" s="105"/>
      <c r="L855" s="105">
        <v>7645.5115956130685</v>
      </c>
      <c r="M855" s="105"/>
      <c r="N855" s="105">
        <v>4141644.7640916738</v>
      </c>
      <c r="O855" s="105">
        <v>2115387.9439701466</v>
      </c>
      <c r="P855" s="105">
        <v>2026256.8201215272</v>
      </c>
      <c r="Q855" s="105">
        <v>1.1278706353266648E-12</v>
      </c>
      <c r="R855" s="105"/>
      <c r="S855" s="105"/>
      <c r="T855" s="105">
        <v>103295669.22957848</v>
      </c>
      <c r="V855" s="109" t="s">
        <v>2144</v>
      </c>
      <c r="W855" s="111"/>
    </row>
    <row r="856" spans="1:26" x14ac:dyDescent="0.25">
      <c r="A856" s="13"/>
      <c r="B856" s="13"/>
      <c r="C856" s="103"/>
      <c r="D856" s="13"/>
      <c r="E856" s="13"/>
      <c r="F856" s="105"/>
      <c r="G856" s="105"/>
      <c r="H856" s="105"/>
      <c r="I856" s="105"/>
      <c r="J856" s="105"/>
      <c r="K856" s="105"/>
      <c r="L856" s="105"/>
      <c r="M856" s="105"/>
      <c r="N856" s="105"/>
      <c r="O856" s="105"/>
      <c r="P856" s="105"/>
      <c r="Q856" s="105"/>
      <c r="R856" s="105"/>
      <c r="S856" s="105"/>
      <c r="T856" s="105"/>
      <c r="W856" s="111"/>
    </row>
    <row r="857" spans="1:26" x14ac:dyDescent="0.25">
      <c r="A857" s="104">
        <v>29</v>
      </c>
      <c r="B857" s="193" t="s">
        <v>559</v>
      </c>
      <c r="C857" s="194" t="s">
        <v>1237</v>
      </c>
      <c r="D857" s="105">
        <v>129522</v>
      </c>
      <c r="E857" s="13"/>
      <c r="F857" s="105">
        <v>121415.99914063678</v>
      </c>
      <c r="G857" s="105"/>
      <c r="H857" s="105">
        <v>5559.7880225348144</v>
      </c>
      <c r="I857" s="105">
        <v>2546.2128368284079</v>
      </c>
      <c r="J857" s="105"/>
      <c r="K857" s="105"/>
      <c r="L857" s="105">
        <v>0.3897284430270167</v>
      </c>
      <c r="M857" s="105"/>
      <c r="N857" s="105">
        <v>2545.8231083853811</v>
      </c>
      <c r="O857" s="105">
        <v>1291.1703317485064</v>
      </c>
      <c r="P857" s="105">
        <v>1254.6527766368747</v>
      </c>
      <c r="Q857" s="105">
        <v>0</v>
      </c>
      <c r="R857" s="105"/>
      <c r="S857" s="105"/>
      <c r="T857" s="105">
        <v>129522</v>
      </c>
      <c r="U857" s="111"/>
      <c r="V857" s="111" t="s">
        <v>546</v>
      </c>
      <c r="W857" s="111"/>
      <c r="X857" s="111">
        <v>129522.07999999999</v>
      </c>
      <c r="Y857" s="146" t="s">
        <v>2141</v>
      </c>
      <c r="Z857" s="111" t="s">
        <v>1735</v>
      </c>
    </row>
    <row r="858" spans="1:26" x14ac:dyDescent="0.25">
      <c r="A858" s="13"/>
      <c r="B858" s="13"/>
      <c r="C858" s="103"/>
      <c r="D858" s="13"/>
      <c r="E858" s="13"/>
      <c r="F858" s="105"/>
      <c r="G858" s="105"/>
      <c r="H858" s="105"/>
      <c r="I858" s="105"/>
      <c r="J858" s="105"/>
      <c r="K858" s="105"/>
      <c r="L858" s="105"/>
      <c r="M858" s="105"/>
      <c r="N858" s="105"/>
      <c r="O858" s="105"/>
      <c r="P858" s="105"/>
      <c r="Q858" s="105"/>
      <c r="R858" s="105"/>
      <c r="S858" s="105"/>
      <c r="T858" s="105"/>
      <c r="W858" s="111"/>
    </row>
    <row r="859" spans="1:26" x14ac:dyDescent="0.25">
      <c r="A859" s="104">
        <v>30</v>
      </c>
      <c r="B859" s="193" t="s">
        <v>2145</v>
      </c>
      <c r="C859" s="194" t="s">
        <v>1237</v>
      </c>
      <c r="D859" s="105">
        <v>101937692.82886787</v>
      </c>
      <c r="E859" s="13"/>
      <c r="F859" s="105">
        <v>96343596</v>
      </c>
      <c r="G859" s="105"/>
      <c r="H859" s="105">
        <v>3332590.8360824827</v>
      </c>
      <c r="I859" s="105">
        <v>2261505.9927853812</v>
      </c>
      <c r="J859" s="105"/>
      <c r="K859" s="105"/>
      <c r="L859" s="105">
        <v>346.15064252144873</v>
      </c>
      <c r="M859" s="105"/>
      <c r="N859" s="105">
        <v>2261159.8421428595</v>
      </c>
      <c r="O859" s="105">
        <v>1146797.0786735597</v>
      </c>
      <c r="P859" s="105">
        <v>1114362.7634692998</v>
      </c>
      <c r="Q859" s="105">
        <v>0</v>
      </c>
      <c r="R859" s="105"/>
      <c r="S859" s="105"/>
      <c r="T859" s="105">
        <v>115039393</v>
      </c>
      <c r="U859" s="111" t="s">
        <v>2320</v>
      </c>
      <c r="V859" s="111">
        <v>96343596</v>
      </c>
      <c r="W859" s="111" t="s">
        <v>2321</v>
      </c>
      <c r="X859" s="111"/>
      <c r="Y859" s="146" t="s">
        <v>2322</v>
      </c>
      <c r="Z859" s="116"/>
    </row>
    <row r="860" spans="1:26" x14ac:dyDescent="0.25">
      <c r="A860" s="13"/>
      <c r="B860" s="13"/>
      <c r="C860" s="13"/>
      <c r="D860" s="13"/>
      <c r="E860" s="13"/>
      <c r="F860" s="105"/>
      <c r="G860" s="105"/>
      <c r="H860" s="105"/>
      <c r="I860" s="105"/>
      <c r="J860" s="105"/>
      <c r="K860" s="105"/>
      <c r="L860" s="105"/>
      <c r="M860" s="105"/>
      <c r="N860" s="105"/>
      <c r="O860" s="105"/>
      <c r="P860" s="105"/>
      <c r="Q860" s="105"/>
      <c r="R860" s="105"/>
      <c r="S860" s="105"/>
      <c r="T860" s="105"/>
      <c r="U860" s="111" t="s">
        <v>2146</v>
      </c>
      <c r="V860" s="111">
        <v>-1605525</v>
      </c>
      <c r="W860" s="111"/>
      <c r="Z860" s="149"/>
    </row>
    <row r="861" spans="1:26" x14ac:dyDescent="0.25">
      <c r="A861" s="104">
        <v>31</v>
      </c>
      <c r="B861" s="193" t="s">
        <v>560</v>
      </c>
      <c r="C861" s="103"/>
      <c r="D861" s="105">
        <v>585758517.27513337</v>
      </c>
      <c r="E861" s="13"/>
      <c r="F861" s="105">
        <v>547309367.785882</v>
      </c>
      <c r="G861" s="105"/>
      <c r="H861" s="105">
        <v>29035587.827154405</v>
      </c>
      <c r="I861" s="105">
        <v>9413561.6620969512</v>
      </c>
      <c r="J861" s="105"/>
      <c r="K861" s="105"/>
      <c r="L861" s="105">
        <v>10160.681403099796</v>
      </c>
      <c r="M861" s="105"/>
      <c r="N861" s="105">
        <v>9403400.9806938507</v>
      </c>
      <c r="O861" s="105">
        <v>4787872.1902167406</v>
      </c>
      <c r="P861" s="105">
        <v>4615528.7904771101</v>
      </c>
      <c r="Q861" s="105">
        <v>2.6923544138170049E-12</v>
      </c>
      <c r="R861" s="105"/>
      <c r="S861" s="105"/>
      <c r="T861" s="105"/>
      <c r="U861" s="111" t="s">
        <v>2147</v>
      </c>
      <c r="V861" s="111">
        <v>0</v>
      </c>
      <c r="W861" s="111">
        <v>0</v>
      </c>
      <c r="X861" s="111">
        <v>0</v>
      </c>
    </row>
    <row r="862" spans="1:26" x14ac:dyDescent="0.25">
      <c r="A862" s="13"/>
      <c r="B862" s="13"/>
      <c r="C862" s="103"/>
      <c r="D862" s="13"/>
      <c r="E862" s="13"/>
      <c r="F862" s="105"/>
      <c r="G862" s="105"/>
      <c r="H862" s="105"/>
      <c r="I862" s="105"/>
      <c r="J862" s="105"/>
      <c r="K862" s="105"/>
      <c r="L862" s="105"/>
      <c r="M862" s="105"/>
      <c r="N862" s="105"/>
      <c r="O862" s="105"/>
      <c r="P862" s="105"/>
      <c r="Q862" s="105"/>
      <c r="R862" s="105"/>
      <c r="S862" s="105"/>
      <c r="T862" s="105"/>
      <c r="W862" s="111" t="s">
        <v>1976</v>
      </c>
      <c r="X862" s="111" t="s">
        <v>424</v>
      </c>
    </row>
    <row r="863" spans="1:26" x14ac:dyDescent="0.25">
      <c r="A863" s="13"/>
      <c r="B863" s="13"/>
      <c r="C863" s="103"/>
      <c r="D863" s="13"/>
      <c r="E863" s="13"/>
      <c r="F863" s="105"/>
      <c r="G863" s="105"/>
      <c r="H863" s="105"/>
      <c r="I863" s="105"/>
      <c r="J863" s="105"/>
      <c r="K863" s="105"/>
      <c r="L863" s="105"/>
      <c r="M863" s="105"/>
      <c r="N863" s="105"/>
      <c r="O863" s="105"/>
      <c r="P863" s="105"/>
      <c r="Q863" s="105"/>
      <c r="R863" s="105"/>
      <c r="S863" s="105"/>
      <c r="T863" s="105"/>
      <c r="W863" s="111"/>
    </row>
    <row r="864" spans="1:26" x14ac:dyDescent="0.25">
      <c r="A864" s="13"/>
      <c r="B864" s="195" t="s">
        <v>561</v>
      </c>
      <c r="C864" s="103"/>
      <c r="D864" s="13"/>
      <c r="E864" s="13"/>
      <c r="F864" s="105"/>
      <c r="G864" s="105"/>
      <c r="H864" s="105"/>
      <c r="I864" s="105"/>
      <c r="J864" s="105"/>
      <c r="K864" s="105"/>
      <c r="L864" s="105"/>
      <c r="M864" s="105"/>
      <c r="N864" s="105"/>
      <c r="O864" s="105"/>
      <c r="P864" s="105"/>
      <c r="Q864" s="105"/>
      <c r="R864" s="105"/>
      <c r="S864" s="105"/>
      <c r="T864" s="105"/>
      <c r="W864" s="111"/>
    </row>
    <row r="865" spans="1:25" x14ac:dyDescent="0.25">
      <c r="A865" s="13"/>
      <c r="B865" s="13"/>
      <c r="C865" s="103"/>
      <c r="D865" s="13"/>
      <c r="E865" s="13"/>
      <c r="F865" s="105"/>
      <c r="G865" s="105"/>
      <c r="H865" s="105"/>
      <c r="I865" s="105"/>
      <c r="J865" s="105"/>
      <c r="K865" s="105"/>
      <c r="L865" s="105"/>
      <c r="M865" s="105"/>
      <c r="N865" s="105"/>
      <c r="O865" s="105"/>
      <c r="P865" s="105"/>
      <c r="Q865" s="105"/>
      <c r="R865" s="105"/>
      <c r="S865" s="105"/>
      <c r="T865" s="105"/>
      <c r="W865" s="111"/>
    </row>
    <row r="866" spans="1:25" x14ac:dyDescent="0.25">
      <c r="A866" s="103"/>
      <c r="B866" s="193" t="s">
        <v>562</v>
      </c>
      <c r="C866" s="103"/>
      <c r="D866" s="13"/>
      <c r="E866" s="13"/>
      <c r="F866" s="105"/>
      <c r="G866" s="105"/>
      <c r="H866" s="105"/>
      <c r="I866" s="105"/>
      <c r="J866" s="105"/>
      <c r="K866" s="105"/>
      <c r="L866" s="105"/>
      <c r="M866" s="105"/>
      <c r="N866" s="105"/>
      <c r="O866" s="105"/>
      <c r="P866" s="105"/>
      <c r="Q866" s="105"/>
      <c r="R866" s="105"/>
      <c r="S866" s="105"/>
      <c r="T866" s="105"/>
      <c r="W866" s="111"/>
    </row>
    <row r="867" spans="1:25" x14ac:dyDescent="0.25">
      <c r="A867" s="103"/>
      <c r="B867" s="193"/>
      <c r="C867" s="103"/>
      <c r="D867" s="13"/>
      <c r="E867" s="13"/>
      <c r="F867" s="105"/>
      <c r="G867" s="105"/>
      <c r="H867" s="105"/>
      <c r="I867" s="105"/>
      <c r="J867" s="105"/>
      <c r="K867" s="105"/>
      <c r="L867" s="105"/>
      <c r="M867" s="105"/>
      <c r="N867" s="105"/>
      <c r="O867" s="105"/>
      <c r="P867" s="105"/>
      <c r="Q867" s="105"/>
      <c r="R867" s="105"/>
      <c r="S867" s="105"/>
      <c r="T867" s="105"/>
      <c r="W867" s="111"/>
    </row>
    <row r="868" spans="1:25" x14ac:dyDescent="0.25">
      <c r="A868" s="103"/>
      <c r="B868" s="193" t="s">
        <v>7</v>
      </c>
      <c r="C868" s="103"/>
      <c r="D868" s="13"/>
      <c r="E868" s="13"/>
      <c r="F868" s="105"/>
      <c r="G868" s="105"/>
      <c r="H868" s="105"/>
      <c r="I868" s="105"/>
      <c r="J868" s="105"/>
      <c r="K868" s="105"/>
      <c r="L868" s="105"/>
      <c r="M868" s="105"/>
      <c r="N868" s="105"/>
      <c r="O868" s="105"/>
      <c r="P868" s="105"/>
      <c r="Q868" s="105"/>
      <c r="R868" s="105"/>
      <c r="S868" s="105"/>
      <c r="T868" s="105"/>
      <c r="W868" s="111"/>
    </row>
    <row r="869" spans="1:25" x14ac:dyDescent="0.25">
      <c r="A869" s="104">
        <v>1</v>
      </c>
      <c r="B869" s="193" t="s">
        <v>1080</v>
      </c>
      <c r="C869" s="194" t="s">
        <v>472</v>
      </c>
      <c r="D869" s="105">
        <v>907034720</v>
      </c>
      <c r="E869" s="13"/>
      <c r="F869" s="105">
        <v>850268887.01570177</v>
      </c>
      <c r="G869" s="105"/>
      <c r="H869" s="105">
        <v>38934858.72885856</v>
      </c>
      <c r="I869" s="105">
        <v>17830974.255439699</v>
      </c>
      <c r="J869" s="105"/>
      <c r="K869" s="105"/>
      <c r="L869" s="105">
        <v>2729.2446781013709</v>
      </c>
      <c r="M869" s="105"/>
      <c r="N869" s="105">
        <v>17828245.010761596</v>
      </c>
      <c r="O869" s="105">
        <v>9041987.6185498498</v>
      </c>
      <c r="P869" s="105">
        <v>8786257.3922117483</v>
      </c>
      <c r="Q869" s="105">
        <v>0</v>
      </c>
      <c r="R869" s="105"/>
      <c r="S869" s="105"/>
      <c r="T869" s="105">
        <v>907034720</v>
      </c>
      <c r="U869" s="111"/>
      <c r="V869" s="111" t="s">
        <v>563</v>
      </c>
      <c r="W869" s="111"/>
      <c r="X869" s="111"/>
      <c r="Y869" s="111"/>
    </row>
    <row r="870" spans="1:25" x14ac:dyDescent="0.25">
      <c r="A870" s="104">
        <v>2</v>
      </c>
      <c r="B870" s="193" t="s">
        <v>1081</v>
      </c>
      <c r="C870" s="194" t="s">
        <v>1239</v>
      </c>
      <c r="D870" s="105">
        <v>17805</v>
      </c>
      <c r="E870" s="13"/>
      <c r="F870" s="105">
        <v>9350.4298972602737</v>
      </c>
      <c r="G870" s="105"/>
      <c r="H870" s="105">
        <v>5799.1454109589049</v>
      </c>
      <c r="I870" s="105">
        <v>2655.4246917808218</v>
      </c>
      <c r="J870" s="105"/>
      <c r="K870" s="105"/>
      <c r="L870" s="105">
        <v>0</v>
      </c>
      <c r="M870" s="105"/>
      <c r="N870" s="105">
        <v>2655.4246917808218</v>
      </c>
      <c r="O870" s="105">
        <v>1346.7571917808218</v>
      </c>
      <c r="P870" s="105">
        <v>1308.6675</v>
      </c>
      <c r="Q870" s="105">
        <v>0</v>
      </c>
      <c r="R870" s="105"/>
      <c r="S870" s="105"/>
      <c r="T870" s="105">
        <v>17805</v>
      </c>
      <c r="U870" s="111"/>
      <c r="V870" s="111" t="s">
        <v>563</v>
      </c>
      <c r="W870" s="111"/>
      <c r="X870" s="111"/>
      <c r="Y870" s="111"/>
    </row>
    <row r="871" spans="1:25" x14ac:dyDescent="0.25">
      <c r="A871" s="104">
        <v>3</v>
      </c>
      <c r="B871" s="193" t="s">
        <v>1082</v>
      </c>
      <c r="C871" s="194" t="s">
        <v>1245</v>
      </c>
      <c r="D871" s="105">
        <v>1891531</v>
      </c>
      <c r="E871" s="13"/>
      <c r="F871" s="105">
        <v>1473166.9355831544</v>
      </c>
      <c r="G871" s="105"/>
      <c r="H871" s="105">
        <v>0</v>
      </c>
      <c r="I871" s="105">
        <v>418364.06441684556</v>
      </c>
      <c r="J871" s="105"/>
      <c r="K871" s="105"/>
      <c r="L871" s="105">
        <v>0</v>
      </c>
      <c r="M871" s="105"/>
      <c r="N871" s="105">
        <v>418364.06441684556</v>
      </c>
      <c r="O871" s="105">
        <v>212182.56133567187</v>
      </c>
      <c r="P871" s="105">
        <v>206181.50308117369</v>
      </c>
      <c r="Q871" s="105">
        <v>0</v>
      </c>
      <c r="R871" s="105"/>
      <c r="S871" s="105"/>
      <c r="T871" s="105">
        <v>1891531</v>
      </c>
      <c r="U871" s="111"/>
      <c r="V871" s="111" t="s">
        <v>563</v>
      </c>
      <c r="W871" s="111"/>
      <c r="X871" s="111"/>
      <c r="Y871" s="111"/>
    </row>
    <row r="872" spans="1:25" x14ac:dyDescent="0.25">
      <c r="A872" s="104">
        <v>4</v>
      </c>
      <c r="B872" s="193" t="s">
        <v>1083</v>
      </c>
      <c r="C872" s="13"/>
      <c r="D872" s="105">
        <v>908944056</v>
      </c>
      <c r="E872" s="13"/>
      <c r="F872" s="105">
        <v>851751404.38118219</v>
      </c>
      <c r="G872" s="105"/>
      <c r="H872" s="105">
        <v>38940657.874269523</v>
      </c>
      <c r="I872" s="105">
        <v>18251993.744548328</v>
      </c>
      <c r="J872" s="105"/>
      <c r="K872" s="105"/>
      <c r="L872" s="105">
        <v>2729.2446781013709</v>
      </c>
      <c r="M872" s="105"/>
      <c r="N872" s="105">
        <v>18249264.499870226</v>
      </c>
      <c r="O872" s="105">
        <v>9255516.9370773025</v>
      </c>
      <c r="P872" s="105">
        <v>8993747.5627929233</v>
      </c>
      <c r="Q872" s="105">
        <v>0</v>
      </c>
      <c r="R872" s="105"/>
      <c r="S872" s="105"/>
      <c r="T872" s="105"/>
      <c r="W872" s="111"/>
    </row>
    <row r="873" spans="1:25" x14ac:dyDescent="0.25">
      <c r="A873" s="13"/>
      <c r="B873" s="13"/>
      <c r="C873" s="13"/>
      <c r="D873" s="13"/>
      <c r="E873" s="13"/>
      <c r="F873" s="105"/>
      <c r="G873" s="105"/>
      <c r="H873" s="105"/>
      <c r="I873" s="105"/>
      <c r="J873" s="105"/>
      <c r="K873" s="105"/>
      <c r="L873" s="105"/>
      <c r="M873" s="105"/>
      <c r="N873" s="105"/>
      <c r="O873" s="105"/>
      <c r="P873" s="105"/>
      <c r="Q873" s="105"/>
      <c r="R873" s="105"/>
      <c r="S873" s="105"/>
      <c r="T873" s="105"/>
      <c r="W873" s="111"/>
    </row>
    <row r="874" spans="1:25" x14ac:dyDescent="0.25">
      <c r="A874" s="13"/>
      <c r="B874" s="193" t="s">
        <v>19</v>
      </c>
      <c r="C874" s="13"/>
      <c r="D874" s="13"/>
      <c r="E874" s="13"/>
      <c r="F874" s="105"/>
      <c r="G874" s="105"/>
      <c r="H874" s="105"/>
      <c r="I874" s="105"/>
      <c r="J874" s="105"/>
      <c r="K874" s="105"/>
      <c r="L874" s="105"/>
      <c r="M874" s="105"/>
      <c r="N874" s="105"/>
      <c r="O874" s="105"/>
      <c r="P874" s="105"/>
      <c r="Q874" s="105"/>
      <c r="R874" s="105"/>
      <c r="S874" s="105"/>
      <c r="T874" s="105"/>
      <c r="W874" s="111"/>
    </row>
    <row r="875" spans="1:25" x14ac:dyDescent="0.25">
      <c r="A875" s="104">
        <v>5</v>
      </c>
      <c r="B875" s="193" t="s">
        <v>1033</v>
      </c>
      <c r="C875" s="194" t="s">
        <v>2028</v>
      </c>
      <c r="D875" s="105">
        <v>167303751.99999997</v>
      </c>
      <c r="E875" s="13"/>
      <c r="F875" s="105">
        <v>159858818.16190916</v>
      </c>
      <c r="G875" s="105"/>
      <c r="H875" s="105">
        <v>7444422.0057288464</v>
      </c>
      <c r="I875" s="105">
        <v>511.83236197844894</v>
      </c>
      <c r="J875" s="105"/>
      <c r="K875" s="105"/>
      <c r="L875" s="105">
        <v>511.83236197844894</v>
      </c>
      <c r="M875" s="105"/>
      <c r="N875" s="105">
        <v>0</v>
      </c>
      <c r="O875" s="105">
        <v>0</v>
      </c>
      <c r="P875" s="105">
        <v>0</v>
      </c>
      <c r="Q875" s="105">
        <v>0</v>
      </c>
      <c r="R875" s="105"/>
      <c r="S875" s="105"/>
      <c r="T875" s="105">
        <v>167303752</v>
      </c>
      <c r="U875" s="111"/>
      <c r="V875" s="111" t="s">
        <v>563</v>
      </c>
      <c r="W875" s="111"/>
      <c r="X875" s="111"/>
      <c r="Y875" s="111"/>
    </row>
    <row r="876" spans="1:25" x14ac:dyDescent="0.25">
      <c r="A876" s="104">
        <v>6</v>
      </c>
      <c r="B876" s="193" t="s">
        <v>1034</v>
      </c>
      <c r="C876" s="194" t="s">
        <v>2019</v>
      </c>
      <c r="D876" s="105">
        <v>0</v>
      </c>
      <c r="E876" s="13"/>
      <c r="F876" s="105">
        <v>0</v>
      </c>
      <c r="G876" s="105"/>
      <c r="H876" s="105">
        <v>0</v>
      </c>
      <c r="I876" s="105">
        <v>0</v>
      </c>
      <c r="J876" s="105"/>
      <c r="K876" s="105"/>
      <c r="L876" s="105">
        <v>0</v>
      </c>
      <c r="M876" s="105"/>
      <c r="N876" s="105">
        <v>0</v>
      </c>
      <c r="O876" s="105">
        <v>0</v>
      </c>
      <c r="P876" s="105">
        <v>0</v>
      </c>
      <c r="Q876" s="105">
        <v>0</v>
      </c>
      <c r="R876" s="105"/>
      <c r="S876" s="105"/>
      <c r="T876" s="105">
        <v>0</v>
      </c>
      <c r="U876" s="111"/>
      <c r="V876" s="111" t="s">
        <v>563</v>
      </c>
      <c r="W876" s="111"/>
      <c r="X876" s="111"/>
      <c r="Y876" s="111"/>
    </row>
    <row r="877" spans="1:25" x14ac:dyDescent="0.25">
      <c r="A877" s="104">
        <v>7</v>
      </c>
      <c r="B877" s="193" t="s">
        <v>564</v>
      </c>
      <c r="C877" s="194" t="s">
        <v>1404</v>
      </c>
      <c r="D877" s="105">
        <v>7400204</v>
      </c>
      <c r="E877" s="13"/>
      <c r="F877" s="105">
        <v>0</v>
      </c>
      <c r="G877" s="105"/>
      <c r="H877" s="105">
        <v>7400204</v>
      </c>
      <c r="I877" s="105">
        <v>0</v>
      </c>
      <c r="J877" s="105"/>
      <c r="K877" s="105"/>
      <c r="L877" s="105">
        <v>0</v>
      </c>
      <c r="M877" s="105"/>
      <c r="N877" s="105">
        <v>0</v>
      </c>
      <c r="O877" s="105">
        <v>0</v>
      </c>
      <c r="P877" s="105">
        <v>0</v>
      </c>
      <c r="Q877" s="105">
        <v>0</v>
      </c>
      <c r="R877" s="105"/>
      <c r="S877" s="105"/>
      <c r="T877" s="105">
        <v>7400204</v>
      </c>
      <c r="U877" s="111"/>
      <c r="V877" s="111" t="s">
        <v>563</v>
      </c>
      <c r="W877" s="111"/>
      <c r="X877" s="111"/>
      <c r="Y877" s="111"/>
    </row>
    <row r="878" spans="1:25" x14ac:dyDescent="0.25">
      <c r="A878" s="104">
        <v>8</v>
      </c>
      <c r="B878" s="193" t="s">
        <v>1024</v>
      </c>
      <c r="C878" s="194" t="s">
        <v>1239</v>
      </c>
      <c r="D878" s="105">
        <v>3142</v>
      </c>
      <c r="E878" s="13"/>
      <c r="F878" s="105">
        <v>1650.0449726027396</v>
      </c>
      <c r="G878" s="105"/>
      <c r="H878" s="105">
        <v>1023.3594429223745</v>
      </c>
      <c r="I878" s="105">
        <v>468.59558447488581</v>
      </c>
      <c r="J878" s="105"/>
      <c r="K878" s="105"/>
      <c r="L878" s="105">
        <v>0</v>
      </c>
      <c r="M878" s="105"/>
      <c r="N878" s="105">
        <v>468.59558447488581</v>
      </c>
      <c r="O878" s="105">
        <v>237.65858447488583</v>
      </c>
      <c r="P878" s="105">
        <v>230.93699999999998</v>
      </c>
      <c r="Q878" s="105">
        <v>0</v>
      </c>
      <c r="R878" s="105"/>
      <c r="S878" s="105"/>
      <c r="T878" s="105">
        <v>3142</v>
      </c>
      <c r="U878" s="111"/>
      <c r="V878" s="111" t="s">
        <v>563</v>
      </c>
      <c r="W878" s="111"/>
      <c r="X878" s="111"/>
      <c r="Y878" s="111"/>
    </row>
    <row r="879" spans="1:25" x14ac:dyDescent="0.25">
      <c r="A879" s="104">
        <v>9</v>
      </c>
      <c r="B879" s="193" t="s">
        <v>1025</v>
      </c>
      <c r="C879" s="194" t="s">
        <v>1245</v>
      </c>
      <c r="D879" s="105">
        <v>333800</v>
      </c>
      <c r="E879" s="13"/>
      <c r="F879" s="105">
        <v>259970.9563827698</v>
      </c>
      <c r="G879" s="105"/>
      <c r="H879" s="105">
        <v>0</v>
      </c>
      <c r="I879" s="105">
        <v>73829.0436172302</v>
      </c>
      <c r="J879" s="105"/>
      <c r="K879" s="105"/>
      <c r="L879" s="105">
        <v>0</v>
      </c>
      <c r="M879" s="105"/>
      <c r="N879" s="105">
        <v>73829.0436172302</v>
      </c>
      <c r="O879" s="105">
        <v>37444.027601898815</v>
      </c>
      <c r="P879" s="105">
        <v>36385.016015331377</v>
      </c>
      <c r="Q879" s="105">
        <v>0</v>
      </c>
      <c r="R879" s="105"/>
      <c r="S879" s="105"/>
      <c r="T879" s="105">
        <v>333800</v>
      </c>
      <c r="U879" s="111"/>
      <c r="V879" s="111" t="s">
        <v>563</v>
      </c>
      <c r="W879" s="111"/>
      <c r="X879" s="111"/>
      <c r="Y879" s="111"/>
    </row>
    <row r="880" spans="1:25" x14ac:dyDescent="0.25">
      <c r="A880" s="104">
        <v>10</v>
      </c>
      <c r="B880" s="193" t="s">
        <v>20</v>
      </c>
      <c r="C880" s="13"/>
      <c r="D880" s="105">
        <v>175040898</v>
      </c>
      <c r="E880" s="13"/>
      <c r="F880" s="105">
        <v>160120439.16326454</v>
      </c>
      <c r="G880" s="105"/>
      <c r="H880" s="105">
        <v>14845649.36517177</v>
      </c>
      <c r="I880" s="105">
        <v>74809.471563683532</v>
      </c>
      <c r="J880" s="105"/>
      <c r="K880" s="105"/>
      <c r="L880" s="105">
        <v>511.83236197844894</v>
      </c>
      <c r="M880" s="105"/>
      <c r="N880" s="105">
        <v>74297.639201705082</v>
      </c>
      <c r="O880" s="105">
        <v>37681.686186373699</v>
      </c>
      <c r="P880" s="105">
        <v>36615.953015331375</v>
      </c>
      <c r="Q880" s="105">
        <v>0</v>
      </c>
      <c r="R880" s="105"/>
      <c r="S880" s="105"/>
      <c r="T880" s="105"/>
      <c r="W880" s="111"/>
    </row>
    <row r="881" spans="1:25" x14ac:dyDescent="0.25">
      <c r="A881" s="13"/>
      <c r="B881" s="13"/>
      <c r="C881" s="13"/>
      <c r="D881" s="13"/>
      <c r="E881" s="13"/>
      <c r="F881" s="105"/>
      <c r="G881" s="105"/>
      <c r="H881" s="105"/>
      <c r="I881" s="105"/>
      <c r="J881" s="105"/>
      <c r="K881" s="105"/>
      <c r="L881" s="105"/>
      <c r="M881" s="105"/>
      <c r="N881" s="105"/>
      <c r="O881" s="105"/>
      <c r="P881" s="105"/>
      <c r="Q881" s="105"/>
      <c r="R881" s="105"/>
      <c r="S881" s="105"/>
      <c r="T881" s="105"/>
      <c r="W881" s="111"/>
    </row>
    <row r="882" spans="1:25" x14ac:dyDescent="0.25">
      <c r="A882" s="104">
        <v>11</v>
      </c>
      <c r="B882" s="193" t="s">
        <v>565</v>
      </c>
      <c r="C882" s="194" t="s">
        <v>1335</v>
      </c>
      <c r="D882" s="105">
        <v>12255783</v>
      </c>
      <c r="E882" s="13"/>
      <c r="F882" s="105">
        <v>0</v>
      </c>
      <c r="G882" s="105"/>
      <c r="H882" s="105">
        <v>12255783</v>
      </c>
      <c r="I882" s="105">
        <v>0</v>
      </c>
      <c r="J882" s="105"/>
      <c r="K882" s="105"/>
      <c r="L882" s="105">
        <v>0</v>
      </c>
      <c r="M882" s="105"/>
      <c r="N882" s="105">
        <v>0</v>
      </c>
      <c r="O882" s="105">
        <v>0</v>
      </c>
      <c r="P882" s="105">
        <v>0</v>
      </c>
      <c r="Q882" s="105">
        <v>0</v>
      </c>
      <c r="R882" s="105"/>
      <c r="S882" s="105"/>
      <c r="T882" s="105">
        <v>12255783</v>
      </c>
      <c r="U882" s="111"/>
      <c r="V882" s="111" t="s">
        <v>563</v>
      </c>
      <c r="W882" s="111"/>
      <c r="X882" s="111"/>
      <c r="Y882" s="111"/>
    </row>
    <row r="883" spans="1:25" x14ac:dyDescent="0.25">
      <c r="A883" s="104">
        <v>12</v>
      </c>
      <c r="B883" s="193" t="s">
        <v>566</v>
      </c>
      <c r="C883" s="194" t="s">
        <v>904</v>
      </c>
      <c r="D883" s="105">
        <v>276193179</v>
      </c>
      <c r="E883" s="13"/>
      <c r="F883" s="105">
        <v>275574877.41441673</v>
      </c>
      <c r="G883" s="105"/>
      <c r="H883" s="105">
        <v>0</v>
      </c>
      <c r="I883" s="105">
        <v>618301.58558324713</v>
      </c>
      <c r="J883" s="105"/>
      <c r="K883" s="105"/>
      <c r="L883" s="105">
        <v>95151.105399269974</v>
      </c>
      <c r="M883" s="105"/>
      <c r="N883" s="105">
        <v>523150.48018397711</v>
      </c>
      <c r="O883" s="105">
        <v>519317.52247259684</v>
      </c>
      <c r="P883" s="105">
        <v>3832.9577113802475</v>
      </c>
      <c r="Q883" s="105">
        <v>0</v>
      </c>
      <c r="R883" s="105"/>
      <c r="S883" s="105"/>
      <c r="T883" s="105">
        <v>276193179</v>
      </c>
      <c r="U883" s="111"/>
      <c r="V883" s="111" t="s">
        <v>563</v>
      </c>
      <c r="W883" s="111"/>
      <c r="X883" s="111"/>
      <c r="Y883" s="111"/>
    </row>
    <row r="884" spans="1:25" x14ac:dyDescent="0.25">
      <c r="A884" s="104">
        <v>13</v>
      </c>
      <c r="B884" s="193" t="s">
        <v>21</v>
      </c>
      <c r="C884" s="13"/>
      <c r="D884" s="105">
        <v>288448962</v>
      </c>
      <c r="E884" s="13"/>
      <c r="F884" s="105">
        <v>275574877.41441673</v>
      </c>
      <c r="G884" s="105"/>
      <c r="H884" s="105">
        <v>12255783</v>
      </c>
      <c r="I884" s="105">
        <v>618301.58558324713</v>
      </c>
      <c r="J884" s="105"/>
      <c r="K884" s="105"/>
      <c r="L884" s="105">
        <v>95151.105399269974</v>
      </c>
      <c r="M884" s="105"/>
      <c r="N884" s="105">
        <v>523150.48018397711</v>
      </c>
      <c r="O884" s="105">
        <v>519317.52247259684</v>
      </c>
      <c r="P884" s="105">
        <v>3832.9577113802475</v>
      </c>
      <c r="Q884" s="105">
        <v>0</v>
      </c>
      <c r="R884" s="105"/>
      <c r="S884" s="105"/>
      <c r="T884" s="105"/>
      <c r="W884" s="111"/>
    </row>
    <row r="885" spans="1:25" x14ac:dyDescent="0.25">
      <c r="A885" s="13"/>
      <c r="B885" s="13"/>
      <c r="C885" s="13"/>
      <c r="D885" s="13"/>
      <c r="E885" s="13"/>
      <c r="F885" s="105"/>
      <c r="G885" s="105"/>
      <c r="H885" s="105"/>
      <c r="I885" s="105"/>
      <c r="J885" s="105"/>
      <c r="K885" s="105"/>
      <c r="L885" s="105"/>
      <c r="M885" s="105"/>
      <c r="N885" s="105"/>
      <c r="O885" s="105"/>
      <c r="P885" s="105"/>
      <c r="Q885" s="105"/>
      <c r="R885" s="105"/>
      <c r="S885" s="105"/>
      <c r="T885" s="105"/>
      <c r="W885" s="111"/>
    </row>
    <row r="886" spans="1:25" x14ac:dyDescent="0.25">
      <c r="A886" s="104">
        <v>14</v>
      </c>
      <c r="B886" s="193" t="s">
        <v>1089</v>
      </c>
      <c r="C886" s="194" t="s">
        <v>1412</v>
      </c>
      <c r="D886" s="105">
        <v>32563237.000000004</v>
      </c>
      <c r="E886" s="13"/>
      <c r="F886" s="105">
        <v>30699610.619607162</v>
      </c>
      <c r="G886" s="105"/>
      <c r="H886" s="105">
        <v>1487241.3874456584</v>
      </c>
      <c r="I886" s="105">
        <v>376384.9929471825</v>
      </c>
      <c r="J886" s="105"/>
      <c r="K886" s="105"/>
      <c r="L886" s="105">
        <v>2171.5383111901947</v>
      </c>
      <c r="M886" s="105"/>
      <c r="N886" s="105">
        <v>374213.4546359923</v>
      </c>
      <c r="O886" s="105">
        <v>195052.71836849922</v>
      </c>
      <c r="P886" s="105">
        <v>179160.73626749305</v>
      </c>
      <c r="Q886" s="105">
        <v>2.1280583895117489E-12</v>
      </c>
      <c r="R886" s="105"/>
      <c r="S886" s="105"/>
      <c r="T886" s="105">
        <v>32563237</v>
      </c>
      <c r="U886" s="111"/>
      <c r="V886" s="111" t="s">
        <v>563</v>
      </c>
      <c r="W886" s="111"/>
      <c r="X886" s="111"/>
      <c r="Y886" s="111"/>
    </row>
    <row r="887" spans="1:25" x14ac:dyDescent="0.25">
      <c r="A887" s="13"/>
      <c r="B887" s="13"/>
      <c r="C887" s="13"/>
      <c r="D887" s="13"/>
      <c r="E887" s="13"/>
      <c r="F887" s="105"/>
      <c r="G887" s="105"/>
      <c r="H887" s="105"/>
      <c r="I887" s="105"/>
      <c r="J887" s="105"/>
      <c r="K887" s="105"/>
      <c r="L887" s="105"/>
      <c r="M887" s="105"/>
      <c r="N887" s="105"/>
      <c r="O887" s="105"/>
      <c r="P887" s="105"/>
      <c r="Q887" s="105"/>
      <c r="R887" s="105"/>
      <c r="S887" s="105"/>
      <c r="T887" s="105"/>
      <c r="W887" s="111"/>
    </row>
    <row r="888" spans="1:25" x14ac:dyDescent="0.25">
      <c r="A888" s="104">
        <v>15</v>
      </c>
      <c r="B888" s="193" t="s">
        <v>567</v>
      </c>
      <c r="C888" s="103"/>
      <c r="D888" s="105">
        <v>1404997153</v>
      </c>
      <c r="E888" s="13"/>
      <c r="F888" s="105">
        <v>1318146331.5784707</v>
      </c>
      <c r="G888" s="105"/>
      <c r="H888" s="105">
        <v>67529331.626886949</v>
      </c>
      <c r="I888" s="105">
        <v>19321489.794642441</v>
      </c>
      <c r="J888" s="105"/>
      <c r="K888" s="105"/>
      <c r="L888" s="105">
        <v>100563.72075053999</v>
      </c>
      <c r="M888" s="105"/>
      <c r="N888" s="105">
        <v>19220926.0738919</v>
      </c>
      <c r="O888" s="105">
        <v>10007568.864104772</v>
      </c>
      <c r="P888" s="105">
        <v>9213357.2097871266</v>
      </c>
      <c r="Q888" s="105">
        <v>2.1280583895117489E-12</v>
      </c>
      <c r="R888" s="105"/>
      <c r="S888" s="105"/>
      <c r="T888" s="105"/>
      <c r="W888" s="111"/>
    </row>
    <row r="889" spans="1:25" x14ac:dyDescent="0.25">
      <c r="A889" s="103"/>
      <c r="B889" s="103"/>
      <c r="C889" s="103"/>
      <c r="D889" s="13"/>
      <c r="E889" s="13"/>
      <c r="F889" s="105"/>
      <c r="G889" s="105"/>
      <c r="H889" s="105"/>
      <c r="I889" s="105"/>
      <c r="J889" s="105"/>
      <c r="K889" s="105"/>
      <c r="L889" s="105"/>
      <c r="M889" s="105"/>
      <c r="N889" s="105"/>
      <c r="O889" s="105"/>
      <c r="P889" s="105"/>
      <c r="Q889" s="105"/>
      <c r="R889" s="105"/>
      <c r="S889" s="105"/>
      <c r="T889" s="105"/>
      <c r="W889" s="111"/>
    </row>
    <row r="890" spans="1:25" x14ac:dyDescent="0.25">
      <c r="A890" s="103"/>
      <c r="B890" s="193" t="s">
        <v>568</v>
      </c>
      <c r="C890" s="103"/>
      <c r="D890" s="13"/>
      <c r="E890" s="13"/>
      <c r="F890" s="105"/>
      <c r="G890" s="105"/>
      <c r="H890" s="105"/>
      <c r="I890" s="105"/>
      <c r="J890" s="105"/>
      <c r="K890" s="105"/>
      <c r="L890" s="105"/>
      <c r="M890" s="105"/>
      <c r="N890" s="105"/>
      <c r="O890" s="105"/>
      <c r="P890" s="105"/>
      <c r="Q890" s="105"/>
      <c r="R890" s="105"/>
      <c r="S890" s="105"/>
      <c r="T890" s="105"/>
      <c r="W890" s="111"/>
    </row>
    <row r="891" spans="1:25" x14ac:dyDescent="0.25">
      <c r="A891" s="104">
        <v>16</v>
      </c>
      <c r="B891" s="193" t="s">
        <v>569</v>
      </c>
      <c r="C891" s="194" t="s">
        <v>880</v>
      </c>
      <c r="D891" s="105">
        <v>89931576</v>
      </c>
      <c r="E891" s="13"/>
      <c r="F891" s="105">
        <v>84144326.90693669</v>
      </c>
      <c r="G891" s="105"/>
      <c r="H891" s="105">
        <v>3907846.0523916194</v>
      </c>
      <c r="I891" s="105">
        <v>1879403.0406716915</v>
      </c>
      <c r="J891" s="105"/>
      <c r="K891" s="105"/>
      <c r="L891" s="105">
        <v>268.6903877332623</v>
      </c>
      <c r="M891" s="105"/>
      <c r="N891" s="105">
        <v>1879134.3502839583</v>
      </c>
      <c r="O891" s="105">
        <v>953044.42577511061</v>
      </c>
      <c r="P891" s="105">
        <v>926089.92450884765</v>
      </c>
      <c r="Q891" s="105">
        <v>0</v>
      </c>
      <c r="R891" s="105"/>
      <c r="S891" s="105"/>
      <c r="T891" s="105">
        <v>89931576</v>
      </c>
      <c r="U891" s="111"/>
      <c r="V891" s="111" t="s">
        <v>563</v>
      </c>
      <c r="W891" s="111"/>
      <c r="X891" s="111"/>
      <c r="Y891" s="111"/>
    </row>
    <row r="892" spans="1:25" x14ac:dyDescent="0.25">
      <c r="A892" s="104">
        <v>17</v>
      </c>
      <c r="B892" s="193" t="s">
        <v>570</v>
      </c>
      <c r="C892" s="194" t="s">
        <v>2021</v>
      </c>
      <c r="D892" s="105">
        <v>0</v>
      </c>
      <c r="E892" s="13"/>
      <c r="F892" s="105">
        <v>0</v>
      </c>
      <c r="G892" s="105"/>
      <c r="H892" s="105">
        <v>0</v>
      </c>
      <c r="I892" s="105">
        <v>0</v>
      </c>
      <c r="J892" s="105"/>
      <c r="K892" s="105"/>
      <c r="L892" s="105">
        <v>0</v>
      </c>
      <c r="M892" s="105"/>
      <c r="N892" s="105">
        <v>0</v>
      </c>
      <c r="O892" s="105">
        <v>0</v>
      </c>
      <c r="P892" s="105">
        <v>0</v>
      </c>
      <c r="Q892" s="105">
        <v>0</v>
      </c>
      <c r="R892" s="105"/>
      <c r="S892" s="105"/>
      <c r="T892" s="105">
        <v>0</v>
      </c>
      <c r="U892" s="111"/>
      <c r="V892" s="111" t="s">
        <v>563</v>
      </c>
      <c r="W892" s="111"/>
      <c r="X892" s="111"/>
      <c r="Y892" s="111"/>
    </row>
    <row r="893" spans="1:25" x14ac:dyDescent="0.25">
      <c r="A893" s="104">
        <v>18</v>
      </c>
      <c r="B893" s="196" t="s">
        <v>1958</v>
      </c>
      <c r="C893" s="194" t="s">
        <v>1313</v>
      </c>
      <c r="D893" s="105">
        <v>0</v>
      </c>
      <c r="E893" s="13"/>
      <c r="F893" s="105">
        <v>0</v>
      </c>
      <c r="G893" s="105"/>
      <c r="H893" s="105">
        <v>0</v>
      </c>
      <c r="I893" s="105">
        <v>0</v>
      </c>
      <c r="J893" s="105"/>
      <c r="K893" s="105"/>
      <c r="L893" s="105">
        <v>0</v>
      </c>
      <c r="M893" s="105"/>
      <c r="N893" s="105">
        <v>0</v>
      </c>
      <c r="O893" s="105">
        <v>0</v>
      </c>
      <c r="P893" s="105">
        <v>0</v>
      </c>
      <c r="Q893" s="105">
        <v>0</v>
      </c>
      <c r="R893" s="105"/>
      <c r="S893" s="105"/>
      <c r="T893" s="105">
        <v>0</v>
      </c>
      <c r="U893" s="111"/>
      <c r="V893" s="111" t="s">
        <v>563</v>
      </c>
      <c r="W893" s="111"/>
      <c r="X893" s="111"/>
      <c r="Y893" s="111"/>
    </row>
    <row r="894" spans="1:25" x14ac:dyDescent="0.25">
      <c r="A894" s="104">
        <v>18</v>
      </c>
      <c r="B894" s="193" t="s">
        <v>572</v>
      </c>
      <c r="C894" s="194" t="s">
        <v>1336</v>
      </c>
      <c r="D894" s="105">
        <v>0</v>
      </c>
      <c r="E894" s="13"/>
      <c r="F894" s="105">
        <v>0</v>
      </c>
      <c r="G894" s="105"/>
      <c r="H894" s="105">
        <v>0</v>
      </c>
      <c r="I894" s="105">
        <v>0</v>
      </c>
      <c r="J894" s="105"/>
      <c r="K894" s="105"/>
      <c r="L894" s="105">
        <v>0</v>
      </c>
      <c r="M894" s="105"/>
      <c r="N894" s="105">
        <v>0</v>
      </c>
      <c r="O894" s="105">
        <v>0</v>
      </c>
      <c r="P894" s="105">
        <v>0</v>
      </c>
      <c r="Q894" s="105">
        <v>0</v>
      </c>
      <c r="R894" s="105"/>
      <c r="S894" s="105"/>
      <c r="T894" s="105">
        <v>0</v>
      </c>
      <c r="U894" s="111"/>
      <c r="V894" s="111" t="s">
        <v>563</v>
      </c>
      <c r="W894" s="111"/>
      <c r="X894" s="111"/>
      <c r="Y894" s="111"/>
    </row>
    <row r="895" spans="1:25" x14ac:dyDescent="0.25">
      <c r="A895" s="104">
        <v>20</v>
      </c>
      <c r="B895" s="193" t="s">
        <v>573</v>
      </c>
      <c r="C895" s="194" t="s">
        <v>904</v>
      </c>
      <c r="D895" s="105">
        <v>0</v>
      </c>
      <c r="E895" s="13"/>
      <c r="F895" s="105">
        <v>0</v>
      </c>
      <c r="G895" s="105"/>
      <c r="H895" s="105">
        <v>0</v>
      </c>
      <c r="I895" s="105">
        <v>0</v>
      </c>
      <c r="J895" s="105"/>
      <c r="K895" s="105"/>
      <c r="L895" s="105">
        <v>0</v>
      </c>
      <c r="M895" s="105"/>
      <c r="N895" s="105">
        <v>0</v>
      </c>
      <c r="O895" s="105">
        <v>0</v>
      </c>
      <c r="P895" s="105">
        <v>0</v>
      </c>
      <c r="Q895" s="105">
        <v>0</v>
      </c>
      <c r="R895" s="105"/>
      <c r="S895" s="105"/>
      <c r="T895" s="105">
        <v>0</v>
      </c>
      <c r="U895" s="111"/>
      <c r="V895" s="111" t="s">
        <v>563</v>
      </c>
      <c r="W895" s="111"/>
      <c r="X895" s="111"/>
      <c r="Y895" s="111"/>
    </row>
    <row r="896" spans="1:25" x14ac:dyDescent="0.25">
      <c r="A896" s="104">
        <v>21</v>
      </c>
      <c r="B896" s="193" t="s">
        <v>574</v>
      </c>
      <c r="C896" s="194" t="s">
        <v>1412</v>
      </c>
      <c r="D896" s="105">
        <v>0</v>
      </c>
      <c r="E896" s="13"/>
      <c r="F896" s="105">
        <v>0</v>
      </c>
      <c r="G896" s="105"/>
      <c r="H896" s="105">
        <v>0</v>
      </c>
      <c r="I896" s="105">
        <v>0</v>
      </c>
      <c r="J896" s="105"/>
      <c r="K896" s="105"/>
      <c r="L896" s="105">
        <v>0</v>
      </c>
      <c r="M896" s="105"/>
      <c r="N896" s="105" t="s">
        <v>2148</v>
      </c>
      <c r="O896" s="105">
        <v>0</v>
      </c>
      <c r="P896" s="105">
        <v>0</v>
      </c>
      <c r="Q896" s="105">
        <v>0</v>
      </c>
      <c r="R896" s="105"/>
      <c r="S896" s="105"/>
      <c r="T896" s="105">
        <v>0</v>
      </c>
      <c r="U896" s="111"/>
      <c r="V896" s="111" t="s">
        <v>563</v>
      </c>
      <c r="W896" s="111"/>
      <c r="X896" s="111"/>
      <c r="Y896" s="111"/>
    </row>
    <row r="897" spans="1:25" x14ac:dyDescent="0.25">
      <c r="A897" s="104">
        <v>22</v>
      </c>
      <c r="B897" s="193" t="s">
        <v>575</v>
      </c>
      <c r="C897" s="103"/>
      <c r="D897" s="105">
        <v>89931576</v>
      </c>
      <c r="E897" s="13"/>
      <c r="F897" s="105">
        <v>84144326.90693669</v>
      </c>
      <c r="G897" s="105"/>
      <c r="H897" s="105">
        <v>3907846.0523916194</v>
      </c>
      <c r="I897" s="105">
        <v>1879403.0406716915</v>
      </c>
      <c r="J897" s="105"/>
      <c r="K897" s="105"/>
      <c r="L897" s="105">
        <v>268.6903877332623</v>
      </c>
      <c r="M897" s="105"/>
      <c r="N897" s="105">
        <v>1879134.3502839583</v>
      </c>
      <c r="O897" s="105">
        <v>953044.42577511061</v>
      </c>
      <c r="P897" s="105">
        <v>926089.92450884765</v>
      </c>
      <c r="Q897" s="105">
        <v>0</v>
      </c>
      <c r="R897" s="105"/>
      <c r="S897" s="105"/>
      <c r="T897" s="105"/>
      <c r="W897" s="111"/>
    </row>
    <row r="898" spans="1:25" x14ac:dyDescent="0.25">
      <c r="A898" s="13"/>
      <c r="B898" s="13"/>
      <c r="C898" s="103"/>
      <c r="D898" s="13"/>
      <c r="E898" s="13"/>
      <c r="F898" s="105"/>
      <c r="G898" s="105"/>
      <c r="H898" s="105"/>
      <c r="I898" s="105"/>
      <c r="J898" s="105"/>
      <c r="K898" s="105"/>
      <c r="L898" s="105"/>
      <c r="M898" s="105"/>
      <c r="N898" s="105"/>
      <c r="O898" s="105"/>
      <c r="P898" s="105"/>
      <c r="Q898" s="105"/>
      <c r="R898" s="105"/>
      <c r="S898" s="105"/>
      <c r="T898" s="105"/>
      <c r="W898" s="111"/>
    </row>
    <row r="899" spans="1:25" x14ac:dyDescent="0.25">
      <c r="A899" s="104">
        <v>23</v>
      </c>
      <c r="B899" s="193" t="s">
        <v>1356</v>
      </c>
      <c r="C899" s="194" t="s">
        <v>1357</v>
      </c>
      <c r="D899" s="105">
        <v>980981.36999999965</v>
      </c>
      <c r="E899" s="13"/>
      <c r="F899" s="105">
        <v>951646.55364259344</v>
      </c>
      <c r="G899" s="105"/>
      <c r="H899" s="105">
        <v>29334.816357406231</v>
      </c>
      <c r="I899" s="105">
        <v>0</v>
      </c>
      <c r="J899" s="105"/>
      <c r="K899" s="105"/>
      <c r="L899" s="105">
        <v>0</v>
      </c>
      <c r="M899" s="105"/>
      <c r="N899" s="105">
        <v>0</v>
      </c>
      <c r="O899" s="105">
        <v>0</v>
      </c>
      <c r="P899" s="105">
        <v>0</v>
      </c>
      <c r="Q899" s="105">
        <v>0</v>
      </c>
      <c r="R899" s="105"/>
      <c r="S899" s="105"/>
      <c r="T899" s="105">
        <v>980981.36999999965</v>
      </c>
      <c r="U899" s="111"/>
      <c r="V899" s="111" t="s">
        <v>2105</v>
      </c>
      <c r="W899" s="111"/>
      <c r="X899" s="111"/>
      <c r="Y899" s="111"/>
    </row>
    <row r="900" spans="1:25" x14ac:dyDescent="0.25">
      <c r="A900" s="104">
        <v>24</v>
      </c>
      <c r="B900" s="196" t="s">
        <v>1959</v>
      </c>
      <c r="C900" s="194" t="s">
        <v>1359</v>
      </c>
      <c r="D900" s="105">
        <v>30898393.370000001</v>
      </c>
      <c r="E900" s="13"/>
      <c r="F900" s="105">
        <v>0</v>
      </c>
      <c r="G900" s="105"/>
      <c r="H900" s="105">
        <v>1710542.4421739152</v>
      </c>
      <c r="I900" s="105">
        <v>1.0102626508301783E-2</v>
      </c>
      <c r="J900" s="105"/>
      <c r="K900" s="105"/>
      <c r="L900" s="105">
        <v>0</v>
      </c>
      <c r="M900" s="105"/>
      <c r="N900" s="105">
        <v>1.0102626508301783E-2</v>
      </c>
      <c r="O900" s="105">
        <v>1.0102626508301783E-2</v>
      </c>
      <c r="P900" s="105">
        <v>0</v>
      </c>
      <c r="Q900" s="105">
        <v>0</v>
      </c>
      <c r="R900" s="105"/>
      <c r="S900" s="105"/>
      <c r="T900" s="105">
        <v>30898393.370000001</v>
      </c>
      <c r="U900" s="111"/>
      <c r="V900" s="111" t="s">
        <v>2149</v>
      </c>
      <c r="W900" s="111"/>
      <c r="X900" s="111"/>
      <c r="Y900" s="111"/>
    </row>
    <row r="901" spans="1:25" x14ac:dyDescent="0.25">
      <c r="A901" s="104">
        <v>25</v>
      </c>
      <c r="B901" s="193" t="s">
        <v>576</v>
      </c>
      <c r="C901" s="194" t="s">
        <v>1342</v>
      </c>
      <c r="D901" s="105">
        <v>-91173</v>
      </c>
      <c r="E901" s="13"/>
      <c r="F901" s="105">
        <v>0</v>
      </c>
      <c r="G901" s="105"/>
      <c r="H901" s="105">
        <v>-91173</v>
      </c>
      <c r="I901" s="105">
        <v>0</v>
      </c>
      <c r="J901" s="105"/>
      <c r="K901" s="105"/>
      <c r="L901" s="105">
        <v>0</v>
      </c>
      <c r="M901" s="105"/>
      <c r="N901" s="105">
        <v>0</v>
      </c>
      <c r="O901" s="105">
        <v>0</v>
      </c>
      <c r="P901" s="105">
        <v>0</v>
      </c>
      <c r="Q901" s="105">
        <v>0</v>
      </c>
      <c r="R901" s="105"/>
      <c r="S901" s="105"/>
      <c r="T901" s="105">
        <v>-91173</v>
      </c>
      <c r="U901" s="111"/>
      <c r="V901" s="111" t="s">
        <v>2106</v>
      </c>
      <c r="W901" s="111"/>
      <c r="X901" s="111"/>
      <c r="Y901" s="111"/>
    </row>
    <row r="902" spans="1:25" x14ac:dyDescent="0.25">
      <c r="A902" s="104">
        <v>26</v>
      </c>
      <c r="B902" s="196" t="s">
        <v>1960</v>
      </c>
      <c r="C902" s="194" t="s">
        <v>1392</v>
      </c>
      <c r="D902" s="105">
        <v>18730630.045384593</v>
      </c>
      <c r="E902" s="13"/>
      <c r="F902" s="105">
        <v>0</v>
      </c>
      <c r="G902" s="105"/>
      <c r="H902" s="105">
        <v>886419.9952795289</v>
      </c>
      <c r="I902" s="105">
        <v>9.983713851556715E-13</v>
      </c>
      <c r="J902" s="105"/>
      <c r="K902" s="105"/>
      <c r="L902" s="105">
        <v>0</v>
      </c>
      <c r="M902" s="105"/>
      <c r="N902" s="105">
        <v>9.983713851556715E-13</v>
      </c>
      <c r="O902" s="105">
        <v>0</v>
      </c>
      <c r="P902" s="105">
        <v>0</v>
      </c>
      <c r="Q902" s="105">
        <v>9.983713851556715E-13</v>
      </c>
      <c r="R902" s="105"/>
      <c r="S902" s="105"/>
      <c r="T902" s="105">
        <v>18730630.045384593</v>
      </c>
      <c r="U902" s="111"/>
      <c r="V902" s="146" t="s">
        <v>2107</v>
      </c>
      <c r="W902" s="111"/>
      <c r="X902" s="111"/>
      <c r="Y902" s="111"/>
    </row>
    <row r="903" spans="1:25" x14ac:dyDescent="0.25">
      <c r="A903" s="104">
        <v>27</v>
      </c>
      <c r="B903" s="196" t="s">
        <v>2033</v>
      </c>
      <c r="C903" s="194" t="s">
        <v>1392</v>
      </c>
      <c r="D903" s="105">
        <v>6921646.9999999981</v>
      </c>
      <c r="E903" s="13"/>
      <c r="F903" s="105">
        <v>0</v>
      </c>
      <c r="G903" s="105"/>
      <c r="H903" s="105">
        <v>0</v>
      </c>
      <c r="I903" s="105">
        <v>82420.366306762357</v>
      </c>
      <c r="J903" s="105"/>
      <c r="K903" s="105"/>
      <c r="L903" s="105">
        <v>0</v>
      </c>
      <c r="M903" s="105"/>
      <c r="N903" s="105">
        <v>82420.366306762357</v>
      </c>
      <c r="O903" s="105">
        <v>42960.284559247972</v>
      </c>
      <c r="P903" s="105">
        <v>39460.081747514385</v>
      </c>
      <c r="Q903" s="105">
        <v>3.689344291251633E-13</v>
      </c>
      <c r="R903" s="105"/>
      <c r="S903" s="105"/>
      <c r="T903" s="105">
        <v>6921646.9999999981</v>
      </c>
      <c r="U903" s="111"/>
      <c r="V903" s="146" t="s">
        <v>2034</v>
      </c>
      <c r="W903" s="111"/>
      <c r="X903" s="111"/>
      <c r="Y903" s="111"/>
    </row>
    <row r="904" spans="1:25" x14ac:dyDescent="0.25">
      <c r="A904" s="104">
        <v>28</v>
      </c>
      <c r="B904" s="196" t="s">
        <v>2035</v>
      </c>
      <c r="C904" s="194" t="s">
        <v>1392</v>
      </c>
      <c r="D904" s="105">
        <v>6465681.3499999996</v>
      </c>
      <c r="E904" s="13"/>
      <c r="F904" s="105">
        <v>0</v>
      </c>
      <c r="G904" s="105"/>
      <c r="H904" s="105">
        <v>0</v>
      </c>
      <c r="I904" s="105">
        <v>76990.899028771877</v>
      </c>
      <c r="J904" s="105"/>
      <c r="K904" s="105"/>
      <c r="L904" s="105">
        <v>0</v>
      </c>
      <c r="M904" s="105"/>
      <c r="N904" s="105">
        <v>76990.899028771877</v>
      </c>
      <c r="O904" s="105">
        <v>40130.262445545493</v>
      </c>
      <c r="P904" s="105">
        <v>36860.636583226391</v>
      </c>
      <c r="Q904" s="105">
        <v>3.4463075880169356E-13</v>
      </c>
      <c r="R904" s="105"/>
      <c r="S904" s="105"/>
      <c r="T904" s="105">
        <v>6465681.3499999996</v>
      </c>
      <c r="U904" s="111"/>
      <c r="V904" s="146" t="s">
        <v>2036</v>
      </c>
      <c r="W904" s="111"/>
      <c r="X904" s="111"/>
      <c r="Y904" s="111"/>
    </row>
    <row r="905" spans="1:25" x14ac:dyDescent="0.25">
      <c r="A905" s="104">
        <v>29</v>
      </c>
      <c r="B905" s="196" t="s">
        <v>2037</v>
      </c>
      <c r="C905" s="194" t="s">
        <v>1392</v>
      </c>
      <c r="D905" s="105">
        <v>1944142.0800000003</v>
      </c>
      <c r="E905" s="13"/>
      <c r="F905" s="105">
        <v>0</v>
      </c>
      <c r="G905" s="105"/>
      <c r="H905" s="105">
        <v>0</v>
      </c>
      <c r="I905" s="105">
        <v>23150.111871638492</v>
      </c>
      <c r="J905" s="105"/>
      <c r="K905" s="105"/>
      <c r="L905" s="105">
        <v>0</v>
      </c>
      <c r="M905" s="105"/>
      <c r="N905" s="105">
        <v>23150.111871638492</v>
      </c>
      <c r="O905" s="105">
        <v>12066.621857544638</v>
      </c>
      <c r="P905" s="105">
        <v>11083.490014093853</v>
      </c>
      <c r="Q905" s="105">
        <v>1.0362576254221111E-13</v>
      </c>
      <c r="R905" s="105"/>
      <c r="S905" s="105"/>
      <c r="T905" s="105">
        <v>1944142.0800000003</v>
      </c>
      <c r="U905" s="111"/>
      <c r="V905" s="146" t="s">
        <v>2038</v>
      </c>
      <c r="W905" s="111"/>
      <c r="X905" s="111"/>
      <c r="Y905" s="111"/>
    </row>
    <row r="906" spans="1:25" x14ac:dyDescent="0.25">
      <c r="A906" s="104">
        <v>30</v>
      </c>
      <c r="B906" s="193" t="s">
        <v>577</v>
      </c>
      <c r="C906" s="103"/>
      <c r="D906" s="104">
        <v>1560779031.2153842</v>
      </c>
      <c r="E906" s="13"/>
      <c r="F906" s="105">
        <v>1403242305.0390499</v>
      </c>
      <c r="G906" s="105"/>
      <c r="H906" s="105">
        <v>73972301.93308942</v>
      </c>
      <c r="I906" s="105">
        <v>21383454.222623929</v>
      </c>
      <c r="J906" s="105"/>
      <c r="K906" s="105"/>
      <c r="L906" s="105">
        <v>100832.41113827325</v>
      </c>
      <c r="M906" s="105"/>
      <c r="N906" s="105">
        <v>21282621.811485656</v>
      </c>
      <c r="O906" s="105">
        <v>11055770.468844846</v>
      </c>
      <c r="P906" s="105">
        <v>10226851.342640808</v>
      </c>
      <c r="Q906" s="105">
        <v>3.9436207251364882E-12</v>
      </c>
      <c r="R906" s="105"/>
      <c r="S906" s="105"/>
      <c r="T906" s="105"/>
      <c r="V906" s="146"/>
      <c r="W906" s="111"/>
    </row>
    <row r="907" spans="1:25" x14ac:dyDescent="0.25">
      <c r="A907" s="13"/>
      <c r="B907" s="13"/>
      <c r="C907" s="103"/>
      <c r="D907" s="13"/>
      <c r="E907" s="13"/>
      <c r="F907" s="105"/>
      <c r="G907" s="105"/>
      <c r="H907" s="105"/>
      <c r="I907" s="105"/>
      <c r="J907" s="105"/>
      <c r="K907" s="105"/>
      <c r="L907" s="105"/>
      <c r="M907" s="105"/>
      <c r="N907" s="105"/>
      <c r="O907" s="105"/>
      <c r="P907" s="105"/>
      <c r="Q907" s="105"/>
      <c r="R907" s="105"/>
      <c r="S907" s="105"/>
      <c r="T907" s="105"/>
      <c r="W907" s="111"/>
    </row>
    <row r="908" spans="1:25" x14ac:dyDescent="0.25">
      <c r="A908" s="104">
        <v>31</v>
      </c>
      <c r="B908" s="193" t="s">
        <v>33</v>
      </c>
      <c r="C908" s="103"/>
      <c r="D908" s="104">
        <v>5608486084.7506523</v>
      </c>
      <c r="E908" s="13"/>
      <c r="F908" s="105">
        <v>5320147419.2916718</v>
      </c>
      <c r="G908" s="105"/>
      <c r="H908" s="105">
        <v>268576867.75356632</v>
      </c>
      <c r="I908" s="105">
        <v>81942767.72603628</v>
      </c>
      <c r="J908" s="105"/>
      <c r="K908" s="105"/>
      <c r="L908" s="105">
        <v>450774.30744953413</v>
      </c>
      <c r="M908" s="105"/>
      <c r="N908" s="105">
        <v>81491993.418586746</v>
      </c>
      <c r="O908" s="105">
        <v>42275518.893805005</v>
      </c>
      <c r="P908" s="105">
        <v>39216474.524781741</v>
      </c>
      <c r="Q908" s="105">
        <v>8.589298353960229E-12</v>
      </c>
      <c r="R908" s="105"/>
      <c r="S908" s="105"/>
      <c r="T908" s="105"/>
      <c r="W908" s="111"/>
    </row>
    <row r="909" spans="1:25" x14ac:dyDescent="0.25">
      <c r="A909" s="13"/>
      <c r="B909" s="13"/>
      <c r="C909" s="103"/>
      <c r="D909" s="13"/>
      <c r="E909" s="13"/>
      <c r="F909" s="105"/>
      <c r="G909" s="105"/>
      <c r="H909" s="105"/>
      <c r="I909" s="105"/>
      <c r="J909" s="105"/>
      <c r="K909" s="105"/>
      <c r="L909" s="105"/>
      <c r="M909" s="105"/>
      <c r="N909" s="105"/>
      <c r="O909" s="105"/>
      <c r="P909" s="105"/>
      <c r="Q909" s="105"/>
      <c r="R909" s="105"/>
      <c r="S909" s="105"/>
      <c r="T909" s="105"/>
      <c r="W909" s="111"/>
    </row>
    <row r="910" spans="1:25" x14ac:dyDescent="0.25">
      <c r="A910" s="13"/>
      <c r="B910" s="13"/>
      <c r="C910" s="103"/>
      <c r="D910" s="13"/>
      <c r="E910" s="13"/>
      <c r="F910" s="105"/>
      <c r="G910" s="105"/>
      <c r="H910" s="105"/>
      <c r="I910" s="105"/>
      <c r="J910" s="105"/>
      <c r="K910" s="105"/>
      <c r="L910" s="105"/>
      <c r="M910" s="105"/>
      <c r="N910" s="105"/>
      <c r="O910" s="105"/>
      <c r="P910" s="105"/>
      <c r="Q910" s="105"/>
      <c r="R910" s="105"/>
      <c r="S910" s="105"/>
      <c r="T910" s="105"/>
      <c r="W910" s="111"/>
    </row>
    <row r="911" spans="1:25" x14ac:dyDescent="0.25">
      <c r="A911" s="13"/>
      <c r="B911" s="195" t="s">
        <v>1010</v>
      </c>
      <c r="C911" s="103"/>
      <c r="D911" s="13"/>
      <c r="E911" s="13"/>
      <c r="F911" s="105"/>
      <c r="G911" s="105"/>
      <c r="H911" s="105"/>
      <c r="I911" s="105"/>
      <c r="J911" s="105"/>
      <c r="K911" s="105"/>
      <c r="L911" s="105"/>
      <c r="M911" s="105"/>
      <c r="N911" s="105"/>
      <c r="O911" s="105"/>
      <c r="P911" s="105"/>
      <c r="Q911" s="105"/>
      <c r="R911" s="105"/>
      <c r="S911" s="105"/>
      <c r="T911" s="105"/>
      <c r="W911" s="111"/>
    </row>
    <row r="912" spans="1:25" x14ac:dyDescent="0.25">
      <c r="A912" s="13"/>
      <c r="B912" s="13"/>
      <c r="C912" s="103"/>
      <c r="D912" s="13"/>
      <c r="E912" s="13"/>
      <c r="F912" s="105"/>
      <c r="G912" s="105"/>
      <c r="H912" s="105"/>
      <c r="I912" s="105"/>
      <c r="J912" s="105"/>
      <c r="K912" s="105"/>
      <c r="L912" s="105"/>
      <c r="M912" s="105"/>
      <c r="N912" s="105"/>
      <c r="O912" s="105"/>
      <c r="P912" s="105"/>
      <c r="Q912" s="105"/>
      <c r="R912" s="105"/>
      <c r="S912" s="105"/>
      <c r="T912" s="105"/>
      <c r="W912" s="111"/>
    </row>
    <row r="913" spans="1:25" x14ac:dyDescent="0.25">
      <c r="A913" s="13"/>
      <c r="B913" s="193" t="s">
        <v>578</v>
      </c>
      <c r="C913" s="13"/>
      <c r="D913" s="13"/>
      <c r="E913" s="13"/>
      <c r="F913" s="105"/>
      <c r="G913" s="105"/>
      <c r="H913" s="105"/>
      <c r="I913" s="105"/>
      <c r="J913" s="105"/>
      <c r="K913" s="105"/>
      <c r="L913" s="105"/>
      <c r="M913" s="105"/>
      <c r="N913" s="105"/>
      <c r="O913" s="105"/>
      <c r="P913" s="105"/>
      <c r="Q913" s="105"/>
      <c r="R913" s="105"/>
      <c r="S913" s="105"/>
      <c r="T913" s="105"/>
      <c r="W913" s="111"/>
    </row>
    <row r="914" spans="1:25" x14ac:dyDescent="0.25">
      <c r="A914" s="104">
        <v>1</v>
      </c>
      <c r="B914" s="107" t="s">
        <v>1961</v>
      </c>
      <c r="C914" s="103"/>
      <c r="D914" s="105">
        <v>665768165.764902</v>
      </c>
      <c r="E914" s="13"/>
      <c r="F914" s="105">
        <v>627603230.20824051</v>
      </c>
      <c r="G914" s="105"/>
      <c r="H914" s="105">
        <v>38164935.556661539</v>
      </c>
      <c r="I914" s="105">
        <v>0</v>
      </c>
      <c r="J914" s="105"/>
      <c r="K914" s="105"/>
      <c r="L914" s="105">
        <v>0</v>
      </c>
      <c r="M914" s="105"/>
      <c r="N914" s="105">
        <v>0</v>
      </c>
      <c r="O914" s="105">
        <v>0</v>
      </c>
      <c r="P914" s="105">
        <v>0</v>
      </c>
      <c r="Q914" s="105">
        <v>0</v>
      </c>
      <c r="R914" s="105"/>
      <c r="S914" s="105"/>
      <c r="T914" s="105"/>
      <c r="W914" s="111"/>
    </row>
    <row r="915" spans="1:25" x14ac:dyDescent="0.25">
      <c r="A915" s="104">
        <v>2</v>
      </c>
      <c r="B915" s="107" t="s">
        <v>2039</v>
      </c>
      <c r="C915" s="103"/>
      <c r="D915" s="105">
        <v>416936627.96246159</v>
      </c>
      <c r="E915" s="13"/>
      <c r="F915" s="105">
        <v>399075052.97871023</v>
      </c>
      <c r="G915" s="105"/>
      <c r="H915" s="105">
        <v>17861574.983751338</v>
      </c>
      <c r="I915" s="105">
        <v>0</v>
      </c>
      <c r="J915" s="105"/>
      <c r="K915" s="105"/>
      <c r="L915" s="105">
        <v>0</v>
      </c>
      <c r="M915" s="105"/>
      <c r="N915" s="105">
        <v>0</v>
      </c>
      <c r="O915" s="105">
        <v>0</v>
      </c>
      <c r="P915" s="105">
        <v>0</v>
      </c>
      <c r="Q915" s="105">
        <v>0</v>
      </c>
      <c r="R915" s="105"/>
      <c r="S915" s="105"/>
      <c r="T915" s="105"/>
      <c r="W915" s="111"/>
    </row>
    <row r="916" spans="1:25" x14ac:dyDescent="0.25">
      <c r="A916" s="104">
        <v>3</v>
      </c>
      <c r="B916" s="107" t="s">
        <v>1962</v>
      </c>
      <c r="C916" s="103"/>
      <c r="D916" s="105">
        <v>432582971.44939744</v>
      </c>
      <c r="E916" s="13"/>
      <c r="F916" s="105">
        <v>424459179.00703847</v>
      </c>
      <c r="G916" s="105"/>
      <c r="H916" s="105">
        <v>8123792.442358966</v>
      </c>
      <c r="I916" s="105">
        <v>0</v>
      </c>
      <c r="J916" s="105"/>
      <c r="K916" s="105"/>
      <c r="L916" s="105">
        <v>0</v>
      </c>
      <c r="M916" s="105"/>
      <c r="N916" s="105">
        <v>0</v>
      </c>
      <c r="O916" s="105">
        <v>0</v>
      </c>
      <c r="P916" s="105">
        <v>0</v>
      </c>
      <c r="Q916" s="105">
        <v>0</v>
      </c>
      <c r="R916" s="105"/>
      <c r="S916" s="105"/>
      <c r="T916" s="105"/>
      <c r="W916" s="111"/>
    </row>
    <row r="917" spans="1:25" x14ac:dyDescent="0.25">
      <c r="A917" s="104">
        <v>4</v>
      </c>
      <c r="B917" s="107" t="s">
        <v>1963</v>
      </c>
      <c r="C917" s="103"/>
      <c r="D917" s="105">
        <v>13596477.613393851</v>
      </c>
      <c r="E917" s="13"/>
      <c r="F917" s="105">
        <v>13142281.488382259</v>
      </c>
      <c r="G917" s="105"/>
      <c r="H917" s="105">
        <v>454196.12501159054</v>
      </c>
      <c r="I917" s="105">
        <v>0</v>
      </c>
      <c r="J917" s="105"/>
      <c r="K917" s="105"/>
      <c r="L917" s="105">
        <v>0</v>
      </c>
      <c r="M917" s="105"/>
      <c r="N917" s="105">
        <v>0</v>
      </c>
      <c r="O917" s="105">
        <v>0</v>
      </c>
      <c r="P917" s="105">
        <v>0</v>
      </c>
      <c r="Q917" s="105">
        <v>0</v>
      </c>
      <c r="R917" s="105"/>
      <c r="S917" s="105"/>
      <c r="T917" s="105"/>
      <c r="W917" s="111"/>
    </row>
    <row r="918" spans="1:25" x14ac:dyDescent="0.25">
      <c r="A918" s="104">
        <v>5</v>
      </c>
      <c r="B918" s="107" t="s">
        <v>1964</v>
      </c>
      <c r="C918" s="103"/>
      <c r="D918" s="105">
        <v>130931034.2104449</v>
      </c>
      <c r="E918" s="13"/>
      <c r="F918" s="105">
        <v>124368330.20485443</v>
      </c>
      <c r="G918" s="105"/>
      <c r="H918" s="105">
        <v>6562704.0055904742</v>
      </c>
      <c r="I918" s="105">
        <v>0</v>
      </c>
      <c r="J918" s="105"/>
      <c r="K918" s="105"/>
      <c r="L918" s="105">
        <v>0</v>
      </c>
      <c r="M918" s="105"/>
      <c r="N918" s="105">
        <v>0</v>
      </c>
      <c r="O918" s="105">
        <v>0</v>
      </c>
      <c r="P918" s="105">
        <v>0</v>
      </c>
      <c r="Q918" s="105">
        <v>0</v>
      </c>
      <c r="R918" s="105"/>
      <c r="S918" s="105"/>
      <c r="T918" s="105"/>
      <c r="W918" s="111"/>
    </row>
    <row r="919" spans="1:25" x14ac:dyDescent="0.25">
      <c r="A919" s="104">
        <v>6</v>
      </c>
      <c r="B919" s="107" t="s">
        <v>1965</v>
      </c>
      <c r="C919" s="103"/>
      <c r="D919" s="105">
        <v>24857217.745995708</v>
      </c>
      <c r="E919" s="105"/>
      <c r="F919" s="105">
        <v>0</v>
      </c>
      <c r="G919" s="105"/>
      <c r="H919" s="105">
        <v>0</v>
      </c>
      <c r="I919" s="105">
        <v>24857217.745995708</v>
      </c>
      <c r="J919" s="105"/>
      <c r="K919" s="105"/>
      <c r="L919" s="105">
        <v>0</v>
      </c>
      <c r="M919" s="105"/>
      <c r="N919" s="105">
        <v>24857217.745995708</v>
      </c>
      <c r="O919" s="105">
        <v>12585764.562653359</v>
      </c>
      <c r="P919" s="105">
        <v>12271453.183342351</v>
      </c>
      <c r="Q919" s="105">
        <v>0</v>
      </c>
      <c r="R919" s="105"/>
      <c r="S919" s="105"/>
      <c r="T919" s="105"/>
      <c r="W919" s="111"/>
    </row>
    <row r="920" spans="1:25" x14ac:dyDescent="0.25">
      <c r="A920" s="104">
        <v>7</v>
      </c>
      <c r="B920" s="196" t="s">
        <v>2072</v>
      </c>
      <c r="C920" s="194"/>
      <c r="D920" s="105">
        <v>2969.5068393167198</v>
      </c>
      <c r="E920" s="105"/>
      <c r="F920" s="105">
        <v>0</v>
      </c>
      <c r="G920" s="105"/>
      <c r="H920" s="105">
        <v>2969.5068393167198</v>
      </c>
      <c r="I920" s="105">
        <v>0</v>
      </c>
      <c r="J920" s="105"/>
      <c r="K920" s="105"/>
      <c r="L920" s="105">
        <v>0</v>
      </c>
      <c r="M920" s="105"/>
      <c r="N920" s="105">
        <v>0</v>
      </c>
      <c r="O920" s="105">
        <v>0</v>
      </c>
      <c r="P920" s="105">
        <v>0</v>
      </c>
      <c r="Q920" s="105">
        <v>0</v>
      </c>
      <c r="R920" s="105"/>
      <c r="S920" s="105"/>
      <c r="T920" s="105">
        <v>2969.5068393167198</v>
      </c>
      <c r="U920" s="111"/>
      <c r="V920" s="111"/>
      <c r="W920" s="146" t="s">
        <v>2108</v>
      </c>
      <c r="X920" s="111"/>
      <c r="Y920" s="111"/>
    </row>
    <row r="921" spans="1:25" x14ac:dyDescent="0.25">
      <c r="A921" s="13">
        <v>8</v>
      </c>
      <c r="B921" s="196" t="s">
        <v>1966</v>
      </c>
      <c r="C921" s="103"/>
      <c r="D921" s="105"/>
      <c r="E921" s="105"/>
      <c r="F921" s="105"/>
      <c r="G921" s="105"/>
      <c r="H921" s="105"/>
      <c r="I921" s="105"/>
      <c r="J921" s="105"/>
      <c r="K921" s="105"/>
      <c r="L921" s="105"/>
      <c r="M921" s="105"/>
      <c r="N921" s="105"/>
      <c r="O921" s="105"/>
      <c r="P921" s="105"/>
      <c r="Q921" s="105"/>
      <c r="R921" s="105"/>
      <c r="S921" s="105"/>
      <c r="T921" s="105"/>
      <c r="W921" s="111"/>
    </row>
    <row r="922" spans="1:25" x14ac:dyDescent="0.25">
      <c r="A922" s="104">
        <v>9</v>
      </c>
      <c r="B922" s="196" t="s">
        <v>1967</v>
      </c>
      <c r="C922" s="194" t="s">
        <v>1237</v>
      </c>
      <c r="D922" s="105">
        <v>0</v>
      </c>
      <c r="E922" s="105"/>
      <c r="F922" s="105">
        <v>0</v>
      </c>
      <c r="G922" s="105"/>
      <c r="H922" s="105">
        <v>0</v>
      </c>
      <c r="I922" s="105">
        <v>0</v>
      </c>
      <c r="J922" s="105"/>
      <c r="K922" s="105"/>
      <c r="L922" s="105">
        <v>0</v>
      </c>
      <c r="M922" s="105"/>
      <c r="N922" s="105">
        <v>0</v>
      </c>
      <c r="O922" s="105">
        <v>0</v>
      </c>
      <c r="P922" s="105">
        <v>0</v>
      </c>
      <c r="Q922" s="105">
        <v>0</v>
      </c>
      <c r="R922" s="105"/>
      <c r="S922" s="105"/>
      <c r="T922" s="105">
        <v>0</v>
      </c>
      <c r="U922" s="111"/>
      <c r="V922" s="111"/>
      <c r="W922" s="111"/>
      <c r="X922" s="111"/>
      <c r="Y922" s="111"/>
    </row>
    <row r="923" spans="1:25" x14ac:dyDescent="0.25">
      <c r="A923" s="104">
        <v>10</v>
      </c>
      <c r="B923" s="196" t="s">
        <v>1968</v>
      </c>
      <c r="C923" s="194" t="s">
        <v>1343</v>
      </c>
      <c r="D923" s="105">
        <v>10135947.354481341</v>
      </c>
      <c r="E923" s="105"/>
      <c r="F923" s="105">
        <v>9538019.3014995866</v>
      </c>
      <c r="G923" s="105"/>
      <c r="H923" s="105">
        <v>389107.68511496321</v>
      </c>
      <c r="I923" s="105">
        <v>208820.36786679088</v>
      </c>
      <c r="J923" s="105"/>
      <c r="K923" s="105"/>
      <c r="L923" s="105">
        <v>42.686962046929459</v>
      </c>
      <c r="M923" s="105"/>
      <c r="N923" s="105">
        <v>208777.68090474396</v>
      </c>
      <c r="O923" s="105">
        <v>105726.6164070067</v>
      </c>
      <c r="P923" s="105">
        <v>103051.06449773727</v>
      </c>
      <c r="Q923" s="105">
        <v>0</v>
      </c>
      <c r="R923" s="105"/>
      <c r="S923" s="105"/>
      <c r="T923" s="105">
        <v>10135947.354481339</v>
      </c>
      <c r="U923" s="111"/>
      <c r="V923" s="111"/>
      <c r="W923" s="111"/>
      <c r="X923" s="111"/>
      <c r="Y923" s="111"/>
    </row>
    <row r="924" spans="1:25" x14ac:dyDescent="0.25">
      <c r="A924" s="104">
        <v>11</v>
      </c>
      <c r="B924" s="196" t="s">
        <v>1969</v>
      </c>
      <c r="C924" s="103"/>
      <c r="D924" s="105">
        <v>10135947.354481341</v>
      </c>
      <c r="E924" s="105"/>
      <c r="F924" s="105">
        <v>9538019.3014995866</v>
      </c>
      <c r="G924" s="105"/>
      <c r="H924" s="105">
        <v>389107.68511496321</v>
      </c>
      <c r="I924" s="105">
        <v>208820.36786679088</v>
      </c>
      <c r="J924" s="105"/>
      <c r="K924" s="105"/>
      <c r="L924" s="105">
        <v>42.686962046929459</v>
      </c>
      <c r="M924" s="105"/>
      <c r="N924" s="105">
        <v>208777.68090474396</v>
      </c>
      <c r="O924" s="105">
        <v>105726.6164070067</v>
      </c>
      <c r="P924" s="105">
        <v>103051.06449773727</v>
      </c>
      <c r="Q924" s="105">
        <v>0</v>
      </c>
      <c r="R924" s="105"/>
      <c r="S924" s="105"/>
      <c r="T924" s="105"/>
      <c r="W924" s="111"/>
    </row>
    <row r="925" spans="1:25" x14ac:dyDescent="0.25">
      <c r="A925" s="13"/>
      <c r="B925" s="13"/>
      <c r="C925" s="103"/>
      <c r="D925" s="105"/>
      <c r="E925" s="105"/>
      <c r="F925" s="105"/>
      <c r="G925" s="105"/>
      <c r="H925" s="105"/>
      <c r="I925" s="105"/>
      <c r="J925" s="105"/>
      <c r="K925" s="105"/>
      <c r="L925" s="105"/>
      <c r="M925" s="105"/>
      <c r="N925" s="105"/>
      <c r="O925" s="105"/>
      <c r="P925" s="105"/>
      <c r="Q925" s="105"/>
      <c r="R925" s="105"/>
      <c r="S925" s="105"/>
      <c r="T925" s="105"/>
      <c r="W925" s="111"/>
    </row>
    <row r="926" spans="1:25" x14ac:dyDescent="0.25">
      <c r="A926" s="104">
        <v>12</v>
      </c>
      <c r="B926" s="202" t="s">
        <v>1970</v>
      </c>
      <c r="C926" s="103"/>
      <c r="D926" s="105">
        <v>0</v>
      </c>
      <c r="E926" s="105"/>
      <c r="F926" s="105">
        <v>0</v>
      </c>
      <c r="G926" s="105"/>
      <c r="H926" s="105">
        <v>0</v>
      </c>
      <c r="I926" s="105">
        <v>0</v>
      </c>
      <c r="J926" s="105"/>
      <c r="K926" s="105"/>
      <c r="L926" s="105">
        <v>0</v>
      </c>
      <c r="M926" s="105"/>
      <c r="N926" s="105">
        <v>0</v>
      </c>
      <c r="O926" s="105">
        <v>0</v>
      </c>
      <c r="P926" s="105">
        <v>0</v>
      </c>
      <c r="Q926" s="105">
        <v>0</v>
      </c>
      <c r="R926" s="105"/>
      <c r="S926" s="105"/>
      <c r="T926" s="105">
        <v>0</v>
      </c>
      <c r="W926" s="111"/>
    </row>
    <row r="927" spans="1:25" x14ac:dyDescent="0.25">
      <c r="A927" s="13"/>
      <c r="B927" s="13"/>
      <c r="C927" s="13"/>
      <c r="D927" s="105"/>
      <c r="E927" s="105"/>
      <c r="F927" s="105"/>
      <c r="G927" s="105"/>
      <c r="H927" s="105"/>
      <c r="I927" s="105"/>
      <c r="J927" s="105"/>
      <c r="K927" s="105"/>
      <c r="L927" s="105"/>
      <c r="M927" s="105"/>
      <c r="N927" s="105"/>
      <c r="O927" s="105"/>
      <c r="P927" s="105"/>
      <c r="Q927" s="105"/>
      <c r="R927" s="105"/>
      <c r="S927" s="105"/>
      <c r="T927" s="105"/>
      <c r="W927" s="111"/>
    </row>
    <row r="928" spans="1:25" x14ac:dyDescent="0.25">
      <c r="A928" s="104">
        <v>13</v>
      </c>
      <c r="B928" s="196" t="s">
        <v>1971</v>
      </c>
      <c r="C928" s="13"/>
      <c r="D928" s="105">
        <v>1694811411.6079164</v>
      </c>
      <c r="E928" s="105"/>
      <c r="F928" s="105">
        <v>1598186093.1887257</v>
      </c>
      <c r="G928" s="105"/>
      <c r="H928" s="105">
        <v>71559280.30532819</v>
      </c>
      <c r="I928" s="105">
        <v>25066038.1138625</v>
      </c>
      <c r="J928" s="105"/>
      <c r="K928" s="105"/>
      <c r="L928" s="105">
        <v>42.686962046929459</v>
      </c>
      <c r="M928" s="105"/>
      <c r="N928" s="105">
        <v>25065995.426900454</v>
      </c>
      <c r="O928" s="105">
        <v>12691491.179060366</v>
      </c>
      <c r="P928" s="105">
        <v>12374504.247840088</v>
      </c>
      <c r="Q928" s="105">
        <v>0</v>
      </c>
      <c r="R928" s="105"/>
      <c r="S928" s="105"/>
      <c r="T928" s="105"/>
      <c r="W928" s="111"/>
    </row>
    <row r="929" spans="1:29" x14ac:dyDescent="0.25">
      <c r="A929" s="13"/>
      <c r="B929" s="13"/>
      <c r="C929" s="13"/>
      <c r="D929" s="105"/>
      <c r="E929" s="105"/>
      <c r="F929" s="105"/>
      <c r="G929" s="105"/>
      <c r="H929" s="105"/>
      <c r="I929" s="105"/>
      <c r="J929" s="105"/>
      <c r="K929" s="105"/>
      <c r="L929" s="105"/>
      <c r="M929" s="105"/>
      <c r="N929" s="105"/>
      <c r="O929" s="105"/>
      <c r="P929" s="105"/>
      <c r="Q929" s="105"/>
      <c r="R929" s="105"/>
      <c r="S929" s="105"/>
      <c r="T929" s="105"/>
      <c r="W929" s="111"/>
    </row>
    <row r="930" spans="1:29" x14ac:dyDescent="0.25">
      <c r="A930" s="13"/>
      <c r="B930" s="193" t="s">
        <v>579</v>
      </c>
      <c r="C930" s="103"/>
      <c r="D930" s="105"/>
      <c r="E930" s="105"/>
      <c r="F930" s="105"/>
      <c r="G930" s="105"/>
      <c r="H930" s="105"/>
      <c r="I930" s="105"/>
      <c r="J930" s="105"/>
      <c r="K930" s="105"/>
      <c r="L930" s="105"/>
      <c r="M930" s="105"/>
      <c r="N930" s="105"/>
      <c r="O930" s="105"/>
      <c r="P930" s="105"/>
      <c r="Q930" s="105"/>
      <c r="R930" s="105"/>
      <c r="S930" s="105"/>
      <c r="T930" s="105"/>
      <c r="W930" s="111"/>
    </row>
    <row r="931" spans="1:29" x14ac:dyDescent="0.25">
      <c r="A931" s="104">
        <v>14</v>
      </c>
      <c r="B931" s="196" t="s">
        <v>1972</v>
      </c>
      <c r="C931" s="197" t="s">
        <v>1833</v>
      </c>
      <c r="D931" s="105">
        <v>3962819.9333333327</v>
      </c>
      <c r="E931" s="105"/>
      <c r="F931" s="105">
        <v>3803817.2532682326</v>
      </c>
      <c r="G931" s="105"/>
      <c r="H931" s="105">
        <v>158910.25599425804</v>
      </c>
      <c r="I931" s="105">
        <v>92.424070842210355</v>
      </c>
      <c r="J931" s="105"/>
      <c r="K931" s="105"/>
      <c r="L931" s="105">
        <v>0</v>
      </c>
      <c r="M931" s="105"/>
      <c r="N931" s="105">
        <v>92.424070842210355</v>
      </c>
      <c r="O931" s="105">
        <v>5.7637833968665726</v>
      </c>
      <c r="P931" s="105">
        <v>86.660287445343783</v>
      </c>
      <c r="Q931" s="105">
        <v>0</v>
      </c>
      <c r="R931" s="105"/>
      <c r="S931" s="105"/>
      <c r="T931" s="105">
        <v>3962819.9333333336</v>
      </c>
      <c r="U931" s="111"/>
      <c r="V931" s="111"/>
      <c r="W931" s="111"/>
      <c r="X931" s="111"/>
      <c r="Y931" s="111"/>
    </row>
    <row r="932" spans="1:29" x14ac:dyDescent="0.25">
      <c r="A932" s="104">
        <v>15</v>
      </c>
      <c r="B932" s="196" t="s">
        <v>1973</v>
      </c>
      <c r="C932" s="197" t="s">
        <v>1823</v>
      </c>
      <c r="D932" s="105">
        <v>2253137.8000000003</v>
      </c>
      <c r="E932" s="105"/>
      <c r="F932" s="105">
        <v>2110069.1081305002</v>
      </c>
      <c r="G932" s="105"/>
      <c r="H932" s="105">
        <v>143068.69186950012</v>
      </c>
      <c r="I932" s="105">
        <v>0</v>
      </c>
      <c r="J932" s="105"/>
      <c r="K932" s="105"/>
      <c r="L932" s="105">
        <v>0</v>
      </c>
      <c r="M932" s="105"/>
      <c r="N932" s="105">
        <v>0</v>
      </c>
      <c r="O932" s="105">
        <v>0</v>
      </c>
      <c r="P932" s="105">
        <v>0</v>
      </c>
      <c r="Q932" s="105">
        <v>0</v>
      </c>
      <c r="R932" s="105"/>
      <c r="S932" s="105"/>
      <c r="T932" s="105">
        <v>2253137.8000000003</v>
      </c>
      <c r="U932" s="111"/>
      <c r="V932" s="111"/>
      <c r="W932" s="111"/>
      <c r="X932" s="111"/>
      <c r="Y932" s="111"/>
    </row>
    <row r="933" spans="1:29" x14ac:dyDescent="0.25">
      <c r="A933" s="104">
        <v>16</v>
      </c>
      <c r="B933" s="196" t="s">
        <v>1974</v>
      </c>
      <c r="C933" s="197" t="s">
        <v>1825</v>
      </c>
      <c r="D933" s="105">
        <v>59718.7933333334</v>
      </c>
      <c r="E933" s="105"/>
      <c r="F933" s="105">
        <v>59264.561379314859</v>
      </c>
      <c r="G933" s="105"/>
      <c r="H933" s="105">
        <v>454.23195401854167</v>
      </c>
      <c r="I933" s="105">
        <v>0</v>
      </c>
      <c r="J933" s="105"/>
      <c r="K933" s="105"/>
      <c r="L933" s="105">
        <v>0</v>
      </c>
      <c r="M933" s="105"/>
      <c r="N933" s="105">
        <v>0</v>
      </c>
      <c r="O933" s="105">
        <v>0</v>
      </c>
      <c r="P933" s="105">
        <v>0</v>
      </c>
      <c r="Q933" s="105">
        <v>0</v>
      </c>
      <c r="R933" s="105"/>
      <c r="S933" s="105"/>
      <c r="T933" s="105">
        <v>59718.7933333334</v>
      </c>
      <c r="Z933" s="111"/>
      <c r="AA933" s="108"/>
    </row>
    <row r="934" spans="1:29" x14ac:dyDescent="0.25">
      <c r="A934" s="104">
        <v>17</v>
      </c>
      <c r="B934" s="196" t="s">
        <v>1975</v>
      </c>
      <c r="C934" s="197" t="s">
        <v>1817</v>
      </c>
      <c r="D934" s="105">
        <v>3695780.1399999964</v>
      </c>
      <c r="E934" s="105"/>
      <c r="F934" s="105">
        <v>3139768.4099999964</v>
      </c>
      <c r="G934" s="105"/>
      <c r="H934" s="105">
        <v>387734.87</v>
      </c>
      <c r="I934" s="105">
        <v>168276.86000000002</v>
      </c>
      <c r="J934" s="105"/>
      <c r="K934" s="105"/>
      <c r="L934" s="105">
        <v>57.5</v>
      </c>
      <c r="M934" s="105"/>
      <c r="N934" s="105">
        <v>168219.36000000002</v>
      </c>
      <c r="O934" s="105">
        <v>168219.36000000002</v>
      </c>
      <c r="P934" s="105">
        <v>0</v>
      </c>
      <c r="Q934" s="105">
        <v>0</v>
      </c>
      <c r="R934" s="105"/>
      <c r="S934" s="105"/>
      <c r="T934" s="105">
        <v>3695780.1399999964</v>
      </c>
    </row>
    <row r="935" spans="1:29" x14ac:dyDescent="0.25">
      <c r="A935" s="104">
        <v>18</v>
      </c>
      <c r="B935" s="196" t="s">
        <v>2150</v>
      </c>
      <c r="C935" s="197" t="s">
        <v>1837</v>
      </c>
      <c r="D935" s="105">
        <v>5720.6799999999994</v>
      </c>
      <c r="E935" s="105"/>
      <c r="F935" s="105">
        <v>5720.6799999999994</v>
      </c>
      <c r="G935" s="105"/>
      <c r="H935" s="105">
        <v>0</v>
      </c>
      <c r="I935" s="105">
        <v>0</v>
      </c>
      <c r="J935" s="105"/>
      <c r="K935" s="105"/>
      <c r="L935" s="105">
        <v>0</v>
      </c>
      <c r="M935" s="105"/>
      <c r="N935" s="105">
        <v>0</v>
      </c>
      <c r="O935" s="105">
        <v>0</v>
      </c>
      <c r="P935" s="105">
        <v>0</v>
      </c>
      <c r="Q935" s="105">
        <v>0</v>
      </c>
      <c r="R935" s="105"/>
      <c r="S935" s="105"/>
      <c r="T935" s="105">
        <v>5720.6799999999994</v>
      </c>
      <c r="V935" s="15" t="s">
        <v>2151</v>
      </c>
      <c r="W935" s="15" t="s">
        <v>2152</v>
      </c>
      <c r="X935" s="15" t="s">
        <v>2099</v>
      </c>
      <c r="Y935" s="15" t="s">
        <v>1223</v>
      </c>
      <c r="Z935" s="15" t="s">
        <v>1224</v>
      </c>
    </row>
    <row r="936" spans="1:29" x14ac:dyDescent="0.25">
      <c r="A936" s="104">
        <v>19</v>
      </c>
      <c r="B936" s="196" t="s">
        <v>2153</v>
      </c>
      <c r="C936" s="197" t="s">
        <v>1983</v>
      </c>
      <c r="D936" s="105">
        <v>7379090.0399999991</v>
      </c>
      <c r="E936" s="105"/>
      <c r="F936" s="105">
        <v>6877843.4400000004</v>
      </c>
      <c r="G936" s="105"/>
      <c r="H936" s="105">
        <v>360291.24</v>
      </c>
      <c r="I936" s="105">
        <v>140955.35999999882</v>
      </c>
      <c r="J936" s="105"/>
      <c r="K936" s="105"/>
      <c r="L936" s="105">
        <v>0</v>
      </c>
      <c r="M936" s="105"/>
      <c r="N936" s="105">
        <v>140955.35999999882</v>
      </c>
      <c r="O936" s="105">
        <v>71368.847186842278</v>
      </c>
      <c r="P936" s="105">
        <v>69586.512813156529</v>
      </c>
      <c r="Q936" s="105">
        <v>0</v>
      </c>
      <c r="R936" s="105"/>
      <c r="S936" s="105"/>
      <c r="T936" s="105">
        <v>7379090.0399999991</v>
      </c>
      <c r="U936" s="109" t="s">
        <v>2154</v>
      </c>
      <c r="V936" s="111">
        <v>6877843.4400000004</v>
      </c>
      <c r="W936" s="111">
        <v>360291.24</v>
      </c>
      <c r="X936" s="111">
        <v>140955.35999999879</v>
      </c>
      <c r="Y936" s="15">
        <v>71368.847186842278</v>
      </c>
      <c r="Z936" s="15">
        <v>69586.512813156529</v>
      </c>
      <c r="AA936" s="15" t="s">
        <v>2101</v>
      </c>
    </row>
    <row r="937" spans="1:29" x14ac:dyDescent="0.25">
      <c r="A937" s="104">
        <v>20</v>
      </c>
      <c r="B937" s="196" t="s">
        <v>1977</v>
      </c>
      <c r="C937" s="197" t="s">
        <v>1768</v>
      </c>
      <c r="D937" s="105">
        <v>21969461.876645327</v>
      </c>
      <c r="E937" s="105"/>
      <c r="F937" s="105">
        <v>21007438.006358631</v>
      </c>
      <c r="G937" s="105"/>
      <c r="H937" s="105">
        <v>961956.43933719886</v>
      </c>
      <c r="I937" s="105">
        <v>67.430949497203031</v>
      </c>
      <c r="J937" s="105"/>
      <c r="K937" s="105"/>
      <c r="L937" s="105">
        <v>67.430949497203031</v>
      </c>
      <c r="M937" s="105"/>
      <c r="N937" s="105">
        <v>0</v>
      </c>
      <c r="O937" s="105">
        <v>0</v>
      </c>
      <c r="P937" s="105">
        <v>0</v>
      </c>
      <c r="Q937" s="105">
        <v>0</v>
      </c>
      <c r="R937" s="105"/>
      <c r="S937" s="105"/>
      <c r="T937" s="105">
        <v>21969461.876645327</v>
      </c>
      <c r="U937" s="111"/>
      <c r="V937" s="111"/>
      <c r="W937" s="146"/>
      <c r="X937" s="111"/>
      <c r="Y937" s="118"/>
      <c r="AA937" s="118"/>
      <c r="AB937" s="118"/>
      <c r="AC937" s="118"/>
    </row>
    <row r="938" spans="1:29" x14ac:dyDescent="0.25">
      <c r="A938" s="104">
        <v>21</v>
      </c>
      <c r="B938" s="196" t="s">
        <v>2040</v>
      </c>
      <c r="C938" s="197" t="s">
        <v>1250</v>
      </c>
      <c r="D938" s="105">
        <v>1500447.0144977879</v>
      </c>
      <c r="E938" s="105"/>
      <c r="F938" s="105">
        <v>1406543.0847488027</v>
      </c>
      <c r="G938" s="105"/>
      <c r="H938" s="105">
        <v>64407.338827789259</v>
      </c>
      <c r="I938" s="105">
        <v>29496.590921195835</v>
      </c>
      <c r="J938" s="105"/>
      <c r="K938" s="105"/>
      <c r="L938" s="105">
        <v>4.5148073594042586</v>
      </c>
      <c r="M938" s="105"/>
      <c r="N938" s="105">
        <v>29492.076113836432</v>
      </c>
      <c r="O938" s="105">
        <v>14957.556781706307</v>
      </c>
      <c r="P938" s="105">
        <v>14534.519332130127</v>
      </c>
      <c r="Q938" s="105">
        <v>0</v>
      </c>
      <c r="R938" s="105"/>
      <c r="S938" s="105"/>
      <c r="T938" s="105">
        <v>1500447.0144977877</v>
      </c>
      <c r="U938" s="111"/>
      <c r="V938" s="111"/>
      <c r="W938" s="146"/>
      <c r="X938" s="111"/>
      <c r="Y938" s="118"/>
      <c r="AA938" s="118"/>
      <c r="AB938" s="118"/>
      <c r="AC938" s="118"/>
    </row>
    <row r="939" spans="1:29" x14ac:dyDescent="0.25">
      <c r="A939" s="104">
        <v>22</v>
      </c>
      <c r="B939" s="196" t="s">
        <v>1978</v>
      </c>
      <c r="C939" s="197" t="s">
        <v>1837</v>
      </c>
      <c r="D939" s="105">
        <v>600</v>
      </c>
      <c r="E939" s="105"/>
      <c r="F939" s="105">
        <v>600</v>
      </c>
      <c r="G939" s="105"/>
      <c r="H939" s="105">
        <v>0</v>
      </c>
      <c r="I939" s="105">
        <v>0</v>
      </c>
      <c r="J939" s="105"/>
      <c r="K939" s="105"/>
      <c r="L939" s="105">
        <v>0</v>
      </c>
      <c r="M939" s="105"/>
      <c r="N939" s="105">
        <v>0</v>
      </c>
      <c r="O939" s="105">
        <v>0</v>
      </c>
      <c r="P939" s="105">
        <v>0</v>
      </c>
      <c r="Q939" s="105">
        <v>0</v>
      </c>
      <c r="R939" s="105"/>
      <c r="S939" s="105"/>
      <c r="T939" s="105">
        <v>600</v>
      </c>
      <c r="U939" s="111"/>
      <c r="V939" s="111"/>
      <c r="W939" s="111"/>
      <c r="X939" s="111"/>
      <c r="Y939" s="111"/>
    </row>
    <row r="940" spans="1:29" x14ac:dyDescent="0.25">
      <c r="A940" s="104">
        <v>23</v>
      </c>
      <c r="B940" s="196" t="s">
        <v>1979</v>
      </c>
      <c r="C940" s="197" t="s">
        <v>1827</v>
      </c>
      <c r="D940" s="105">
        <v>162426.66666666718</v>
      </c>
      <c r="E940" s="105"/>
      <c r="F940" s="105">
        <v>162426.66666666718</v>
      </c>
      <c r="G940" s="105"/>
      <c r="H940" s="105">
        <v>0</v>
      </c>
      <c r="I940" s="105">
        <v>0</v>
      </c>
      <c r="J940" s="105"/>
      <c r="K940" s="105"/>
      <c r="L940" s="105">
        <v>0</v>
      </c>
      <c r="M940" s="105"/>
      <c r="N940" s="105">
        <v>0</v>
      </c>
      <c r="O940" s="105">
        <v>0</v>
      </c>
      <c r="P940" s="105">
        <v>0</v>
      </c>
      <c r="Q940" s="105">
        <v>0</v>
      </c>
      <c r="R940" s="105"/>
      <c r="S940" s="105"/>
      <c r="T940" s="105">
        <v>162426.66666666718</v>
      </c>
      <c r="U940" s="111"/>
      <c r="V940" s="111"/>
      <c r="W940" s="111"/>
      <c r="X940" s="111"/>
      <c r="Y940" s="111"/>
    </row>
    <row r="941" spans="1:29" x14ac:dyDescent="0.25">
      <c r="A941" s="104">
        <v>24</v>
      </c>
      <c r="B941" s="196" t="s">
        <v>1980</v>
      </c>
      <c r="C941" s="197" t="s">
        <v>1821</v>
      </c>
      <c r="D941" s="105">
        <v>72900.206666669401</v>
      </c>
      <c r="E941" s="105"/>
      <c r="F941" s="105">
        <v>72900.206666669401</v>
      </c>
      <c r="G941" s="105"/>
      <c r="H941" s="105">
        <v>0</v>
      </c>
      <c r="I941" s="105">
        <v>0</v>
      </c>
      <c r="J941" s="105"/>
      <c r="K941" s="105"/>
      <c r="L941" s="105">
        <v>0</v>
      </c>
      <c r="M941" s="105"/>
      <c r="N941" s="105">
        <v>0</v>
      </c>
      <c r="O941" s="105">
        <v>0</v>
      </c>
      <c r="P941" s="105">
        <v>0</v>
      </c>
      <c r="Q941" s="105">
        <v>0</v>
      </c>
      <c r="R941" s="105"/>
      <c r="S941" s="105"/>
      <c r="T941" s="105">
        <v>72900.206666669401</v>
      </c>
      <c r="U941" s="111"/>
      <c r="V941" s="111"/>
      <c r="W941" s="111"/>
      <c r="X941" s="111"/>
      <c r="Y941" s="111"/>
    </row>
    <row r="942" spans="1:29" x14ac:dyDescent="0.25">
      <c r="A942" s="104">
        <v>25</v>
      </c>
      <c r="B942" s="196" t="s">
        <v>1981</v>
      </c>
      <c r="C942" s="197" t="s">
        <v>1819</v>
      </c>
      <c r="D942" s="105">
        <v>32021.28999999995</v>
      </c>
      <c r="E942" s="105"/>
      <c r="F942" s="105">
        <v>30678.048313890475</v>
      </c>
      <c r="G942" s="105"/>
      <c r="H942" s="105">
        <v>1343.2416861094771</v>
      </c>
      <c r="I942" s="105">
        <v>0</v>
      </c>
      <c r="J942" s="105"/>
      <c r="K942" s="105"/>
      <c r="L942" s="105">
        <v>0</v>
      </c>
      <c r="M942" s="105"/>
      <c r="N942" s="105">
        <v>0</v>
      </c>
      <c r="O942" s="105">
        <v>0</v>
      </c>
      <c r="P942" s="105">
        <v>0</v>
      </c>
      <c r="Q942" s="105">
        <v>0</v>
      </c>
      <c r="R942" s="105"/>
      <c r="S942" s="105"/>
      <c r="T942" s="105">
        <v>32021.28999999995</v>
      </c>
      <c r="U942" s="111"/>
      <c r="V942" s="111" t="s">
        <v>2151</v>
      </c>
      <c r="W942" s="111" t="s">
        <v>2152</v>
      </c>
      <c r="X942" s="111" t="s">
        <v>2099</v>
      </c>
      <c r="Y942" s="15" t="s">
        <v>1223</v>
      </c>
      <c r="Z942" s="15" t="s">
        <v>1224</v>
      </c>
      <c r="AA942" s="108"/>
    </row>
    <row r="943" spans="1:29" x14ac:dyDescent="0.25">
      <c r="A943" s="104">
        <v>26</v>
      </c>
      <c r="B943" s="196" t="s">
        <v>2155</v>
      </c>
      <c r="C943" s="197" t="s">
        <v>1983</v>
      </c>
      <c r="D943" s="105">
        <v>182160.93665792039</v>
      </c>
      <c r="E943" s="105"/>
      <c r="F943" s="105">
        <v>173339.37665792039</v>
      </c>
      <c r="G943" s="105"/>
      <c r="H943" s="105">
        <v>8821.56</v>
      </c>
      <c r="I943" s="105">
        <v>0</v>
      </c>
      <c r="J943" s="105"/>
      <c r="K943" s="105"/>
      <c r="L943" s="105">
        <v>0</v>
      </c>
      <c r="M943" s="105"/>
      <c r="N943" s="105">
        <v>0</v>
      </c>
      <c r="O943" s="105">
        <v>0</v>
      </c>
      <c r="P943" s="105">
        <v>0</v>
      </c>
      <c r="Q943" s="105">
        <v>0</v>
      </c>
      <c r="R943" s="105"/>
      <c r="S943" s="105"/>
      <c r="T943" s="105">
        <v>182160.93665792039</v>
      </c>
      <c r="U943" s="15" t="s">
        <v>2156</v>
      </c>
      <c r="V943" s="15">
        <v>173339.37665792039</v>
      </c>
      <c r="W943" s="15">
        <v>8821.56</v>
      </c>
      <c r="X943" s="15">
        <v>0</v>
      </c>
      <c r="Y943" s="15">
        <v>0</v>
      </c>
      <c r="Z943" s="15">
        <v>0</v>
      </c>
      <c r="AA943" s="15" t="s">
        <v>2101</v>
      </c>
    </row>
    <row r="944" spans="1:29" x14ac:dyDescent="0.25">
      <c r="A944" s="104">
        <v>27</v>
      </c>
      <c r="B944" s="193" t="s">
        <v>580</v>
      </c>
      <c r="C944" s="103"/>
      <c r="D944" s="105">
        <v>41276285.377801038</v>
      </c>
      <c r="E944" s="105"/>
      <c r="F944" s="105">
        <v>38850408.842190631</v>
      </c>
      <c r="G944" s="105"/>
      <c r="H944" s="105">
        <v>2086987.8696688744</v>
      </c>
      <c r="I944" s="105">
        <v>338888.66594153404</v>
      </c>
      <c r="J944" s="105"/>
      <c r="K944" s="105"/>
      <c r="L944" s="105">
        <v>129.44575685660729</v>
      </c>
      <c r="M944" s="105"/>
      <c r="N944" s="105">
        <v>338759.22018467746</v>
      </c>
      <c r="O944" s="105">
        <v>254551.52775194545</v>
      </c>
      <c r="P944" s="105">
        <v>84207.692432732001</v>
      </c>
      <c r="Q944" s="105">
        <v>0</v>
      </c>
      <c r="R944" s="105"/>
      <c r="S944" s="105"/>
      <c r="T944" s="105"/>
      <c r="U944" s="109"/>
      <c r="V944" s="111"/>
      <c r="W944" s="111"/>
      <c r="X944" s="111"/>
    </row>
    <row r="945" spans="1:35" x14ac:dyDescent="0.25">
      <c r="A945" s="13"/>
      <c r="B945" s="13"/>
      <c r="C945" s="103"/>
      <c r="D945" s="105"/>
      <c r="E945" s="105"/>
      <c r="F945" s="105"/>
      <c r="G945" s="105"/>
      <c r="H945" s="105"/>
      <c r="I945" s="105"/>
      <c r="J945" s="105"/>
      <c r="K945" s="105"/>
      <c r="L945" s="105"/>
      <c r="M945" s="105"/>
      <c r="N945" s="105"/>
      <c r="O945" s="105"/>
      <c r="P945" s="105"/>
      <c r="Q945" s="105"/>
      <c r="R945" s="105"/>
      <c r="S945" s="105"/>
      <c r="T945" s="105"/>
      <c r="U945" s="111"/>
      <c r="W945" s="111" t="s">
        <v>2109</v>
      </c>
    </row>
    <row r="946" spans="1:35" x14ac:dyDescent="0.25">
      <c r="A946" s="104">
        <v>28</v>
      </c>
      <c r="B946" s="193" t="s">
        <v>581</v>
      </c>
      <c r="C946" s="103"/>
      <c r="D946" s="105">
        <v>1736087696.9857175</v>
      </c>
      <c r="E946" s="105"/>
      <c r="F946" s="105">
        <v>1637036502.0309165</v>
      </c>
      <c r="G946" s="105"/>
      <c r="H946" s="105">
        <v>73646268.174997061</v>
      </c>
      <c r="I946" s="105">
        <v>25404926.779804032</v>
      </c>
      <c r="J946" s="105"/>
      <c r="K946" s="105"/>
      <c r="L946" s="105">
        <v>172.13271890353676</v>
      </c>
      <c r="M946" s="105"/>
      <c r="N946" s="105">
        <v>25404754.64708513</v>
      </c>
      <c r="O946" s="105">
        <v>12946042.706812311</v>
      </c>
      <c r="P946" s="105">
        <v>12458711.940272819</v>
      </c>
      <c r="Q946" s="105">
        <v>0</v>
      </c>
      <c r="R946" s="105"/>
      <c r="S946" s="105"/>
      <c r="T946" s="105"/>
      <c r="W946" s="118">
        <v>1736087696.985713</v>
      </c>
      <c r="X946" s="15">
        <v>4.5299530029296875E-6</v>
      </c>
    </row>
    <row r="947" spans="1:35" x14ac:dyDescent="0.25">
      <c r="A947" s="13"/>
      <c r="B947" s="13"/>
      <c r="C947" s="103"/>
      <c r="D947" s="105"/>
      <c r="E947" s="105"/>
      <c r="F947" s="105"/>
      <c r="G947" s="105"/>
      <c r="H947" s="105"/>
      <c r="I947" s="105"/>
      <c r="J947" s="105"/>
      <c r="K947" s="105"/>
      <c r="L947" s="105"/>
      <c r="M947" s="105"/>
      <c r="N947" s="105"/>
      <c r="O947" s="105"/>
      <c r="P947" s="105"/>
      <c r="Q947" s="105"/>
      <c r="R947" s="105"/>
      <c r="S947" s="105"/>
      <c r="T947" s="105"/>
      <c r="X947" s="121"/>
    </row>
    <row r="948" spans="1:35" x14ac:dyDescent="0.25">
      <c r="A948" s="13"/>
      <c r="B948" s="13"/>
      <c r="C948" s="103"/>
      <c r="D948" s="105"/>
      <c r="E948" s="105"/>
      <c r="F948" s="105"/>
      <c r="G948" s="105"/>
      <c r="H948" s="105"/>
      <c r="I948" s="105"/>
      <c r="J948" s="105"/>
      <c r="K948" s="105"/>
      <c r="L948" s="105"/>
      <c r="M948" s="105"/>
      <c r="N948" s="105"/>
      <c r="O948" s="105"/>
      <c r="P948" s="105"/>
      <c r="Q948" s="105"/>
      <c r="R948" s="105"/>
      <c r="S948" s="105"/>
      <c r="T948" s="105"/>
      <c r="W948" s="111"/>
    </row>
    <row r="949" spans="1:35" x14ac:dyDescent="0.25">
      <c r="A949" s="13"/>
      <c r="B949" s="195" t="s">
        <v>582</v>
      </c>
      <c r="C949" s="103"/>
      <c r="D949" s="105"/>
      <c r="E949" s="105"/>
      <c r="F949" s="105"/>
      <c r="G949" s="105"/>
      <c r="H949" s="105"/>
      <c r="I949" s="105"/>
      <c r="J949" s="105"/>
      <c r="K949" s="105"/>
      <c r="L949" s="105"/>
      <c r="M949" s="105"/>
      <c r="N949" s="105"/>
      <c r="O949" s="105"/>
      <c r="P949" s="105"/>
      <c r="Q949" s="105"/>
      <c r="R949" s="105"/>
      <c r="S949" s="105"/>
      <c r="T949" s="105"/>
      <c r="W949" s="111"/>
    </row>
    <row r="950" spans="1:35" x14ac:dyDescent="0.25">
      <c r="A950" s="13"/>
      <c r="B950" s="13"/>
      <c r="C950" s="103"/>
      <c r="D950" s="105"/>
      <c r="E950" s="105"/>
      <c r="F950" s="105"/>
      <c r="G950" s="105"/>
      <c r="H950" s="105"/>
      <c r="I950" s="105"/>
      <c r="J950" s="105"/>
      <c r="K950" s="105"/>
      <c r="L950" s="105"/>
      <c r="M950" s="105"/>
      <c r="N950" s="105"/>
      <c r="O950" s="105"/>
      <c r="P950" s="105"/>
      <c r="Q950" s="105"/>
      <c r="R950" s="105"/>
      <c r="S950" s="105"/>
      <c r="T950" s="105"/>
      <c r="W950" s="111"/>
    </row>
    <row r="951" spans="1:35" x14ac:dyDescent="0.25">
      <c r="A951" s="13"/>
      <c r="B951" s="193" t="s">
        <v>583</v>
      </c>
      <c r="C951" s="103"/>
      <c r="D951" s="105"/>
      <c r="E951" s="105"/>
      <c r="F951" s="105"/>
      <c r="G951" s="105"/>
      <c r="H951" s="105"/>
      <c r="I951" s="105"/>
      <c r="J951" s="105"/>
      <c r="K951" s="105"/>
      <c r="L951" s="105"/>
      <c r="M951" s="105"/>
      <c r="N951" s="105"/>
      <c r="O951" s="105"/>
      <c r="P951" s="105"/>
      <c r="Q951" s="105"/>
      <c r="R951" s="105"/>
      <c r="S951" s="105"/>
      <c r="T951" s="105"/>
      <c r="W951" s="111"/>
      <c r="AD951" s="15" t="s">
        <v>2157</v>
      </c>
      <c r="AE951" s="109" t="s">
        <v>2158</v>
      </c>
    </row>
    <row r="952" spans="1:35" x14ac:dyDescent="0.25">
      <c r="A952" s="104">
        <v>1</v>
      </c>
      <c r="B952" s="193" t="s">
        <v>584</v>
      </c>
      <c r="C952" s="194" t="s">
        <v>1324</v>
      </c>
      <c r="D952" s="105">
        <v>9342387.9999999981</v>
      </c>
      <c r="E952" s="105"/>
      <c r="F952" s="105">
        <v>8739204.9662397169</v>
      </c>
      <c r="G952" s="105"/>
      <c r="H952" s="105">
        <v>407337.78172375535</v>
      </c>
      <c r="I952" s="105">
        <v>195845.25203652721</v>
      </c>
      <c r="J952" s="105"/>
      <c r="K952" s="105"/>
      <c r="L952" s="105">
        <v>27.898159553442309</v>
      </c>
      <c r="M952" s="105"/>
      <c r="N952" s="105">
        <v>195817.35387697376</v>
      </c>
      <c r="O952" s="105">
        <v>99313.08932449737</v>
      </c>
      <c r="P952" s="105">
        <v>96504.264552476394</v>
      </c>
      <c r="Q952" s="105">
        <v>0</v>
      </c>
      <c r="R952" s="105"/>
      <c r="S952" s="105"/>
      <c r="T952" s="105">
        <v>9342388</v>
      </c>
      <c r="U952" s="15">
        <v>500</v>
      </c>
      <c r="W952" s="111">
        <v>9342388</v>
      </c>
      <c r="X952" s="15">
        <v>0</v>
      </c>
      <c r="AD952" s="120" t="s">
        <v>2151</v>
      </c>
      <c r="AE952" s="120" t="s">
        <v>2152</v>
      </c>
      <c r="AF952" s="120" t="s">
        <v>1219</v>
      </c>
      <c r="AG952" s="15" t="s">
        <v>1219</v>
      </c>
      <c r="AH952" s="15" t="s">
        <v>1219</v>
      </c>
    </row>
    <row r="953" spans="1:35" x14ac:dyDescent="0.25">
      <c r="A953" s="104">
        <v>2</v>
      </c>
      <c r="B953" s="193" t="s">
        <v>585</v>
      </c>
      <c r="C953" s="194" t="s">
        <v>1343</v>
      </c>
      <c r="D953" s="105">
        <v>302423708.23587358</v>
      </c>
      <c r="E953" s="105"/>
      <c r="F953" s="105">
        <v>284611742.74677902</v>
      </c>
      <c r="G953" s="105"/>
      <c r="H953" s="105">
        <v>11576701.157290943</v>
      </c>
      <c r="I953" s="105">
        <v>6235264.3318035975</v>
      </c>
      <c r="J953" s="105"/>
      <c r="K953" s="105"/>
      <c r="L953" s="105">
        <v>1286.9586913488438</v>
      </c>
      <c r="M953" s="105"/>
      <c r="N953" s="105">
        <v>6233977.3731122483</v>
      </c>
      <c r="O953" s="105">
        <v>3156939.0350974482</v>
      </c>
      <c r="P953" s="105">
        <v>3077038.3380147996</v>
      </c>
      <c r="Q953" s="105">
        <v>0</v>
      </c>
      <c r="R953" s="105"/>
      <c r="S953" s="105"/>
      <c r="T953" s="105">
        <v>305586177.07587355</v>
      </c>
      <c r="U953" s="111">
        <v>501</v>
      </c>
      <c r="V953" s="111"/>
      <c r="W953" s="111">
        <v>302423708.23587352</v>
      </c>
      <c r="X953" s="122">
        <v>-3162468.8399999738</v>
      </c>
      <c r="Y953" s="123"/>
      <c r="Z953" s="111"/>
      <c r="AC953" s="15">
        <v>0</v>
      </c>
      <c r="AG953" s="15" t="s">
        <v>1223</v>
      </c>
      <c r="AH953" s="15" t="s">
        <v>1224</v>
      </c>
    </row>
    <row r="954" spans="1:35" x14ac:dyDescent="0.25">
      <c r="A954" s="104">
        <v>3</v>
      </c>
      <c r="B954" s="193" t="s">
        <v>2073</v>
      </c>
      <c r="C954" s="194" t="s">
        <v>1324</v>
      </c>
      <c r="D954" s="105">
        <v>23034843.999999888</v>
      </c>
      <c r="E954" s="105"/>
      <c r="F954" s="105">
        <v>21547619.63229917</v>
      </c>
      <c r="G954" s="105"/>
      <c r="H954" s="105">
        <v>1004343.0284968585</v>
      </c>
      <c r="I954" s="105">
        <v>482881.33920385921</v>
      </c>
      <c r="J954" s="105"/>
      <c r="K954" s="105"/>
      <c r="L954" s="105">
        <v>68.786455154790204</v>
      </c>
      <c r="M954" s="105"/>
      <c r="N954" s="105">
        <v>482812.55274870445</v>
      </c>
      <c r="O954" s="105">
        <v>244869.0334578109</v>
      </c>
      <c r="P954" s="105">
        <v>237943.51929089357</v>
      </c>
      <c r="Q954" s="105">
        <v>0</v>
      </c>
      <c r="R954" s="105"/>
      <c r="S954" s="105"/>
      <c r="T954" s="105">
        <v>23034843.999999888</v>
      </c>
      <c r="U954" s="111">
        <v>502</v>
      </c>
      <c r="V954" s="111"/>
      <c r="W954" s="111">
        <v>23034843.999999888</v>
      </c>
      <c r="X954" s="122">
        <v>0</v>
      </c>
      <c r="Y954" s="123"/>
      <c r="Z954" s="111"/>
      <c r="AC954" s="15">
        <v>2.5633198674768209E-8</v>
      </c>
      <c r="AD954" s="15">
        <v>-2947648.9199999995</v>
      </c>
      <c r="AE954" s="15">
        <v>-154410.48000000001</v>
      </c>
      <c r="AF954" s="15">
        <v>-60409.439999999937</v>
      </c>
      <c r="AG954" s="15">
        <v>-30586.650757966934</v>
      </c>
      <c r="AH954" s="15">
        <v>-29822.789242033003</v>
      </c>
      <c r="AI954" s="15" t="s">
        <v>2101</v>
      </c>
    </row>
    <row r="955" spans="1:35" x14ac:dyDescent="0.25">
      <c r="A955" s="104">
        <v>4</v>
      </c>
      <c r="B955" s="193" t="s">
        <v>2074</v>
      </c>
      <c r="C955" s="194" t="s">
        <v>1324</v>
      </c>
      <c r="D955" s="105">
        <v>0</v>
      </c>
      <c r="E955" s="105"/>
      <c r="F955" s="105">
        <v>0</v>
      </c>
      <c r="G955" s="105"/>
      <c r="H955" s="105">
        <v>0</v>
      </c>
      <c r="I955" s="105">
        <v>0</v>
      </c>
      <c r="J955" s="105"/>
      <c r="K955" s="105"/>
      <c r="L955" s="105">
        <v>0</v>
      </c>
      <c r="M955" s="105"/>
      <c r="N955" s="105">
        <v>0</v>
      </c>
      <c r="O955" s="105">
        <v>0</v>
      </c>
      <c r="P955" s="105">
        <v>0</v>
      </c>
      <c r="Q955" s="105">
        <v>0</v>
      </c>
      <c r="R955" s="105"/>
      <c r="S955" s="105"/>
      <c r="T955" s="105">
        <v>0</v>
      </c>
      <c r="U955" s="111">
        <v>504</v>
      </c>
      <c r="V955" s="111"/>
      <c r="W955" s="111">
        <v>0</v>
      </c>
      <c r="X955" s="122">
        <v>0</v>
      </c>
      <c r="Y955" s="123"/>
      <c r="Z955" s="111"/>
      <c r="AC955" s="15">
        <v>0</v>
      </c>
      <c r="AD955" s="124"/>
    </row>
    <row r="956" spans="1:35" x14ac:dyDescent="0.25">
      <c r="A956" s="104">
        <v>5</v>
      </c>
      <c r="B956" s="193" t="s">
        <v>586</v>
      </c>
      <c r="C956" s="194" t="s">
        <v>1324</v>
      </c>
      <c r="D956" s="105">
        <v>8766250</v>
      </c>
      <c r="E956" s="105"/>
      <c r="F956" s="105">
        <v>8200264.8075951161</v>
      </c>
      <c r="G956" s="105"/>
      <c r="H956" s="105">
        <v>382217.5688952193</v>
      </c>
      <c r="I956" s="105">
        <v>183767.62350966441</v>
      </c>
      <c r="J956" s="105"/>
      <c r="K956" s="105"/>
      <c r="L956" s="105">
        <v>26.177701160063535</v>
      </c>
      <c r="M956" s="105"/>
      <c r="N956" s="105">
        <v>183741.44580850436</v>
      </c>
      <c r="O956" s="105">
        <v>93188.52624092203</v>
      </c>
      <c r="P956" s="105">
        <v>90552.919567582314</v>
      </c>
      <c r="Q956" s="105">
        <v>0</v>
      </c>
      <c r="R956" s="105"/>
      <c r="S956" s="105"/>
      <c r="T956" s="105">
        <v>8766250</v>
      </c>
      <c r="U956" s="111">
        <v>505</v>
      </c>
      <c r="V956" s="111"/>
      <c r="W956" s="111">
        <v>8766250</v>
      </c>
      <c r="X956" s="122">
        <v>0</v>
      </c>
      <c r="Y956" s="111"/>
      <c r="Z956" s="111"/>
      <c r="AC956" s="124"/>
      <c r="AD956" s="124"/>
    </row>
    <row r="957" spans="1:35" x14ac:dyDescent="0.25">
      <c r="A957" s="104">
        <v>6</v>
      </c>
      <c r="B957" s="193" t="s">
        <v>587</v>
      </c>
      <c r="C957" s="194" t="s">
        <v>1324</v>
      </c>
      <c r="D957" s="105">
        <v>26177885</v>
      </c>
      <c r="E957" s="105"/>
      <c r="F957" s="105">
        <v>24487732.964810729</v>
      </c>
      <c r="G957" s="105"/>
      <c r="H957" s="105">
        <v>1141382.8676479256</v>
      </c>
      <c r="I957" s="105">
        <v>548769.16754134221</v>
      </c>
      <c r="J957" s="105"/>
      <c r="K957" s="105"/>
      <c r="L957" s="105">
        <v>78.172177445602145</v>
      </c>
      <c r="M957" s="105"/>
      <c r="N957" s="105">
        <v>548690.9953638966</v>
      </c>
      <c r="O957" s="105">
        <v>278280.73842912749</v>
      </c>
      <c r="P957" s="105">
        <v>270410.2569347691</v>
      </c>
      <c r="Q957" s="105">
        <v>0</v>
      </c>
      <c r="R957" s="105"/>
      <c r="S957" s="105"/>
      <c r="T957" s="105">
        <v>26177885</v>
      </c>
      <c r="U957" s="111">
        <v>506</v>
      </c>
      <c r="V957" s="111"/>
      <c r="W957" s="111">
        <v>26177885</v>
      </c>
      <c r="X957" s="122">
        <v>0</v>
      </c>
      <c r="Y957" s="123"/>
      <c r="Z957" s="111"/>
      <c r="AC957" s="15">
        <v>0</v>
      </c>
      <c r="AD957" s="124"/>
    </row>
    <row r="958" spans="1:35" x14ac:dyDescent="0.25">
      <c r="A958" s="104">
        <v>7</v>
      </c>
      <c r="B958" s="193" t="s">
        <v>2075</v>
      </c>
      <c r="C958" s="194" t="s">
        <v>1324</v>
      </c>
      <c r="D958" s="105">
        <v>0</v>
      </c>
      <c r="E958" s="105"/>
      <c r="F958" s="105">
        <v>0</v>
      </c>
      <c r="G958" s="105"/>
      <c r="H958" s="105">
        <v>0</v>
      </c>
      <c r="I958" s="105">
        <v>0</v>
      </c>
      <c r="J958" s="105"/>
      <c r="K958" s="105"/>
      <c r="L958" s="105">
        <v>0</v>
      </c>
      <c r="M958" s="105"/>
      <c r="N958" s="105">
        <v>0</v>
      </c>
      <c r="O958" s="105">
        <v>0</v>
      </c>
      <c r="P958" s="105">
        <v>0</v>
      </c>
      <c r="Q958" s="105">
        <v>0</v>
      </c>
      <c r="R958" s="105"/>
      <c r="S958" s="105"/>
      <c r="T958" s="105">
        <v>0</v>
      </c>
      <c r="U958" s="111">
        <v>507</v>
      </c>
      <c r="V958" s="111"/>
      <c r="W958" s="111">
        <v>0</v>
      </c>
      <c r="X958" s="122">
        <v>0</v>
      </c>
      <c r="Y958" s="123"/>
      <c r="Z958" s="111"/>
      <c r="AC958" s="15">
        <v>0</v>
      </c>
      <c r="AD958" s="124"/>
    </row>
    <row r="959" spans="1:35" x14ac:dyDescent="0.25">
      <c r="A959" s="104">
        <v>8</v>
      </c>
      <c r="B959" s="193" t="s">
        <v>2076</v>
      </c>
      <c r="C959" s="194" t="s">
        <v>1324</v>
      </c>
      <c r="D959" s="105">
        <v>5000</v>
      </c>
      <c r="E959" s="105"/>
      <c r="F959" s="105">
        <v>4677.179413999781</v>
      </c>
      <c r="G959" s="105"/>
      <c r="H959" s="105">
        <v>218.00517261954616</v>
      </c>
      <c r="I959" s="105">
        <v>104.81541338067268</v>
      </c>
      <c r="J959" s="105"/>
      <c r="K959" s="105"/>
      <c r="L959" s="105">
        <v>1.4930957456189097E-2</v>
      </c>
      <c r="M959" s="105"/>
      <c r="N959" s="105">
        <v>104.80048242321649</v>
      </c>
      <c r="O959" s="105">
        <v>53.151875796904051</v>
      </c>
      <c r="P959" s="105">
        <v>51.64860662631245</v>
      </c>
      <c r="Q959" s="105">
        <v>0</v>
      </c>
      <c r="R959" s="105"/>
      <c r="S959" s="105"/>
      <c r="T959" s="105">
        <v>5000</v>
      </c>
      <c r="U959" s="111">
        <v>509</v>
      </c>
      <c r="V959" s="111"/>
      <c r="W959" s="111">
        <v>5000</v>
      </c>
      <c r="X959" s="122">
        <v>0</v>
      </c>
      <c r="Y959" s="111"/>
      <c r="Z959" s="111"/>
      <c r="AC959" s="124"/>
      <c r="AD959" s="124"/>
    </row>
    <row r="960" spans="1:35" x14ac:dyDescent="0.25">
      <c r="A960" s="104">
        <v>9</v>
      </c>
      <c r="B960" s="193" t="s">
        <v>588</v>
      </c>
      <c r="C960" s="103"/>
      <c r="D960" s="105">
        <v>369750075.2358734</v>
      </c>
      <c r="E960" s="105"/>
      <c r="F960" s="105">
        <v>347591242.29713774</v>
      </c>
      <c r="G960" s="105"/>
      <c r="H960" s="105">
        <v>14512200.409227319</v>
      </c>
      <c r="I960" s="105">
        <v>7646632.52950837</v>
      </c>
      <c r="J960" s="105"/>
      <c r="K960" s="105"/>
      <c r="L960" s="105">
        <v>1488.0081156201984</v>
      </c>
      <c r="M960" s="105"/>
      <c r="N960" s="105">
        <v>7645144.5213927496</v>
      </c>
      <c r="O960" s="105">
        <v>3872643.5744256023</v>
      </c>
      <c r="P960" s="105">
        <v>3772500.9469671468</v>
      </c>
      <c r="Q960" s="105">
        <v>0</v>
      </c>
      <c r="R960" s="105"/>
      <c r="S960" s="105"/>
      <c r="T960" s="105"/>
      <c r="U960" s="111"/>
      <c r="V960" s="111"/>
      <c r="W960" s="111"/>
      <c r="X960" s="122"/>
      <c r="Y960" s="111"/>
      <c r="Z960" s="111"/>
      <c r="AA960" s="15" t="s">
        <v>2151</v>
      </c>
      <c r="AC960" s="124"/>
      <c r="AD960" s="124"/>
      <c r="AG960" s="15" t="s">
        <v>1219</v>
      </c>
      <c r="AH960" s="15" t="s">
        <v>1219</v>
      </c>
    </row>
    <row r="961" spans="1:34" x14ac:dyDescent="0.25">
      <c r="A961" s="104">
        <v>10</v>
      </c>
      <c r="B961" s="193" t="s">
        <v>589</v>
      </c>
      <c r="C961" s="194" t="s">
        <v>1324</v>
      </c>
      <c r="D961" s="105">
        <v>10248227</v>
      </c>
      <c r="E961" s="105"/>
      <c r="F961" s="105">
        <v>9552200.4769985341</v>
      </c>
      <c r="G961" s="105"/>
      <c r="H961" s="105">
        <v>469983.23937376693</v>
      </c>
      <c r="I961" s="105">
        <v>226043.28362769884</v>
      </c>
      <c r="J961" s="105"/>
      <c r="K961" s="105"/>
      <c r="L961" s="105">
        <v>27.698684775269946</v>
      </c>
      <c r="M961" s="105"/>
      <c r="N961" s="105">
        <v>226015.58494292357</v>
      </c>
      <c r="O961" s="105">
        <v>114628.78816280726</v>
      </c>
      <c r="P961" s="105">
        <v>111386.79678011632</v>
      </c>
      <c r="Q961" s="105">
        <v>0</v>
      </c>
      <c r="R961" s="105"/>
      <c r="S961" s="105"/>
      <c r="T961" s="105">
        <v>9275588.9421506729</v>
      </c>
      <c r="U961" s="111">
        <v>510</v>
      </c>
      <c r="V961" s="111"/>
      <c r="W961" s="111">
        <v>10248227</v>
      </c>
      <c r="X961" s="122">
        <v>972638.0578493271</v>
      </c>
      <c r="Y961" s="111"/>
      <c r="Z961" s="111"/>
      <c r="AA961" s="120">
        <v>875481.74640830699</v>
      </c>
      <c r="AB961" s="15" t="s">
        <v>2159</v>
      </c>
      <c r="AC961" s="124"/>
      <c r="AD961" s="124"/>
      <c r="AE961" s="120" t="s">
        <v>2152</v>
      </c>
      <c r="AG961" s="15" t="s">
        <v>1223</v>
      </c>
      <c r="AH961" s="15" t="s">
        <v>1224</v>
      </c>
    </row>
    <row r="962" spans="1:34" x14ac:dyDescent="0.25">
      <c r="A962" s="104">
        <v>11</v>
      </c>
      <c r="B962" s="193" t="s">
        <v>590</v>
      </c>
      <c r="C962" s="194" t="s">
        <v>1324</v>
      </c>
      <c r="D962" s="105">
        <v>7254445</v>
      </c>
      <c r="E962" s="105"/>
      <c r="F962" s="105">
        <v>6796834.9695966337</v>
      </c>
      <c r="G962" s="105"/>
      <c r="H962" s="105">
        <v>309030.33448571304</v>
      </c>
      <c r="I962" s="105">
        <v>148579.69591765275</v>
      </c>
      <c r="J962" s="105"/>
      <c r="K962" s="105"/>
      <c r="L962" s="105">
        <v>21.16518026354559</v>
      </c>
      <c r="M962" s="105"/>
      <c r="N962" s="105">
        <v>148558.5307373892</v>
      </c>
      <c r="O962" s="105">
        <v>75344.734983538801</v>
      </c>
      <c r="P962" s="105">
        <v>73213.795753850398</v>
      </c>
      <c r="Q962" s="105">
        <v>0</v>
      </c>
      <c r="R962" s="105"/>
      <c r="S962" s="105"/>
      <c r="T962" s="105">
        <v>7087683.5345787946</v>
      </c>
      <c r="U962" s="111">
        <v>511</v>
      </c>
      <c r="V962" s="111"/>
      <c r="W962" s="111">
        <v>7254445</v>
      </c>
      <c r="X962" s="122">
        <v>166761.46542120539</v>
      </c>
      <c r="Y962" s="123"/>
      <c r="Z962" s="111"/>
      <c r="AA962" s="125">
        <v>166761.4654212051</v>
      </c>
      <c r="AB962" s="15" t="s">
        <v>2160</v>
      </c>
      <c r="AC962" s="15">
        <v>3.9653968997299671E-10</v>
      </c>
      <c r="AD962" s="124"/>
      <c r="AE962" s="15">
        <v>65557.965677464716</v>
      </c>
      <c r="AG962" s="15">
        <v>16025.797883541432</v>
      </c>
      <c r="AH962" s="15">
        <v>15572.547880013564</v>
      </c>
    </row>
    <row r="963" spans="1:34" x14ac:dyDescent="0.25">
      <c r="A963" s="104">
        <v>12</v>
      </c>
      <c r="B963" s="193" t="s">
        <v>591</v>
      </c>
      <c r="C963" s="194" t="s">
        <v>1343</v>
      </c>
      <c r="D963" s="105">
        <v>50079708.999999993</v>
      </c>
      <c r="E963" s="105"/>
      <c r="F963" s="105">
        <v>46616865.654066198</v>
      </c>
      <c r="G963" s="105"/>
      <c r="H963" s="105">
        <v>2253545.4302766044</v>
      </c>
      <c r="I963" s="105">
        <v>1209297.9156571913</v>
      </c>
      <c r="J963" s="105"/>
      <c r="K963" s="105"/>
      <c r="L963" s="105">
        <v>146.80724969491325</v>
      </c>
      <c r="M963" s="105"/>
      <c r="N963" s="105">
        <v>1209151.1084074965</v>
      </c>
      <c r="O963" s="105">
        <v>612323.38084564626</v>
      </c>
      <c r="P963" s="105">
        <v>596827.72756185022</v>
      </c>
      <c r="Q963" s="105">
        <v>0</v>
      </c>
      <c r="R963" s="105"/>
      <c r="S963" s="105"/>
      <c r="T963" s="105">
        <v>34859134.56497366</v>
      </c>
      <c r="U963" s="111">
        <v>512</v>
      </c>
      <c r="V963" s="111"/>
      <c r="W963" s="111">
        <v>50079709</v>
      </c>
      <c r="X963" s="122">
        <v>15220574.435026333</v>
      </c>
      <c r="Y963" s="123"/>
      <c r="Z963" s="111"/>
      <c r="AA963" s="125">
        <v>13814100.733696936</v>
      </c>
      <c r="AB963" s="15" t="s">
        <v>2161</v>
      </c>
      <c r="AC963" s="15">
        <v>2.9103830456733704E-10</v>
      </c>
      <c r="AD963" s="124"/>
      <c r="AE963" s="15">
        <v>0</v>
      </c>
      <c r="AG963" s="15">
        <v>0</v>
      </c>
      <c r="AH963" s="15">
        <v>0</v>
      </c>
    </row>
    <row r="964" spans="1:34" x14ac:dyDescent="0.25">
      <c r="A964" s="104">
        <v>13</v>
      </c>
      <c r="B964" s="193" t="s">
        <v>592</v>
      </c>
      <c r="C964" s="194" t="s">
        <v>1343</v>
      </c>
      <c r="D964" s="105">
        <v>10224294.000000002</v>
      </c>
      <c r="E964" s="105"/>
      <c r="F964" s="105">
        <v>9170674.2072980218</v>
      </c>
      <c r="G964" s="105"/>
      <c r="H964" s="105">
        <v>685691.47975179495</v>
      </c>
      <c r="I964" s="105">
        <v>367928.31295018457</v>
      </c>
      <c r="J964" s="105"/>
      <c r="K964" s="105"/>
      <c r="L964" s="105">
        <v>17.108841158265435</v>
      </c>
      <c r="M964" s="105"/>
      <c r="N964" s="105">
        <v>367911.20410902629</v>
      </c>
      <c r="O964" s="105">
        <v>186313.05118492246</v>
      </c>
      <c r="P964" s="105">
        <v>181598.15292410384</v>
      </c>
      <c r="Q964" s="105">
        <v>0</v>
      </c>
      <c r="R964" s="105"/>
      <c r="S964" s="105"/>
      <c r="T964" s="105">
        <v>4062465.5623352318</v>
      </c>
      <c r="U964" s="111">
        <v>513</v>
      </c>
      <c r="V964" s="111"/>
      <c r="W964" s="111">
        <v>10224294</v>
      </c>
      <c r="X964" s="122">
        <v>6161828.4376647696</v>
      </c>
      <c r="Y964" s="123"/>
      <c r="Z964" s="111" t="s">
        <v>2163</v>
      </c>
      <c r="AA964" s="125">
        <v>5347856.9026975324</v>
      </c>
      <c r="AB964" s="15" t="s">
        <v>2162</v>
      </c>
      <c r="AC964" s="15">
        <v>-2.2992026060819626E-9</v>
      </c>
      <c r="AD964" s="124"/>
      <c r="AE964" s="15">
        <v>915342.23314861651</v>
      </c>
      <c r="AG964" s="15">
        <v>248712.73651828247</v>
      </c>
      <c r="AH964" s="15">
        <v>242418.73166250036</v>
      </c>
    </row>
    <row r="965" spans="1:34" x14ac:dyDescent="0.25">
      <c r="A965" s="104">
        <v>14</v>
      </c>
      <c r="B965" s="193" t="s">
        <v>593</v>
      </c>
      <c r="C965" s="194" t="s">
        <v>1324</v>
      </c>
      <c r="D965" s="105">
        <v>2670339.9999999898</v>
      </c>
      <c r="E965" s="105"/>
      <c r="F965" s="105">
        <v>2538466.9035179908</v>
      </c>
      <c r="G965" s="105"/>
      <c r="H965" s="105">
        <v>89055.712086504936</v>
      </c>
      <c r="I965" s="105">
        <v>42817.384395494235</v>
      </c>
      <c r="J965" s="105"/>
      <c r="K965" s="105"/>
      <c r="L965" s="105">
        <v>6.0993371506590197</v>
      </c>
      <c r="M965" s="105"/>
      <c r="N965" s="105">
        <v>42811.285058343579</v>
      </c>
      <c r="O965" s="105">
        <v>21712.687322733542</v>
      </c>
      <c r="P965" s="105">
        <v>21098.597735610041</v>
      </c>
      <c r="Q965" s="105">
        <v>0</v>
      </c>
      <c r="R965" s="105"/>
      <c r="S965" s="105"/>
      <c r="T965" s="105">
        <v>2042513.7398441774</v>
      </c>
      <c r="U965" s="111">
        <v>514</v>
      </c>
      <c r="V965" s="111"/>
      <c r="W965" s="111">
        <v>2670339.9999999902</v>
      </c>
      <c r="X965" s="122">
        <v>627826.26015581237</v>
      </c>
      <c r="Y965" s="123">
        <v>626880</v>
      </c>
      <c r="Z965" s="15" t="s">
        <v>2165</v>
      </c>
      <c r="AA965" s="125">
        <v>946.26015581286288</v>
      </c>
      <c r="AB965" s="15" t="s">
        <v>2164</v>
      </c>
      <c r="AC965" s="15">
        <v>8.149072527885437E-10</v>
      </c>
      <c r="AE965" s="15">
        <v>529737.96938548086</v>
      </c>
      <c r="AG965" s="15">
        <v>143938.05424042913</v>
      </c>
      <c r="AH965" s="15">
        <v>140295.51134132635</v>
      </c>
    </row>
    <row r="966" spans="1:34" x14ac:dyDescent="0.25">
      <c r="A966" s="104">
        <v>15</v>
      </c>
      <c r="B966" s="193" t="s">
        <v>594</v>
      </c>
      <c r="C966" s="103"/>
      <c r="D966" s="105">
        <v>80477014.999999985</v>
      </c>
      <c r="E966" s="105"/>
      <c r="F966" s="105">
        <v>74675042.211477384</v>
      </c>
      <c r="G966" s="105"/>
      <c r="H966" s="105">
        <v>3807306.1959743844</v>
      </c>
      <c r="I966" s="105">
        <v>1994666.5925482218</v>
      </c>
      <c r="J966" s="105"/>
      <c r="K966" s="105"/>
      <c r="L966" s="105">
        <v>218.87929304265325</v>
      </c>
      <c r="M966" s="105"/>
      <c r="N966" s="105">
        <v>1994447.7132551791</v>
      </c>
      <c r="O966" s="105">
        <v>1010322.6424996484</v>
      </c>
      <c r="P966" s="105">
        <v>984125.07075553085</v>
      </c>
      <c r="Q966" s="105">
        <v>0</v>
      </c>
      <c r="R966" s="105"/>
      <c r="S966" s="105"/>
      <c r="T966" s="105"/>
      <c r="U966" s="111"/>
      <c r="V966" s="111"/>
      <c r="W966" s="111"/>
      <c r="X966" s="122"/>
      <c r="Y966" s="123"/>
      <c r="Z966" s="111"/>
      <c r="AA966" s="125"/>
      <c r="AB966" s="15" t="s">
        <v>2166</v>
      </c>
      <c r="AC966" s="15">
        <v>-4.9135451263282448E-10</v>
      </c>
      <c r="AE966" s="15">
        <v>0</v>
      </c>
      <c r="AG966" s="15">
        <v>0</v>
      </c>
      <c r="AH966" s="15">
        <v>0</v>
      </c>
    </row>
    <row r="967" spans="1:34" x14ac:dyDescent="0.25">
      <c r="A967" s="13"/>
      <c r="B967" s="13"/>
      <c r="C967" s="103"/>
      <c r="D967" s="105"/>
      <c r="E967" s="105"/>
      <c r="F967" s="105"/>
      <c r="G967" s="105"/>
      <c r="H967" s="105"/>
      <c r="I967" s="105"/>
      <c r="J967" s="105"/>
      <c r="K967" s="105"/>
      <c r="L967" s="105"/>
      <c r="M967" s="105"/>
      <c r="N967" s="105"/>
      <c r="O967" s="105"/>
      <c r="P967" s="105"/>
      <c r="Q967" s="105"/>
      <c r="R967" s="105"/>
      <c r="S967" s="105"/>
      <c r="T967" s="105"/>
      <c r="U967" s="111"/>
      <c r="V967" s="111"/>
      <c r="W967" s="111"/>
      <c r="X967" s="122"/>
      <c r="Y967" s="125"/>
      <c r="AA967" s="125"/>
    </row>
    <row r="968" spans="1:34" x14ac:dyDescent="0.25">
      <c r="A968" s="104">
        <v>16</v>
      </c>
      <c r="B968" s="193" t="s">
        <v>595</v>
      </c>
      <c r="C968" s="103"/>
      <c r="D968" s="105">
        <v>450227090.23587346</v>
      </c>
      <c r="E968" s="105"/>
      <c r="F968" s="105">
        <v>422266284.50861514</v>
      </c>
      <c r="G968" s="105"/>
      <c r="H968" s="105">
        <v>18319506.605201703</v>
      </c>
      <c r="I968" s="105">
        <v>9641299.1220565904</v>
      </c>
      <c r="J968" s="105"/>
      <c r="K968" s="105"/>
      <c r="L968" s="105">
        <v>1706.8874086628516</v>
      </c>
      <c r="M968" s="105"/>
      <c r="N968" s="105">
        <v>9639592.2346479278</v>
      </c>
      <c r="O968" s="105">
        <v>4882966.2169252504</v>
      </c>
      <c r="P968" s="105">
        <v>4756626.0177226774</v>
      </c>
      <c r="Q968" s="105">
        <v>0</v>
      </c>
      <c r="R968" s="105"/>
      <c r="S968" s="105"/>
      <c r="T968" s="105"/>
      <c r="U968" s="111"/>
      <c r="V968" s="111"/>
      <c r="W968" s="111">
        <v>450227090.2358734</v>
      </c>
      <c r="X968" s="122">
        <v>0</v>
      </c>
    </row>
    <row r="969" spans="1:34" x14ac:dyDescent="0.25">
      <c r="A969" s="13"/>
      <c r="B969" s="13"/>
      <c r="C969" s="103"/>
      <c r="D969" s="105"/>
      <c r="E969" s="105"/>
      <c r="F969" s="105"/>
      <c r="G969" s="105"/>
      <c r="H969" s="105"/>
      <c r="I969" s="105"/>
      <c r="J969" s="105"/>
      <c r="K969" s="105"/>
      <c r="L969" s="105"/>
      <c r="M969" s="105"/>
      <c r="N969" s="105"/>
      <c r="O969" s="105"/>
      <c r="P969" s="105"/>
      <c r="Q969" s="105"/>
      <c r="R969" s="105"/>
      <c r="S969" s="105"/>
      <c r="T969" s="105"/>
      <c r="U969" s="111"/>
      <c r="V969" s="111"/>
      <c r="W969" s="111"/>
      <c r="X969" s="122"/>
    </row>
    <row r="970" spans="1:34" x14ac:dyDescent="0.25">
      <c r="A970" s="13"/>
      <c r="B970" s="193" t="s">
        <v>596</v>
      </c>
      <c r="C970" s="103"/>
      <c r="D970" s="105"/>
      <c r="E970" s="105"/>
      <c r="F970" s="105"/>
      <c r="G970" s="105"/>
      <c r="H970" s="105"/>
      <c r="I970" s="105"/>
      <c r="J970" s="105"/>
      <c r="K970" s="105"/>
      <c r="L970" s="105"/>
      <c r="M970" s="105"/>
      <c r="N970" s="105"/>
      <c r="O970" s="105"/>
      <c r="P970" s="105"/>
      <c r="Q970" s="105"/>
      <c r="R970" s="105"/>
      <c r="S970" s="105"/>
      <c r="T970" s="105"/>
      <c r="U970" s="111"/>
      <c r="V970" s="111"/>
      <c r="W970" s="111"/>
      <c r="X970" s="122"/>
    </row>
    <row r="971" spans="1:34" x14ac:dyDescent="0.25">
      <c r="A971" s="104">
        <v>17</v>
      </c>
      <c r="B971" s="193" t="s">
        <v>597</v>
      </c>
      <c r="C971" s="194" t="s">
        <v>1326</v>
      </c>
      <c r="D971" s="105">
        <v>0</v>
      </c>
      <c r="E971" s="105"/>
      <c r="F971" s="105">
        <v>0</v>
      </c>
      <c r="G971" s="105"/>
      <c r="H971" s="105">
        <v>0</v>
      </c>
      <c r="I971" s="105">
        <v>0</v>
      </c>
      <c r="J971" s="105"/>
      <c r="K971" s="105"/>
      <c r="L971" s="105">
        <v>0</v>
      </c>
      <c r="M971" s="105"/>
      <c r="N971" s="105">
        <v>0</v>
      </c>
      <c r="O971" s="105">
        <v>0</v>
      </c>
      <c r="P971" s="105">
        <v>0</v>
      </c>
      <c r="Q971" s="105">
        <v>0</v>
      </c>
      <c r="R971" s="105"/>
      <c r="S971" s="105"/>
      <c r="T971" s="105">
        <v>0</v>
      </c>
      <c r="U971" s="111">
        <v>535</v>
      </c>
      <c r="V971" s="111"/>
      <c r="W971" s="111">
        <v>0</v>
      </c>
      <c r="X971" s="122">
        <v>0</v>
      </c>
    </row>
    <row r="972" spans="1:34" x14ac:dyDescent="0.25">
      <c r="A972" s="104">
        <v>18</v>
      </c>
      <c r="B972" s="193" t="s">
        <v>598</v>
      </c>
      <c r="C972" s="194" t="s">
        <v>1326</v>
      </c>
      <c r="D972" s="105">
        <v>0</v>
      </c>
      <c r="E972" s="105"/>
      <c r="F972" s="105">
        <v>0</v>
      </c>
      <c r="G972" s="105"/>
      <c r="H972" s="105">
        <v>0</v>
      </c>
      <c r="I972" s="105">
        <v>0</v>
      </c>
      <c r="J972" s="105"/>
      <c r="K972" s="105"/>
      <c r="L972" s="105">
        <v>0</v>
      </c>
      <c r="M972" s="105"/>
      <c r="N972" s="105">
        <v>0</v>
      </c>
      <c r="O972" s="105">
        <v>0</v>
      </c>
      <c r="P972" s="105">
        <v>0</v>
      </c>
      <c r="Q972" s="105">
        <v>0</v>
      </c>
      <c r="R972" s="105"/>
      <c r="S972" s="105"/>
      <c r="T972" s="105">
        <v>0</v>
      </c>
      <c r="U972" s="111">
        <v>536</v>
      </c>
      <c r="V972" s="111"/>
      <c r="W972" s="111">
        <v>0</v>
      </c>
      <c r="X972" s="122">
        <v>0</v>
      </c>
      <c r="Y972" s="111"/>
    </row>
    <row r="973" spans="1:34" x14ac:dyDescent="0.25">
      <c r="A973" s="104">
        <v>19</v>
      </c>
      <c r="B973" s="193" t="s">
        <v>599</v>
      </c>
      <c r="C973" s="194" t="s">
        <v>1326</v>
      </c>
      <c r="D973" s="105">
        <v>0</v>
      </c>
      <c r="E973" s="105"/>
      <c r="F973" s="105">
        <v>0</v>
      </c>
      <c r="G973" s="105"/>
      <c r="H973" s="105">
        <v>0</v>
      </c>
      <c r="I973" s="105">
        <v>0</v>
      </c>
      <c r="J973" s="105"/>
      <c r="K973" s="105"/>
      <c r="L973" s="105">
        <v>0</v>
      </c>
      <c r="M973" s="105"/>
      <c r="N973" s="105">
        <v>0</v>
      </c>
      <c r="O973" s="105">
        <v>0</v>
      </c>
      <c r="P973" s="105">
        <v>0</v>
      </c>
      <c r="Q973" s="105">
        <v>0</v>
      </c>
      <c r="R973" s="105"/>
      <c r="S973" s="105"/>
      <c r="T973" s="105">
        <v>0</v>
      </c>
      <c r="U973" s="111">
        <v>537</v>
      </c>
      <c r="V973" s="111"/>
      <c r="W973" s="111">
        <v>0</v>
      </c>
      <c r="X973" s="122">
        <v>0</v>
      </c>
      <c r="Y973" s="111"/>
    </row>
    <row r="974" spans="1:34" x14ac:dyDescent="0.25">
      <c r="A974" s="104">
        <v>20</v>
      </c>
      <c r="B974" s="193" t="s">
        <v>600</v>
      </c>
      <c r="C974" s="194" t="s">
        <v>1326</v>
      </c>
      <c r="D974" s="105">
        <v>0</v>
      </c>
      <c r="E974" s="105"/>
      <c r="F974" s="105">
        <v>0</v>
      </c>
      <c r="G974" s="105"/>
      <c r="H974" s="105">
        <v>0</v>
      </c>
      <c r="I974" s="105">
        <v>0</v>
      </c>
      <c r="J974" s="105"/>
      <c r="K974" s="105"/>
      <c r="L974" s="105">
        <v>0</v>
      </c>
      <c r="M974" s="105"/>
      <c r="N974" s="105">
        <v>0</v>
      </c>
      <c r="O974" s="105">
        <v>0</v>
      </c>
      <c r="P974" s="105">
        <v>0</v>
      </c>
      <c r="Q974" s="105">
        <v>0</v>
      </c>
      <c r="R974" s="105"/>
      <c r="S974" s="105"/>
      <c r="T974" s="105">
        <v>0</v>
      </c>
      <c r="U974" s="111">
        <v>538</v>
      </c>
      <c r="V974" s="111"/>
      <c r="W974" s="111">
        <v>0</v>
      </c>
      <c r="X974" s="122">
        <v>0</v>
      </c>
      <c r="Y974" s="111"/>
    </row>
    <row r="975" spans="1:34" x14ac:dyDescent="0.25">
      <c r="A975" s="104">
        <v>21</v>
      </c>
      <c r="B975" s="193" t="s">
        <v>2077</v>
      </c>
      <c r="C975" s="194" t="s">
        <v>1326</v>
      </c>
      <c r="D975" s="105">
        <v>10111.9999999999</v>
      </c>
      <c r="E975" s="105"/>
      <c r="F975" s="105">
        <v>9475.2224869987585</v>
      </c>
      <c r="G975" s="105"/>
      <c r="H975" s="105">
        <v>433.07324243980361</v>
      </c>
      <c r="I975" s="105">
        <v>203.70427056133772</v>
      </c>
      <c r="J975" s="105"/>
      <c r="K975" s="105"/>
      <c r="L975" s="105">
        <v>3.0353130144461241E-2</v>
      </c>
      <c r="M975" s="105"/>
      <c r="N975" s="105">
        <v>203.67391743119327</v>
      </c>
      <c r="O975" s="105">
        <v>103.29771878963662</v>
      </c>
      <c r="P975" s="105">
        <v>100.37619864155664</v>
      </c>
      <c r="Q975" s="105">
        <v>0</v>
      </c>
      <c r="R975" s="105"/>
      <c r="S975" s="105"/>
      <c r="T975" s="105">
        <v>10111.9999999999</v>
      </c>
      <c r="U975" s="111">
        <v>539</v>
      </c>
      <c r="V975" s="111"/>
      <c r="W975" s="111">
        <v>10111.9999999999</v>
      </c>
      <c r="X975" s="122">
        <v>0</v>
      </c>
      <c r="Y975" s="111"/>
    </row>
    <row r="976" spans="1:34" x14ac:dyDescent="0.25">
      <c r="A976" s="104">
        <v>22</v>
      </c>
      <c r="B976" s="193" t="s">
        <v>601</v>
      </c>
      <c r="C976" s="194" t="s">
        <v>1326</v>
      </c>
      <c r="D976" s="105">
        <v>0</v>
      </c>
      <c r="E976" s="105"/>
      <c r="F976" s="105">
        <v>0</v>
      </c>
      <c r="G976" s="105"/>
      <c r="H976" s="105">
        <v>0</v>
      </c>
      <c r="I976" s="105">
        <v>0</v>
      </c>
      <c r="J976" s="105"/>
      <c r="K976" s="105"/>
      <c r="L976" s="105">
        <v>0</v>
      </c>
      <c r="M976" s="105"/>
      <c r="N976" s="105">
        <v>0</v>
      </c>
      <c r="O976" s="105">
        <v>0</v>
      </c>
      <c r="P976" s="105">
        <v>0</v>
      </c>
      <c r="Q976" s="105">
        <v>0</v>
      </c>
      <c r="R976" s="105"/>
      <c r="S976" s="105"/>
      <c r="T976" s="105">
        <v>0</v>
      </c>
      <c r="U976" s="111">
        <v>540</v>
      </c>
      <c r="V976" s="111"/>
      <c r="W976" s="111">
        <v>0</v>
      </c>
      <c r="X976" s="122">
        <v>0</v>
      </c>
      <c r="Y976" s="111"/>
    </row>
    <row r="977" spans="1:31" x14ac:dyDescent="0.25">
      <c r="A977" s="104">
        <v>23</v>
      </c>
      <c r="B977" s="193" t="s">
        <v>602</v>
      </c>
      <c r="C977" s="103"/>
      <c r="D977" s="105">
        <v>10111.9999999999</v>
      </c>
      <c r="E977" s="105"/>
      <c r="F977" s="105">
        <v>9475.2224869987585</v>
      </c>
      <c r="G977" s="105"/>
      <c r="H977" s="105">
        <v>433.07324243980361</v>
      </c>
      <c r="I977" s="105">
        <v>203.70427056133772</v>
      </c>
      <c r="J977" s="105"/>
      <c r="K977" s="105"/>
      <c r="L977" s="105">
        <v>3.0353130144461241E-2</v>
      </c>
      <c r="M977" s="105"/>
      <c r="N977" s="105">
        <v>203.67391743119327</v>
      </c>
      <c r="O977" s="105">
        <v>103.29771878963662</v>
      </c>
      <c r="P977" s="105">
        <v>100.37619864155664</v>
      </c>
      <c r="Q977" s="105">
        <v>0</v>
      </c>
      <c r="R977" s="105"/>
      <c r="S977" s="105"/>
      <c r="T977" s="105"/>
      <c r="U977" s="111"/>
      <c r="V977" s="111"/>
      <c r="W977" s="111"/>
      <c r="X977" s="122"/>
      <c r="Y977" s="111"/>
    </row>
    <row r="978" spans="1:31" x14ac:dyDescent="0.25">
      <c r="A978" s="104">
        <v>24</v>
      </c>
      <c r="B978" s="193" t="s">
        <v>603</v>
      </c>
      <c r="C978" s="194" t="s">
        <v>1326</v>
      </c>
      <c r="D978" s="105">
        <v>226739.99999999898</v>
      </c>
      <c r="E978" s="105"/>
      <c r="F978" s="105">
        <v>212461.62447607893</v>
      </c>
      <c r="G978" s="105"/>
      <c r="H978" s="105">
        <v>9710.7423843751585</v>
      </c>
      <c r="I978" s="105">
        <v>4567.6331395448942</v>
      </c>
      <c r="J978" s="105"/>
      <c r="K978" s="105"/>
      <c r="L978" s="105">
        <v>0.68060410689825745</v>
      </c>
      <c r="M978" s="105"/>
      <c r="N978" s="105">
        <v>4566.9525354379957</v>
      </c>
      <c r="O978" s="105">
        <v>2316.2306920848828</v>
      </c>
      <c r="P978" s="105">
        <v>2250.7218433531129</v>
      </c>
      <c r="Q978" s="105">
        <v>0</v>
      </c>
      <c r="R978" s="105"/>
      <c r="S978" s="105"/>
      <c r="T978" s="105">
        <v>226739.99999999901</v>
      </c>
      <c r="U978" s="111">
        <v>541</v>
      </c>
      <c r="V978" s="111"/>
      <c r="W978" s="111">
        <v>226739.99999999901</v>
      </c>
      <c r="X978" s="122">
        <v>0</v>
      </c>
    </row>
    <row r="979" spans="1:31" x14ac:dyDescent="0.25">
      <c r="A979" s="104">
        <v>25</v>
      </c>
      <c r="B979" s="193" t="s">
        <v>123</v>
      </c>
      <c r="C979" s="194" t="s">
        <v>1326</v>
      </c>
      <c r="D979" s="105">
        <v>225182.99999999898</v>
      </c>
      <c r="E979" s="105"/>
      <c r="F979" s="105">
        <v>211002.67259591111</v>
      </c>
      <c r="G979" s="105"/>
      <c r="H979" s="105">
        <v>9644.0597262977481</v>
      </c>
      <c r="I979" s="105">
        <v>4536.2676777901461</v>
      </c>
      <c r="J979" s="105"/>
      <c r="K979" s="105"/>
      <c r="L979" s="105">
        <v>0.67593046927613265</v>
      </c>
      <c r="M979" s="105"/>
      <c r="N979" s="105">
        <v>4535.5917473208701</v>
      </c>
      <c r="O979" s="105">
        <v>2300.3253768005211</v>
      </c>
      <c r="P979" s="105">
        <v>2235.2663705203495</v>
      </c>
      <c r="Q979" s="105">
        <v>0</v>
      </c>
      <c r="R979" s="105"/>
      <c r="S979" s="105"/>
      <c r="T979" s="105">
        <v>225182.99999999901</v>
      </c>
      <c r="U979" s="111">
        <v>542</v>
      </c>
      <c r="V979" s="111"/>
      <c r="W979" s="111">
        <v>225182.99999999901</v>
      </c>
      <c r="X979" s="122">
        <v>0</v>
      </c>
      <c r="Y979" s="111"/>
    </row>
    <row r="980" spans="1:31" x14ac:dyDescent="0.25">
      <c r="A980" s="104">
        <v>26</v>
      </c>
      <c r="B980" s="193" t="s">
        <v>124</v>
      </c>
      <c r="C980" s="194" t="s">
        <v>1326</v>
      </c>
      <c r="D980" s="105">
        <v>33916</v>
      </c>
      <c r="E980" s="105"/>
      <c r="F980" s="105">
        <v>31780.226055088315</v>
      </c>
      <c r="G980" s="105"/>
      <c r="H980" s="105">
        <v>1452.5427304775044</v>
      </c>
      <c r="I980" s="105">
        <v>683.2312144341771</v>
      </c>
      <c r="J980" s="105"/>
      <c r="K980" s="105"/>
      <c r="L980" s="105">
        <v>0.1018054551008265</v>
      </c>
      <c r="M980" s="105"/>
      <c r="N980" s="105">
        <v>683.12940897907629</v>
      </c>
      <c r="O980" s="105">
        <v>346.46414462711141</v>
      </c>
      <c r="P980" s="105">
        <v>336.66526435196488</v>
      </c>
      <c r="Q980" s="105">
        <v>0</v>
      </c>
      <c r="R980" s="105"/>
      <c r="S980" s="105"/>
      <c r="T980" s="105">
        <v>33916</v>
      </c>
      <c r="U980" s="111">
        <v>543</v>
      </c>
      <c r="V980" s="111"/>
      <c r="W980" s="111">
        <v>33916</v>
      </c>
      <c r="X980" s="122">
        <v>0</v>
      </c>
      <c r="Y980" s="111"/>
    </row>
    <row r="981" spans="1:31" x14ac:dyDescent="0.25">
      <c r="A981" s="104">
        <v>27</v>
      </c>
      <c r="B981" s="193" t="s">
        <v>125</v>
      </c>
      <c r="C981" s="194" t="s">
        <v>1343</v>
      </c>
      <c r="D981" s="105">
        <v>44124.000000000007</v>
      </c>
      <c r="E981" s="105"/>
      <c r="F981" s="105">
        <v>41521.088156924736</v>
      </c>
      <c r="G981" s="105"/>
      <c r="H981" s="105">
        <v>1693.8710213823108</v>
      </c>
      <c r="I981" s="105">
        <v>909.04082169295805</v>
      </c>
      <c r="J981" s="105"/>
      <c r="K981" s="105"/>
      <c r="L981" s="105">
        <v>0.18582570010350019</v>
      </c>
      <c r="M981" s="105"/>
      <c r="N981" s="105">
        <v>908.85499599285458</v>
      </c>
      <c r="O981" s="105">
        <v>460.25112988380135</v>
      </c>
      <c r="P981" s="105">
        <v>448.60386610905329</v>
      </c>
      <c r="Q981" s="105">
        <v>0</v>
      </c>
      <c r="R981" s="105"/>
      <c r="S981" s="105"/>
      <c r="T981" s="105">
        <v>44124</v>
      </c>
      <c r="U981" s="111">
        <v>544</v>
      </c>
      <c r="V981" s="111"/>
      <c r="W981" s="111">
        <v>44124</v>
      </c>
      <c r="X981" s="122">
        <v>0</v>
      </c>
      <c r="Y981" s="111"/>
    </row>
    <row r="982" spans="1:31" x14ac:dyDescent="0.25">
      <c r="A982" s="104">
        <v>28</v>
      </c>
      <c r="B982" s="193" t="s">
        <v>126</v>
      </c>
      <c r="C982" s="194" t="s">
        <v>1326</v>
      </c>
      <c r="D982" s="105">
        <v>11143.9999999999</v>
      </c>
      <c r="E982" s="105"/>
      <c r="F982" s="105">
        <v>10442.234908535824</v>
      </c>
      <c r="G982" s="105"/>
      <c r="H982" s="105">
        <v>477.27138189766373</v>
      </c>
      <c r="I982" s="105">
        <v>224.49370956641118</v>
      </c>
      <c r="J982" s="105"/>
      <c r="K982" s="105"/>
      <c r="L982" s="105">
        <v>3.3450878394964044E-2</v>
      </c>
      <c r="M982" s="105"/>
      <c r="N982" s="105">
        <v>224.46025868801621</v>
      </c>
      <c r="O982" s="105">
        <v>113.83997015345248</v>
      </c>
      <c r="P982" s="105">
        <v>110.62028853456371</v>
      </c>
      <c r="Q982" s="105">
        <v>0</v>
      </c>
      <c r="R982" s="105"/>
      <c r="S982" s="105"/>
      <c r="T982" s="105">
        <v>11143.9999999999</v>
      </c>
      <c r="U982" s="111">
        <v>545</v>
      </c>
      <c r="V982" s="111"/>
      <c r="W982" s="111">
        <v>11143.9999999999</v>
      </c>
      <c r="X982" s="122">
        <v>0</v>
      </c>
      <c r="Y982" s="111"/>
    </row>
    <row r="983" spans="1:31" x14ac:dyDescent="0.25">
      <c r="A983" s="104">
        <v>29</v>
      </c>
      <c r="B983" s="193" t="s">
        <v>1040</v>
      </c>
      <c r="C983" s="103"/>
      <c r="D983" s="105">
        <v>541106.9999999979</v>
      </c>
      <c r="E983" s="105"/>
      <c r="F983" s="105">
        <v>507207.84619253897</v>
      </c>
      <c r="G983" s="105"/>
      <c r="H983" s="105">
        <v>22978.487244430384</v>
      </c>
      <c r="I983" s="105">
        <v>10920.666563028588</v>
      </c>
      <c r="J983" s="105"/>
      <c r="K983" s="105"/>
      <c r="L983" s="105">
        <v>1.6776166097736809</v>
      </c>
      <c r="M983" s="105"/>
      <c r="N983" s="105">
        <v>10918.988946418815</v>
      </c>
      <c r="O983" s="105">
        <v>5537.1113135497699</v>
      </c>
      <c r="P983" s="105">
        <v>5381.8776328690446</v>
      </c>
      <c r="Q983" s="105">
        <v>0</v>
      </c>
      <c r="R983" s="105"/>
      <c r="S983" s="105"/>
      <c r="T983" s="105"/>
      <c r="U983" s="111"/>
      <c r="V983" s="111"/>
      <c r="W983" s="111"/>
      <c r="X983" s="122"/>
      <c r="Y983" s="111"/>
    </row>
    <row r="984" spans="1:31" x14ac:dyDescent="0.25">
      <c r="A984" s="13"/>
      <c r="B984" s="13"/>
      <c r="C984" s="103"/>
      <c r="D984" s="105"/>
      <c r="E984" s="105"/>
      <c r="F984" s="105"/>
      <c r="G984" s="105"/>
      <c r="H984" s="105"/>
      <c r="I984" s="105"/>
      <c r="J984" s="105"/>
      <c r="K984" s="105"/>
      <c r="L984" s="105"/>
      <c r="M984" s="105"/>
      <c r="N984" s="105"/>
      <c r="O984" s="105"/>
      <c r="P984" s="105"/>
      <c r="Q984" s="105"/>
      <c r="R984" s="105"/>
      <c r="S984" s="105"/>
      <c r="T984" s="105"/>
      <c r="U984" s="111"/>
      <c r="V984" s="111"/>
      <c r="W984" s="111"/>
      <c r="X984" s="122"/>
    </row>
    <row r="985" spans="1:31" x14ac:dyDescent="0.25">
      <c r="A985" s="104">
        <v>30</v>
      </c>
      <c r="B985" s="193" t="s">
        <v>1041</v>
      </c>
      <c r="C985" s="103"/>
      <c r="D985" s="105">
        <v>551218.9999999979</v>
      </c>
      <c r="E985" s="105"/>
      <c r="F985" s="105">
        <v>516683.06867953774</v>
      </c>
      <c r="G985" s="105"/>
      <c r="H985" s="105">
        <v>23411.560486870188</v>
      </c>
      <c r="I985" s="105">
        <v>11124.370833589926</v>
      </c>
      <c r="J985" s="105"/>
      <c r="K985" s="105"/>
      <c r="L985" s="105">
        <v>1.7079697399181422</v>
      </c>
      <c r="M985" s="105"/>
      <c r="N985" s="105">
        <v>11122.662863850008</v>
      </c>
      <c r="O985" s="105">
        <v>5640.4090323394066</v>
      </c>
      <c r="P985" s="105">
        <v>5482.2538315106012</v>
      </c>
      <c r="Q985" s="105">
        <v>0</v>
      </c>
      <c r="R985" s="105"/>
      <c r="S985" s="105"/>
      <c r="T985" s="105"/>
      <c r="U985" s="111"/>
      <c r="V985" s="111"/>
      <c r="W985" s="111">
        <v>551218.99999999779</v>
      </c>
      <c r="X985" s="122">
        <v>0</v>
      </c>
    </row>
    <row r="986" spans="1:31" x14ac:dyDescent="0.25">
      <c r="A986" s="13"/>
      <c r="B986" s="13"/>
      <c r="C986" s="103"/>
      <c r="D986" s="105"/>
      <c r="E986" s="105"/>
      <c r="F986" s="105"/>
      <c r="G986" s="105"/>
      <c r="H986" s="105"/>
      <c r="I986" s="105"/>
      <c r="J986" s="105"/>
      <c r="K986" s="105"/>
      <c r="L986" s="105"/>
      <c r="M986" s="105"/>
      <c r="N986" s="105"/>
      <c r="O986" s="105"/>
      <c r="P986" s="105"/>
      <c r="Q986" s="105"/>
      <c r="R986" s="105"/>
      <c r="S986" s="105"/>
      <c r="T986" s="105"/>
      <c r="U986" s="111"/>
      <c r="V986" s="111"/>
      <c r="W986" s="111"/>
      <c r="X986" s="122"/>
    </row>
    <row r="987" spans="1:31" x14ac:dyDescent="0.25">
      <c r="A987" s="13"/>
      <c r="B987" s="193" t="s">
        <v>1042</v>
      </c>
      <c r="C987" s="103"/>
      <c r="D987" s="105"/>
      <c r="E987" s="105"/>
      <c r="F987" s="105"/>
      <c r="G987" s="105"/>
      <c r="H987" s="105"/>
      <c r="I987" s="105"/>
      <c r="J987" s="105"/>
      <c r="K987" s="105"/>
      <c r="L987" s="105"/>
      <c r="M987" s="105"/>
      <c r="N987" s="105"/>
      <c r="O987" s="105"/>
      <c r="P987" s="105"/>
      <c r="Q987" s="105"/>
      <c r="R987" s="105"/>
      <c r="S987" s="105"/>
      <c r="T987" s="105"/>
      <c r="U987" s="111"/>
      <c r="V987" s="111"/>
      <c r="W987" s="111"/>
      <c r="X987" s="122"/>
    </row>
    <row r="988" spans="1:31" x14ac:dyDescent="0.25">
      <c r="A988" s="104">
        <v>31</v>
      </c>
      <c r="B988" s="193" t="s">
        <v>1043</v>
      </c>
      <c r="C988" s="194" t="s">
        <v>1328</v>
      </c>
      <c r="D988" s="105">
        <v>1306825.0000000002</v>
      </c>
      <c r="E988" s="105"/>
      <c r="F988" s="105">
        <v>1224072.1054768402</v>
      </c>
      <c r="G988" s="105"/>
      <c r="H988" s="105">
        <v>55835.339266962292</v>
      </c>
      <c r="I988" s="105">
        <v>26917.555256197655</v>
      </c>
      <c r="J988" s="105"/>
      <c r="K988" s="105"/>
      <c r="L988" s="105">
        <v>3.9138757988209094</v>
      </c>
      <c r="M988" s="105"/>
      <c r="N988" s="105">
        <v>26913.641380398833</v>
      </c>
      <c r="O988" s="105">
        <v>13649.846745137447</v>
      </c>
      <c r="P988" s="105">
        <v>13263.794635261387</v>
      </c>
      <c r="Q988" s="105">
        <v>0</v>
      </c>
      <c r="R988" s="105"/>
      <c r="S988" s="105"/>
      <c r="T988" s="105">
        <v>1306825</v>
      </c>
      <c r="U988" s="111">
        <v>546</v>
      </c>
      <c r="V988" s="111"/>
      <c r="W988" s="111">
        <v>1306825</v>
      </c>
      <c r="X988" s="122">
        <v>0</v>
      </c>
    </row>
    <row r="989" spans="1:31" x14ac:dyDescent="0.25">
      <c r="A989" s="104">
        <v>32</v>
      </c>
      <c r="B989" s="193" t="s">
        <v>1044</v>
      </c>
      <c r="C989" s="194" t="s">
        <v>1343</v>
      </c>
      <c r="D989" s="105">
        <v>125544025.15006199</v>
      </c>
      <c r="E989" s="105"/>
      <c r="F989" s="105">
        <v>118138077.59565996</v>
      </c>
      <c r="G989" s="105"/>
      <c r="H989" s="105">
        <v>4819494.7445694413</v>
      </c>
      <c r="I989" s="105">
        <v>2586452.8098326023</v>
      </c>
      <c r="J989" s="105"/>
      <c r="K989" s="105"/>
      <c r="L989" s="105">
        <v>528.72147510021091</v>
      </c>
      <c r="M989" s="105"/>
      <c r="N989" s="105">
        <v>2585924.0883575021</v>
      </c>
      <c r="O989" s="105">
        <v>1309531.7610705376</v>
      </c>
      <c r="P989" s="105">
        <v>1276392.3272869645</v>
      </c>
      <c r="Q989" s="105">
        <v>0</v>
      </c>
      <c r="R989" s="105"/>
      <c r="S989" s="105"/>
      <c r="T989" s="105">
        <v>125544025.15006199</v>
      </c>
      <c r="U989" s="111">
        <v>547</v>
      </c>
      <c r="V989" s="111"/>
      <c r="W989" s="111">
        <v>125544025.15006199</v>
      </c>
      <c r="X989" s="122">
        <v>0</v>
      </c>
      <c r="Y989" s="111"/>
    </row>
    <row r="990" spans="1:31" x14ac:dyDescent="0.25">
      <c r="A990" s="104">
        <v>33</v>
      </c>
      <c r="B990" s="193" t="s">
        <v>1045</v>
      </c>
      <c r="C990" s="194" t="s">
        <v>1328</v>
      </c>
      <c r="D990" s="105">
        <v>631118</v>
      </c>
      <c r="E990" s="105"/>
      <c r="F990" s="105">
        <v>591153.32126668247</v>
      </c>
      <c r="G990" s="105"/>
      <c r="H990" s="105">
        <v>26965.115947037062</v>
      </c>
      <c r="I990" s="105">
        <v>12999.562786280452</v>
      </c>
      <c r="J990" s="105"/>
      <c r="K990" s="105"/>
      <c r="L990" s="105">
        <v>1.8901669821133318</v>
      </c>
      <c r="M990" s="105"/>
      <c r="N990" s="105">
        <v>12997.672619298339</v>
      </c>
      <c r="O990" s="105">
        <v>6592.05630294619</v>
      </c>
      <c r="P990" s="105">
        <v>6405.6163163521487</v>
      </c>
      <c r="Q990" s="105">
        <v>0</v>
      </c>
      <c r="R990" s="105"/>
      <c r="S990" s="105"/>
      <c r="T990" s="105">
        <v>631118</v>
      </c>
      <c r="U990" s="111">
        <v>548</v>
      </c>
      <c r="V990" s="111"/>
      <c r="W990" s="111">
        <v>631118</v>
      </c>
      <c r="X990" s="122">
        <v>0</v>
      </c>
      <c r="Y990" s="111" t="s">
        <v>2151</v>
      </c>
      <c r="Z990" s="15" t="s">
        <v>2159</v>
      </c>
      <c r="AD990" s="15" t="s">
        <v>1219</v>
      </c>
      <c r="AE990" s="15" t="s">
        <v>1219</v>
      </c>
    </row>
    <row r="991" spans="1:31" x14ac:dyDescent="0.25">
      <c r="A991" s="104">
        <v>34</v>
      </c>
      <c r="B991" s="193" t="s">
        <v>2078</v>
      </c>
      <c r="C991" s="194" t="s">
        <v>1328</v>
      </c>
      <c r="D991" s="105">
        <v>4610326</v>
      </c>
      <c r="E991" s="105"/>
      <c r="F991" s="105">
        <v>4321197.9156749835</v>
      </c>
      <c r="G991" s="105"/>
      <c r="H991" s="105">
        <v>195081.57113919576</v>
      </c>
      <c r="I991" s="105">
        <v>94046.51318582095</v>
      </c>
      <c r="J991" s="105"/>
      <c r="K991" s="105"/>
      <c r="L991" s="105">
        <v>13.67458405557562</v>
      </c>
      <c r="M991" s="105"/>
      <c r="N991" s="105">
        <v>94032.838601765368</v>
      </c>
      <c r="O991" s="105">
        <v>47690.827776992592</v>
      </c>
      <c r="P991" s="105">
        <v>46342.010824772784</v>
      </c>
      <c r="Q991" s="105">
        <v>0</v>
      </c>
      <c r="R991" s="105"/>
      <c r="S991" s="105"/>
      <c r="T991" s="105">
        <v>4565880.2749466896</v>
      </c>
      <c r="U991" s="111">
        <v>549</v>
      </c>
      <c r="V991" s="111"/>
      <c r="W991" s="111">
        <v>4610326</v>
      </c>
      <c r="X991" s="122">
        <v>44445.725053310394</v>
      </c>
      <c r="Y991" s="136">
        <v>44445.725053310118</v>
      </c>
      <c r="Z991" s="15" t="s">
        <v>2167</v>
      </c>
      <c r="AA991" s="15">
        <v>2.7648638933897018E-10</v>
      </c>
      <c r="AB991" s="120" t="s">
        <v>2152</v>
      </c>
      <c r="AD991" s="15" t="s">
        <v>1223</v>
      </c>
      <c r="AE991" s="15" t="s">
        <v>1224</v>
      </c>
    </row>
    <row r="992" spans="1:31" x14ac:dyDescent="0.25">
      <c r="A992" s="104">
        <v>35</v>
      </c>
      <c r="B992" s="193" t="s">
        <v>2079</v>
      </c>
      <c r="C992" s="194" t="s">
        <v>1328</v>
      </c>
      <c r="D992" s="105">
        <v>10000.000000000002</v>
      </c>
      <c r="E992" s="105"/>
      <c r="F992" s="105">
        <v>9366.7637631422731</v>
      </c>
      <c r="G992" s="105"/>
      <c r="H992" s="105">
        <v>427.25949738459468</v>
      </c>
      <c r="I992" s="105">
        <v>205.97673947313265</v>
      </c>
      <c r="J992" s="105"/>
      <c r="K992" s="105"/>
      <c r="L992" s="105">
        <v>2.9949502028358117E-2</v>
      </c>
      <c r="M992" s="105"/>
      <c r="N992" s="105">
        <v>205.94678997110429</v>
      </c>
      <c r="O992" s="105">
        <v>104.45045622128018</v>
      </c>
      <c r="P992" s="105">
        <v>101.4963337498241</v>
      </c>
      <c r="Q992" s="105">
        <v>0</v>
      </c>
      <c r="R992" s="105"/>
      <c r="S992" s="105"/>
      <c r="T992" s="105">
        <v>10000</v>
      </c>
      <c r="U992" s="111">
        <v>550</v>
      </c>
      <c r="V992" s="111"/>
      <c r="W992" s="111">
        <v>10000</v>
      </c>
      <c r="X992" s="122">
        <v>0</v>
      </c>
      <c r="Y992" s="123"/>
      <c r="AB992" s="15">
        <v>0</v>
      </c>
      <c r="AD992" s="15">
        <v>0</v>
      </c>
      <c r="AE992" s="15">
        <v>0</v>
      </c>
    </row>
    <row r="993" spans="1:31" x14ac:dyDescent="0.25">
      <c r="A993" s="104">
        <v>36</v>
      </c>
      <c r="B993" s="193" t="s">
        <v>1046</v>
      </c>
      <c r="C993" s="103"/>
      <c r="D993" s="105">
        <v>132102294.15006201</v>
      </c>
      <c r="E993" s="105"/>
      <c r="F993" s="105">
        <v>124283867.70184161</v>
      </c>
      <c r="G993" s="105"/>
      <c r="H993" s="105">
        <v>5097804.0304200212</v>
      </c>
      <c r="I993" s="105">
        <v>2720622.4178003748</v>
      </c>
      <c r="J993" s="105"/>
      <c r="K993" s="105"/>
      <c r="L993" s="105">
        <v>548.230051438749</v>
      </c>
      <c r="M993" s="105"/>
      <c r="N993" s="105">
        <v>2720074.187748936</v>
      </c>
      <c r="O993" s="105">
        <v>1377568.9423518353</v>
      </c>
      <c r="P993" s="105">
        <v>1342505.2453971005</v>
      </c>
      <c r="Q993" s="105">
        <v>0</v>
      </c>
      <c r="R993" s="105"/>
      <c r="S993" s="105"/>
      <c r="T993" s="105"/>
      <c r="U993" s="111"/>
      <c r="V993" s="111"/>
      <c r="W993" s="111"/>
      <c r="X993" s="122"/>
      <c r="Y993" s="123"/>
    </row>
    <row r="994" spans="1:31" x14ac:dyDescent="0.25">
      <c r="A994" s="104">
        <v>37</v>
      </c>
      <c r="B994" s="196" t="s">
        <v>1047</v>
      </c>
      <c r="C994" s="194" t="s">
        <v>1328</v>
      </c>
      <c r="D994" s="105">
        <v>451273</v>
      </c>
      <c r="E994" s="105"/>
      <c r="F994" s="105">
        <v>397058.41500495514</v>
      </c>
      <c r="G994" s="105"/>
      <c r="H994" s="105">
        <v>36566.78249088813</v>
      </c>
      <c r="I994" s="105">
        <v>17647.802504156734</v>
      </c>
      <c r="J994" s="105"/>
      <c r="K994" s="105"/>
      <c r="L994" s="105">
        <v>1.1034559694715249</v>
      </c>
      <c r="M994" s="105"/>
      <c r="N994" s="105">
        <v>17646.699048187264</v>
      </c>
      <c r="O994" s="105">
        <v>8949.9125800475194</v>
      </c>
      <c r="P994" s="105">
        <v>8696.7864681397459</v>
      </c>
      <c r="Q994" s="105">
        <v>0</v>
      </c>
      <c r="R994" s="105"/>
      <c r="S994" s="105"/>
      <c r="T994" s="105">
        <v>368438.83695518604</v>
      </c>
      <c r="U994" s="111">
        <v>551</v>
      </c>
      <c r="V994" s="111"/>
      <c r="W994" s="111">
        <v>451273</v>
      </c>
      <c r="X994" s="122">
        <v>82834.163044813962</v>
      </c>
      <c r="Y994" s="123">
        <v>51950.460312343057</v>
      </c>
      <c r="Z994" s="15" t="s">
        <v>2168</v>
      </c>
      <c r="AA994" s="15">
        <v>1.2732925824820995E-11</v>
      </c>
    </row>
    <row r="995" spans="1:31" x14ac:dyDescent="0.25">
      <c r="A995" s="104">
        <v>38</v>
      </c>
      <c r="B995" s="193" t="s">
        <v>1048</v>
      </c>
      <c r="C995" s="194" t="s">
        <v>1328</v>
      </c>
      <c r="D995" s="105">
        <v>756752</v>
      </c>
      <c r="E995" s="105"/>
      <c r="F995" s="105">
        <v>703351.81324979209</v>
      </c>
      <c r="G995" s="105"/>
      <c r="H995" s="105">
        <v>36030.371641955593</v>
      </c>
      <c r="I995" s="105">
        <v>17369.81510825234</v>
      </c>
      <c r="J995" s="105"/>
      <c r="K995" s="105"/>
      <c r="L995" s="105">
        <v>2.5256119411709856</v>
      </c>
      <c r="M995" s="105"/>
      <c r="N995" s="105">
        <v>17367.289496311168</v>
      </c>
      <c r="O995" s="105">
        <v>8808.2038640722112</v>
      </c>
      <c r="P995" s="105">
        <v>8559.0856322389573</v>
      </c>
      <c r="Q995" s="105">
        <v>0</v>
      </c>
      <c r="R995" s="105"/>
      <c r="S995" s="105"/>
      <c r="T995" s="105">
        <v>843290.12842336204</v>
      </c>
      <c r="U995" s="111">
        <v>552</v>
      </c>
      <c r="V995" s="111"/>
      <c r="W995" s="111">
        <v>756752</v>
      </c>
      <c r="X995" s="122">
        <v>-86538.128423362039</v>
      </c>
      <c r="Y995" s="123">
        <v>-86538.128423362068</v>
      </c>
      <c r="Z995" s="15" t="s">
        <v>2169</v>
      </c>
      <c r="AA995" s="15">
        <v>2.9103830456733704E-11</v>
      </c>
      <c r="AB995" s="15">
        <v>20824.883261444389</v>
      </c>
      <c r="AD995" s="15">
        <v>5101.5521190868158</v>
      </c>
      <c r="AE995" s="15">
        <v>4957.2673519396876</v>
      </c>
    </row>
    <row r="996" spans="1:31" x14ac:dyDescent="0.25">
      <c r="A996" s="104">
        <v>39</v>
      </c>
      <c r="B996" s="193" t="s">
        <v>1049</v>
      </c>
      <c r="C996" s="194" t="s">
        <v>1328</v>
      </c>
      <c r="D996" s="105">
        <v>5849514.0000000009</v>
      </c>
      <c r="E996" s="105"/>
      <c r="F996" s="105">
        <v>5367864.3255875176</v>
      </c>
      <c r="G996" s="105"/>
      <c r="H996" s="105">
        <v>324882.81239434861</v>
      </c>
      <c r="I996" s="105">
        <v>156766.86201813424</v>
      </c>
      <c r="J996" s="105"/>
      <c r="K996" s="105"/>
      <c r="L996" s="105">
        <v>11.87901005367239</v>
      </c>
      <c r="M996" s="105"/>
      <c r="N996" s="105">
        <v>156754.98300808057</v>
      </c>
      <c r="O996" s="105">
        <v>79501.746506708354</v>
      </c>
      <c r="P996" s="105">
        <v>77253.23650137223</v>
      </c>
      <c r="Q996" s="105">
        <v>0</v>
      </c>
      <c r="R996" s="105"/>
      <c r="S996" s="105"/>
      <c r="T996" s="105">
        <v>3966346.4328804463</v>
      </c>
      <c r="U996" s="111">
        <v>553</v>
      </c>
      <c r="V996" s="111"/>
      <c r="W996" s="111">
        <v>5849514</v>
      </c>
      <c r="X996" s="122">
        <v>1883167.5671195546</v>
      </c>
      <c r="Y996" s="123">
        <v>1652681.3216301992</v>
      </c>
      <c r="Z996" s="15" t="s">
        <v>2170</v>
      </c>
      <c r="AA996" s="15">
        <v>9.3132257461547852E-10</v>
      </c>
      <c r="AB996" s="15">
        <v>0</v>
      </c>
      <c r="AD996" s="15">
        <v>0</v>
      </c>
      <c r="AE996" s="15">
        <v>0</v>
      </c>
    </row>
    <row r="997" spans="1:31" x14ac:dyDescent="0.25">
      <c r="A997" s="104">
        <v>40</v>
      </c>
      <c r="B997" s="193" t="s">
        <v>1050</v>
      </c>
      <c r="C997" s="194" t="s">
        <v>1328</v>
      </c>
      <c r="D997" s="105">
        <v>6111966.9999999991</v>
      </c>
      <c r="E997" s="105"/>
      <c r="F997" s="105">
        <v>5523374.8738237098</v>
      </c>
      <c r="G997" s="105"/>
      <c r="H997" s="105">
        <v>397016.79489961464</v>
      </c>
      <c r="I997" s="105">
        <v>191575.33127667449</v>
      </c>
      <c r="J997" s="105"/>
      <c r="K997" s="105"/>
      <c r="L997" s="105">
        <v>14.411009880788097</v>
      </c>
      <c r="M997" s="105"/>
      <c r="N997" s="105">
        <v>191560.92026679369</v>
      </c>
      <c r="O997" s="105">
        <v>97154.34515314475</v>
      </c>
      <c r="P997" s="105">
        <v>94406.575113648927</v>
      </c>
      <c r="Q997" s="105">
        <v>0</v>
      </c>
      <c r="R997" s="105"/>
      <c r="S997" s="105"/>
      <c r="T997" s="105">
        <v>4811769.4468318122</v>
      </c>
      <c r="U997" s="111">
        <v>554</v>
      </c>
      <c r="V997" s="111"/>
      <c r="W997" s="111">
        <v>6111967</v>
      </c>
      <c r="X997" s="122">
        <v>1300197.5531681869</v>
      </c>
      <c r="Y997" s="123">
        <v>1016304.1047057747</v>
      </c>
      <c r="Z997" s="15" t="s">
        <v>2171</v>
      </c>
      <c r="AA997" s="15">
        <v>-4.2928149923682213E-10</v>
      </c>
      <c r="AB997" s="15">
        <v>155416.89405778068</v>
      </c>
      <c r="AD997" s="15">
        <v>38073.077062107375</v>
      </c>
      <c r="AE997" s="15">
        <v>36996.274369466424</v>
      </c>
    </row>
    <row r="998" spans="1:31" x14ac:dyDescent="0.25">
      <c r="A998" s="104">
        <v>41</v>
      </c>
      <c r="B998" s="193" t="s">
        <v>1051</v>
      </c>
      <c r="C998" s="103"/>
      <c r="D998" s="105">
        <v>13169506</v>
      </c>
      <c r="E998" s="105"/>
      <c r="F998" s="105">
        <v>11991649.427665975</v>
      </c>
      <c r="G998" s="105"/>
      <c r="H998" s="105">
        <v>794496.76142680692</v>
      </c>
      <c r="I998" s="105">
        <v>383359.81090721779</v>
      </c>
      <c r="J998" s="105"/>
      <c r="K998" s="105"/>
      <c r="L998" s="105">
        <v>29.919087845102997</v>
      </c>
      <c r="M998" s="105"/>
      <c r="N998" s="105">
        <v>383329.89181937271</v>
      </c>
      <c r="O998" s="105">
        <v>194414.20810397284</v>
      </c>
      <c r="P998" s="105">
        <v>188915.68371539988</v>
      </c>
      <c r="Q998" s="105">
        <v>0</v>
      </c>
      <c r="R998" s="105"/>
      <c r="S998" s="105"/>
      <c r="T998" s="105"/>
      <c r="U998" s="111"/>
      <c r="V998" s="111"/>
      <c r="W998" s="111"/>
      <c r="X998" s="122"/>
      <c r="Y998" s="123"/>
      <c r="AB998" s="15">
        <v>191429.37536122376</v>
      </c>
      <c r="AD998" s="15">
        <v>46895.193757824774</v>
      </c>
      <c r="AE998" s="15">
        <v>45568.879343364119</v>
      </c>
    </row>
    <row r="999" spans="1:31" x14ac:dyDescent="0.25">
      <c r="A999" s="13"/>
      <c r="B999" s="13"/>
      <c r="C999" s="103"/>
      <c r="D999" s="105"/>
      <c r="E999" s="105"/>
      <c r="F999" s="105"/>
      <c r="G999" s="105"/>
      <c r="H999" s="105"/>
      <c r="I999" s="105"/>
      <c r="J999" s="105"/>
      <c r="K999" s="105"/>
      <c r="L999" s="105"/>
      <c r="M999" s="105"/>
      <c r="N999" s="105"/>
      <c r="O999" s="105"/>
      <c r="P999" s="105"/>
      <c r="Q999" s="105"/>
      <c r="R999" s="105"/>
      <c r="S999" s="105"/>
      <c r="T999" s="105"/>
      <c r="U999" s="111"/>
      <c r="V999" s="111"/>
      <c r="W999" s="111"/>
      <c r="X999" s="122"/>
      <c r="Y999" s="123"/>
    </row>
    <row r="1000" spans="1:31" x14ac:dyDescent="0.25">
      <c r="A1000" s="104">
        <v>42</v>
      </c>
      <c r="B1000" s="193" t="s">
        <v>1052</v>
      </c>
      <c r="C1000" s="103"/>
      <c r="D1000" s="105">
        <v>145271800.15006199</v>
      </c>
      <c r="E1000" s="105"/>
      <c r="F1000" s="105">
        <v>136275517.12950757</v>
      </c>
      <c r="G1000" s="105"/>
      <c r="H1000" s="105">
        <v>5892300.7918468285</v>
      </c>
      <c r="I1000" s="105">
        <v>3103982.2287075925</v>
      </c>
      <c r="J1000" s="105"/>
      <c r="K1000" s="105"/>
      <c r="L1000" s="105">
        <v>578.14913928385204</v>
      </c>
      <c r="M1000" s="105"/>
      <c r="N1000" s="105">
        <v>3103404.0795683088</v>
      </c>
      <c r="O1000" s="105">
        <v>1571983.1504558083</v>
      </c>
      <c r="P1000" s="105">
        <v>1531420.9291125003</v>
      </c>
      <c r="Q1000" s="105">
        <v>0</v>
      </c>
      <c r="R1000" s="105"/>
      <c r="S1000" s="105"/>
      <c r="T1000" s="105"/>
      <c r="U1000" s="111"/>
      <c r="V1000" s="111"/>
      <c r="W1000" s="111">
        <v>145271800.15006199</v>
      </c>
      <c r="X1000" s="122">
        <v>0</v>
      </c>
    </row>
    <row r="1001" spans="1:31" x14ac:dyDescent="0.25">
      <c r="A1001" s="13"/>
      <c r="B1001" s="13"/>
      <c r="C1001" s="103"/>
      <c r="D1001" s="105"/>
      <c r="E1001" s="105"/>
      <c r="F1001" s="105"/>
      <c r="G1001" s="105"/>
      <c r="H1001" s="105"/>
      <c r="I1001" s="105"/>
      <c r="J1001" s="105"/>
      <c r="K1001" s="105"/>
      <c r="L1001" s="105"/>
      <c r="M1001" s="105"/>
      <c r="N1001" s="105"/>
      <c r="O1001" s="105"/>
      <c r="P1001" s="105"/>
      <c r="Q1001" s="105"/>
      <c r="R1001" s="105"/>
      <c r="S1001" s="105"/>
      <c r="T1001" s="105"/>
      <c r="U1001" s="111"/>
      <c r="V1001" s="111"/>
      <c r="W1001" s="111"/>
      <c r="X1001" s="122"/>
    </row>
    <row r="1002" spans="1:31" x14ac:dyDescent="0.25">
      <c r="A1002" s="13"/>
      <c r="B1002" s="195" t="s">
        <v>1060</v>
      </c>
      <c r="C1002" s="13"/>
      <c r="D1002" s="105"/>
      <c r="E1002" s="105"/>
      <c r="F1002" s="105"/>
      <c r="G1002" s="105"/>
      <c r="H1002" s="105"/>
      <c r="I1002" s="105"/>
      <c r="J1002" s="105"/>
      <c r="K1002" s="105"/>
      <c r="L1002" s="105"/>
      <c r="M1002" s="105"/>
      <c r="N1002" s="105"/>
      <c r="O1002" s="105"/>
      <c r="P1002" s="105"/>
      <c r="Q1002" s="105"/>
      <c r="R1002" s="105"/>
      <c r="S1002" s="105"/>
      <c r="T1002" s="105"/>
      <c r="U1002" s="111"/>
      <c r="V1002" s="111"/>
      <c r="W1002" s="111"/>
      <c r="X1002" s="122"/>
    </row>
    <row r="1003" spans="1:31" x14ac:dyDescent="0.25">
      <c r="A1003" s="13"/>
      <c r="B1003" s="13"/>
      <c r="C1003" s="13"/>
      <c r="D1003" s="105"/>
      <c r="E1003" s="105"/>
      <c r="F1003" s="105"/>
      <c r="G1003" s="105"/>
      <c r="H1003" s="105"/>
      <c r="I1003" s="105"/>
      <c r="J1003" s="105"/>
      <c r="K1003" s="105"/>
      <c r="L1003" s="105"/>
      <c r="M1003" s="105"/>
      <c r="N1003" s="105"/>
      <c r="O1003" s="105"/>
      <c r="P1003" s="105"/>
      <c r="Q1003" s="105"/>
      <c r="R1003" s="105"/>
      <c r="S1003" s="105"/>
      <c r="T1003" s="105"/>
      <c r="U1003" s="111"/>
      <c r="V1003" s="111"/>
      <c r="W1003" s="111"/>
      <c r="X1003" s="122"/>
    </row>
    <row r="1004" spans="1:31" x14ac:dyDescent="0.25">
      <c r="A1004" s="13"/>
      <c r="B1004" s="193" t="s">
        <v>1053</v>
      </c>
      <c r="C1004" s="103"/>
      <c r="D1004" s="105"/>
      <c r="E1004" s="105"/>
      <c r="F1004" s="105"/>
      <c r="G1004" s="105"/>
      <c r="H1004" s="105"/>
      <c r="I1004" s="105"/>
      <c r="J1004" s="105"/>
      <c r="K1004" s="105"/>
      <c r="L1004" s="105"/>
      <c r="M1004" s="105"/>
      <c r="N1004" s="105"/>
      <c r="O1004" s="105"/>
      <c r="P1004" s="105"/>
      <c r="Q1004" s="105"/>
      <c r="R1004" s="105"/>
      <c r="S1004" s="105"/>
      <c r="T1004" s="105"/>
      <c r="U1004" s="111">
        <v>555</v>
      </c>
      <c r="V1004" s="111"/>
      <c r="W1004" s="111">
        <v>58036196.183791012</v>
      </c>
      <c r="X1004" s="122">
        <v>0</v>
      </c>
    </row>
    <row r="1005" spans="1:31" x14ac:dyDescent="0.25">
      <c r="A1005" s="104">
        <v>43</v>
      </c>
      <c r="B1005" s="193" t="s">
        <v>1054</v>
      </c>
      <c r="C1005" s="194" t="s">
        <v>1237</v>
      </c>
      <c r="D1005" s="105">
        <v>12110282.927543651</v>
      </c>
      <c r="E1005" s="105"/>
      <c r="F1005" s="105">
        <v>11352373.353743056</v>
      </c>
      <c r="G1005" s="105"/>
      <c r="H1005" s="105">
        <v>519839.14678637625</v>
      </c>
      <c r="I1005" s="105">
        <v>238070.42701421806</v>
      </c>
      <c r="J1005" s="105"/>
      <c r="K1005" s="105"/>
      <c r="L1005" s="105">
        <v>36.439536989609856</v>
      </c>
      <c r="M1005" s="105"/>
      <c r="N1005" s="105">
        <v>238033.98747722845</v>
      </c>
      <c r="O1005" s="105">
        <v>120724.18604657747</v>
      </c>
      <c r="P1005" s="105">
        <v>117309.801430651</v>
      </c>
      <c r="Q1005" s="105">
        <v>0</v>
      </c>
      <c r="R1005" s="105"/>
      <c r="S1005" s="105"/>
      <c r="T1005" s="105">
        <v>12110282.927543649</v>
      </c>
      <c r="U1005" s="111"/>
      <c r="V1005" s="111"/>
      <c r="W1005" s="111">
        <v>12110282.927543649</v>
      </c>
      <c r="X1005" s="122"/>
    </row>
    <row r="1006" spans="1:31" x14ac:dyDescent="0.25">
      <c r="A1006" s="104">
        <v>44</v>
      </c>
      <c r="B1006" s="193" t="s">
        <v>1055</v>
      </c>
      <c r="C1006" s="194" t="s">
        <v>1343</v>
      </c>
      <c r="D1006" s="105">
        <v>45925913.256247364</v>
      </c>
      <c r="E1006" s="105"/>
      <c r="F1006" s="105">
        <v>43216705.035806477</v>
      </c>
      <c r="G1006" s="105"/>
      <c r="H1006" s="105">
        <v>1763044.456424511</v>
      </c>
      <c r="I1006" s="105">
        <v>946163.76401637716</v>
      </c>
      <c r="J1006" s="105"/>
      <c r="K1006" s="105"/>
      <c r="L1006" s="105">
        <v>193.41435463092165</v>
      </c>
      <c r="M1006" s="105"/>
      <c r="N1006" s="105">
        <v>945970.34966174618</v>
      </c>
      <c r="O1006" s="105">
        <v>479046.62920708233</v>
      </c>
      <c r="P1006" s="105">
        <v>466923.72045466385</v>
      </c>
      <c r="Q1006" s="105">
        <v>0</v>
      </c>
      <c r="R1006" s="105"/>
      <c r="S1006" s="105"/>
      <c r="T1006" s="105">
        <v>45925913.256247364</v>
      </c>
      <c r="U1006" s="111"/>
      <c r="V1006" s="111"/>
      <c r="W1006" s="111"/>
      <c r="X1006" s="122"/>
      <c r="Y1006" s="111"/>
    </row>
    <row r="1007" spans="1:31" x14ac:dyDescent="0.25">
      <c r="A1007" s="104">
        <v>45</v>
      </c>
      <c r="B1007" s="193" t="s">
        <v>1056</v>
      </c>
      <c r="C1007" s="103"/>
      <c r="D1007" s="105">
        <v>58036196.183791012</v>
      </c>
      <c r="E1007" s="105"/>
      <c r="F1007" s="105">
        <v>54569078.389549531</v>
      </c>
      <c r="G1007" s="105"/>
      <c r="H1007" s="105">
        <v>2282883.6032108874</v>
      </c>
      <c r="I1007" s="105">
        <v>1184234.1910305952</v>
      </c>
      <c r="J1007" s="105"/>
      <c r="K1007" s="105"/>
      <c r="L1007" s="105">
        <v>229.8538916205315</v>
      </c>
      <c r="M1007" s="105"/>
      <c r="N1007" s="105">
        <v>1184004.3371389746</v>
      </c>
      <c r="O1007" s="105">
        <v>599770.81525365985</v>
      </c>
      <c r="P1007" s="105">
        <v>584233.52188531484</v>
      </c>
      <c r="Q1007" s="105">
        <v>0</v>
      </c>
      <c r="R1007" s="105"/>
      <c r="S1007" s="105"/>
      <c r="T1007" s="105">
        <v>58036196.183791012</v>
      </c>
      <c r="U1007" s="111"/>
      <c r="V1007" s="111"/>
      <c r="W1007" s="111"/>
      <c r="X1007" s="122"/>
      <c r="Y1007" s="111"/>
    </row>
    <row r="1008" spans="1:31" x14ac:dyDescent="0.25">
      <c r="A1008" s="13"/>
      <c r="B1008" s="13"/>
      <c r="C1008" s="103"/>
      <c r="D1008" s="105"/>
      <c r="E1008" s="105"/>
      <c r="F1008" s="105"/>
      <c r="G1008" s="105"/>
      <c r="H1008" s="105"/>
      <c r="I1008" s="105"/>
      <c r="J1008" s="105"/>
      <c r="K1008" s="105"/>
      <c r="L1008" s="105"/>
      <c r="M1008" s="105"/>
      <c r="N1008" s="105"/>
      <c r="O1008" s="105"/>
      <c r="P1008" s="105"/>
      <c r="Q1008" s="105"/>
      <c r="R1008" s="105"/>
      <c r="S1008" s="105"/>
      <c r="T1008" s="105"/>
      <c r="U1008" s="111"/>
      <c r="V1008" s="111"/>
      <c r="W1008" s="111"/>
      <c r="X1008" s="122"/>
    </row>
    <row r="1009" spans="1:25" x14ac:dyDescent="0.25">
      <c r="A1009" s="104">
        <v>46</v>
      </c>
      <c r="B1009" s="193" t="s">
        <v>1057</v>
      </c>
      <c r="C1009" s="194" t="s">
        <v>1237</v>
      </c>
      <c r="D1009" s="105">
        <v>1832258</v>
      </c>
      <c r="E1009" s="105"/>
      <c r="F1009" s="105">
        <v>1717588.0217524811</v>
      </c>
      <c r="G1009" s="105"/>
      <c r="H1009" s="105">
        <v>78650.469283933184</v>
      </c>
      <c r="I1009" s="105">
        <v>36019.508963585686</v>
      </c>
      <c r="J1009" s="105"/>
      <c r="K1009" s="105"/>
      <c r="L1009" s="105">
        <v>5.5132182761522799</v>
      </c>
      <c r="M1009" s="105"/>
      <c r="N1009" s="105">
        <v>36013.995745309534</v>
      </c>
      <c r="O1009" s="105">
        <v>18265.292148892502</v>
      </c>
      <c r="P1009" s="105">
        <v>17748.703596417032</v>
      </c>
      <c r="Q1009" s="105">
        <v>0</v>
      </c>
      <c r="R1009" s="105"/>
      <c r="S1009" s="105"/>
      <c r="T1009" s="105">
        <v>1832258</v>
      </c>
      <c r="U1009" s="111">
        <v>556</v>
      </c>
      <c r="V1009" s="111"/>
      <c r="W1009" s="111">
        <v>1832258</v>
      </c>
      <c r="X1009" s="122">
        <v>0</v>
      </c>
    </row>
    <row r="1010" spans="1:25" x14ac:dyDescent="0.25">
      <c r="A1010" s="104">
        <v>47</v>
      </c>
      <c r="B1010" s="193" t="s">
        <v>1058</v>
      </c>
      <c r="C1010" s="194" t="s">
        <v>880</v>
      </c>
      <c r="D1010" s="105">
        <v>179236.99999999994</v>
      </c>
      <c r="E1010" s="105"/>
      <c r="F1010" s="105">
        <v>167702.79575461466</v>
      </c>
      <c r="G1010" s="105"/>
      <c r="H1010" s="105">
        <v>7788.4835788101436</v>
      </c>
      <c r="I1010" s="105">
        <v>3745.7206665751287</v>
      </c>
      <c r="J1010" s="105"/>
      <c r="K1010" s="105"/>
      <c r="L1010" s="105">
        <v>0.53551000847740848</v>
      </c>
      <c r="M1010" s="105"/>
      <c r="N1010" s="105">
        <v>3745.1851565666511</v>
      </c>
      <c r="O1010" s="105">
        <v>1899.4532436822126</v>
      </c>
      <c r="P1010" s="105">
        <v>1845.7319128844383</v>
      </c>
      <c r="Q1010" s="105">
        <v>0</v>
      </c>
      <c r="R1010" s="105"/>
      <c r="S1010" s="105"/>
      <c r="T1010" s="105">
        <v>179236.99999999991</v>
      </c>
      <c r="U1010" s="111">
        <v>557</v>
      </c>
      <c r="V1010" s="111"/>
      <c r="W1010" s="111">
        <v>179236.99999999991</v>
      </c>
      <c r="X1010" s="122">
        <v>0</v>
      </c>
      <c r="Y1010" s="111"/>
    </row>
    <row r="1011" spans="1:25" x14ac:dyDescent="0.25">
      <c r="A1011" s="13"/>
      <c r="B1011" s="13"/>
      <c r="C1011" s="103"/>
      <c r="D1011" s="105"/>
      <c r="E1011" s="105"/>
      <c r="F1011" s="105"/>
      <c r="G1011" s="105"/>
      <c r="H1011" s="105"/>
      <c r="I1011" s="105"/>
      <c r="J1011" s="105"/>
      <c r="K1011" s="105"/>
      <c r="L1011" s="105"/>
      <c r="M1011" s="105"/>
      <c r="N1011" s="105"/>
      <c r="O1011" s="105"/>
      <c r="P1011" s="105"/>
      <c r="Q1011" s="105"/>
      <c r="R1011" s="105"/>
      <c r="S1011" s="105"/>
      <c r="T1011" s="105"/>
      <c r="U1011" s="111"/>
      <c r="V1011" s="111"/>
      <c r="W1011" s="111"/>
      <c r="X1011" s="122"/>
      <c r="Y1011" s="111"/>
    </row>
    <row r="1012" spans="1:25" x14ac:dyDescent="0.25">
      <c r="A1012" s="104">
        <v>48</v>
      </c>
      <c r="B1012" s="193" t="s">
        <v>1059</v>
      </c>
      <c r="C1012" s="103"/>
      <c r="D1012" s="105">
        <v>656097800.56972647</v>
      </c>
      <c r="E1012" s="105"/>
      <c r="F1012" s="105">
        <v>615512853.91385889</v>
      </c>
      <c r="G1012" s="105"/>
      <c r="H1012" s="105">
        <v>26604541.513609033</v>
      </c>
      <c r="I1012" s="105">
        <v>13980405.14225853</v>
      </c>
      <c r="J1012" s="105"/>
      <c r="K1012" s="105"/>
      <c r="L1012" s="105">
        <v>2522.6471375917831</v>
      </c>
      <c r="M1012" s="105"/>
      <c r="N1012" s="105">
        <v>13977882.495120939</v>
      </c>
      <c r="O1012" s="105">
        <v>7080525.3370596329</v>
      </c>
      <c r="P1012" s="105">
        <v>6897357.1580613051</v>
      </c>
      <c r="Q1012" s="105">
        <v>0</v>
      </c>
      <c r="R1012" s="105"/>
      <c r="S1012" s="105"/>
      <c r="T1012" s="105"/>
      <c r="U1012" s="111"/>
      <c r="V1012" s="111"/>
      <c r="W1012" s="111">
        <v>656097800.56972647</v>
      </c>
      <c r="X1012" s="122">
        <v>0</v>
      </c>
    </row>
    <row r="1013" spans="1:25" x14ac:dyDescent="0.25">
      <c r="A1013" s="13"/>
      <c r="B1013" s="13"/>
      <c r="C1013" s="103"/>
      <c r="D1013" s="105"/>
      <c r="E1013" s="105"/>
      <c r="F1013" s="105"/>
      <c r="G1013" s="105"/>
      <c r="H1013" s="105"/>
      <c r="I1013" s="105"/>
      <c r="J1013" s="105"/>
      <c r="K1013" s="105"/>
      <c r="L1013" s="105"/>
      <c r="M1013" s="105"/>
      <c r="N1013" s="105"/>
      <c r="O1013" s="105"/>
      <c r="P1013" s="105"/>
      <c r="Q1013" s="105"/>
      <c r="R1013" s="105"/>
      <c r="S1013" s="105"/>
      <c r="T1013" s="105"/>
      <c r="U1013" s="111"/>
      <c r="V1013" s="111"/>
      <c r="W1013" s="111"/>
      <c r="X1013" s="122"/>
    </row>
    <row r="1014" spans="1:25" x14ac:dyDescent="0.25">
      <c r="A1014" s="13"/>
      <c r="B1014" s="195" t="s">
        <v>1060</v>
      </c>
      <c r="C1014" s="13"/>
      <c r="D1014" s="105"/>
      <c r="E1014" s="105"/>
      <c r="F1014" s="105"/>
      <c r="G1014" s="105"/>
      <c r="H1014" s="105"/>
      <c r="I1014" s="105"/>
      <c r="J1014" s="105"/>
      <c r="K1014" s="105"/>
      <c r="L1014" s="105"/>
      <c r="M1014" s="105"/>
      <c r="N1014" s="105"/>
      <c r="O1014" s="105"/>
      <c r="P1014" s="105"/>
      <c r="Q1014" s="105"/>
      <c r="R1014" s="105"/>
      <c r="S1014" s="105"/>
      <c r="T1014" s="105"/>
      <c r="U1014" s="111"/>
      <c r="V1014" s="111"/>
      <c r="W1014" s="111"/>
      <c r="X1014" s="122"/>
    </row>
    <row r="1015" spans="1:25" x14ac:dyDescent="0.25">
      <c r="A1015" s="13"/>
      <c r="B1015" s="13"/>
      <c r="C1015" s="13"/>
      <c r="D1015" s="105"/>
      <c r="E1015" s="105"/>
      <c r="F1015" s="105"/>
      <c r="G1015" s="105"/>
      <c r="H1015" s="105"/>
      <c r="I1015" s="105"/>
      <c r="J1015" s="105"/>
      <c r="K1015" s="105"/>
      <c r="L1015" s="105"/>
      <c r="M1015" s="105"/>
      <c r="N1015" s="105"/>
      <c r="O1015" s="105"/>
      <c r="P1015" s="105"/>
      <c r="Q1015" s="105"/>
      <c r="R1015" s="105"/>
      <c r="S1015" s="105"/>
      <c r="T1015" s="105"/>
      <c r="U1015" s="111"/>
      <c r="V1015" s="111"/>
      <c r="W1015" s="111"/>
      <c r="X1015" s="122"/>
    </row>
    <row r="1016" spans="1:25" x14ac:dyDescent="0.25">
      <c r="A1016" s="13"/>
      <c r="B1016" s="193" t="s">
        <v>1061</v>
      </c>
      <c r="C1016" s="13"/>
      <c r="D1016" s="105"/>
      <c r="E1016" s="105"/>
      <c r="F1016" s="105"/>
      <c r="G1016" s="105"/>
      <c r="H1016" s="105"/>
      <c r="I1016" s="105"/>
      <c r="J1016" s="105"/>
      <c r="K1016" s="105"/>
      <c r="L1016" s="105"/>
      <c r="M1016" s="105"/>
      <c r="N1016" s="105"/>
      <c r="O1016" s="105"/>
      <c r="P1016" s="105"/>
      <c r="Q1016" s="105"/>
      <c r="R1016" s="105"/>
      <c r="S1016" s="105"/>
      <c r="T1016" s="105"/>
      <c r="U1016" s="111"/>
      <c r="V1016" s="111"/>
      <c r="W1016" s="111"/>
      <c r="X1016" s="122"/>
    </row>
    <row r="1017" spans="1:25" x14ac:dyDescent="0.25">
      <c r="A1017" s="104">
        <v>1</v>
      </c>
      <c r="B1017" s="193" t="s">
        <v>1062</v>
      </c>
      <c r="C1017" s="194" t="s">
        <v>498</v>
      </c>
      <c r="D1017" s="105">
        <v>1937097</v>
      </c>
      <c r="E1017" s="105"/>
      <c r="F1017" s="105">
        <v>1754566.021489697</v>
      </c>
      <c r="G1017" s="105"/>
      <c r="H1017" s="105">
        <v>182525.36066742119</v>
      </c>
      <c r="I1017" s="105">
        <v>5.6178428817318009</v>
      </c>
      <c r="J1017" s="105"/>
      <c r="K1017" s="105"/>
      <c r="L1017" s="105">
        <v>5.6178428817318009</v>
      </c>
      <c r="M1017" s="105"/>
      <c r="N1017" s="105">
        <v>0</v>
      </c>
      <c r="O1017" s="105">
        <v>0</v>
      </c>
      <c r="P1017" s="105">
        <v>0</v>
      </c>
      <c r="Q1017" s="105">
        <v>0</v>
      </c>
      <c r="R1017" s="105"/>
      <c r="S1017" s="105"/>
      <c r="T1017" s="105">
        <v>1937097</v>
      </c>
      <c r="U1017" s="111">
        <v>560</v>
      </c>
      <c r="V1017" s="111"/>
      <c r="W1017" s="111">
        <v>1937097</v>
      </c>
      <c r="X1017" s="122">
        <v>0</v>
      </c>
    </row>
    <row r="1018" spans="1:25" x14ac:dyDescent="0.25">
      <c r="A1018" s="104">
        <v>2</v>
      </c>
      <c r="B1018" s="193" t="s">
        <v>1063</v>
      </c>
      <c r="C1018" s="194" t="s">
        <v>2021</v>
      </c>
      <c r="D1018" s="105">
        <v>3722480</v>
      </c>
      <c r="E1018" s="105"/>
      <c r="F1018" s="105">
        <v>3371713.9222635562</v>
      </c>
      <c r="G1018" s="105"/>
      <c r="H1018" s="105">
        <v>350755.28204176761</v>
      </c>
      <c r="I1018" s="105">
        <v>10.795694676306345</v>
      </c>
      <c r="J1018" s="105"/>
      <c r="K1018" s="105"/>
      <c r="L1018" s="105">
        <v>10.795694676306345</v>
      </c>
      <c r="M1018" s="105"/>
      <c r="N1018" s="105">
        <v>0</v>
      </c>
      <c r="O1018" s="105">
        <v>0</v>
      </c>
      <c r="P1018" s="105">
        <v>0</v>
      </c>
      <c r="Q1018" s="105">
        <v>0</v>
      </c>
      <c r="R1018" s="105"/>
      <c r="S1018" s="105"/>
      <c r="T1018" s="105">
        <v>3722480</v>
      </c>
      <c r="U1018" s="111">
        <v>561</v>
      </c>
      <c r="V1018" s="111"/>
      <c r="W1018" s="111">
        <v>3722480</v>
      </c>
      <c r="X1018" s="122">
        <v>0</v>
      </c>
      <c r="Y1018" s="111"/>
    </row>
    <row r="1019" spans="1:25" x14ac:dyDescent="0.25">
      <c r="A1019" s="104">
        <v>3</v>
      </c>
      <c r="B1019" s="193" t="s">
        <v>1064</v>
      </c>
      <c r="C1019" s="194" t="s">
        <v>2021</v>
      </c>
      <c r="D1019" s="105">
        <v>1324864.9999999998</v>
      </c>
      <c r="E1019" s="105"/>
      <c r="F1019" s="105">
        <v>1200024.1144666206</v>
      </c>
      <c r="G1019" s="105"/>
      <c r="H1019" s="105">
        <v>124837.04324597216</v>
      </c>
      <c r="I1019" s="105">
        <v>3.8422874071384148</v>
      </c>
      <c r="J1019" s="105"/>
      <c r="K1019" s="105"/>
      <c r="L1019" s="105">
        <v>3.8422874071384148</v>
      </c>
      <c r="M1019" s="105"/>
      <c r="N1019" s="105">
        <v>0</v>
      </c>
      <c r="O1019" s="105">
        <v>0</v>
      </c>
      <c r="P1019" s="105">
        <v>0</v>
      </c>
      <c r="Q1019" s="105">
        <v>0</v>
      </c>
      <c r="R1019" s="105"/>
      <c r="S1019" s="105"/>
      <c r="T1019" s="105">
        <v>1324865</v>
      </c>
      <c r="U1019" s="111">
        <v>562</v>
      </c>
      <c r="V1019" s="111"/>
      <c r="W1019" s="111">
        <v>1324865</v>
      </c>
      <c r="X1019" s="122">
        <v>0</v>
      </c>
      <c r="Y1019" s="111"/>
    </row>
    <row r="1020" spans="1:25" x14ac:dyDescent="0.25">
      <c r="A1020" s="104">
        <v>4</v>
      </c>
      <c r="B1020" s="193" t="s">
        <v>1065</v>
      </c>
      <c r="C1020" s="194" t="s">
        <v>2021</v>
      </c>
      <c r="D1020" s="105">
        <v>975028</v>
      </c>
      <c r="E1020" s="105"/>
      <c r="F1020" s="105">
        <v>883151.95305194124</v>
      </c>
      <c r="G1020" s="105"/>
      <c r="H1020" s="105">
        <v>91873.219235192824</v>
      </c>
      <c r="I1020" s="105">
        <v>2.8277128658447119</v>
      </c>
      <c r="J1020" s="105"/>
      <c r="K1020" s="105"/>
      <c r="L1020" s="105">
        <v>2.8277128658447119</v>
      </c>
      <c r="M1020" s="105"/>
      <c r="N1020" s="105">
        <v>0</v>
      </c>
      <c r="O1020" s="105">
        <v>0</v>
      </c>
      <c r="P1020" s="105">
        <v>0</v>
      </c>
      <c r="Q1020" s="105">
        <v>0</v>
      </c>
      <c r="R1020" s="105"/>
      <c r="S1020" s="105"/>
      <c r="T1020" s="105">
        <v>975028</v>
      </c>
      <c r="U1020" s="111">
        <v>563</v>
      </c>
      <c r="V1020" s="111"/>
      <c r="W1020" s="111">
        <v>975028</v>
      </c>
      <c r="X1020" s="122">
        <v>0</v>
      </c>
      <c r="Y1020" s="111"/>
    </row>
    <row r="1021" spans="1:25" x14ac:dyDescent="0.25">
      <c r="A1021" s="104">
        <v>5</v>
      </c>
      <c r="B1021" s="193" t="s">
        <v>1066</v>
      </c>
      <c r="C1021" s="194" t="s">
        <v>2021</v>
      </c>
      <c r="D1021" s="105">
        <v>0</v>
      </c>
      <c r="E1021" s="105"/>
      <c r="F1021" s="105">
        <v>0</v>
      </c>
      <c r="G1021" s="105"/>
      <c r="H1021" s="105">
        <v>0</v>
      </c>
      <c r="I1021" s="105">
        <v>0</v>
      </c>
      <c r="J1021" s="105"/>
      <c r="K1021" s="105"/>
      <c r="L1021" s="105">
        <v>0</v>
      </c>
      <c r="M1021" s="105"/>
      <c r="N1021" s="105">
        <v>0</v>
      </c>
      <c r="O1021" s="105">
        <v>0</v>
      </c>
      <c r="P1021" s="105">
        <v>0</v>
      </c>
      <c r="Q1021" s="105">
        <v>0</v>
      </c>
      <c r="R1021" s="105"/>
      <c r="S1021" s="105"/>
      <c r="T1021" s="105">
        <v>0</v>
      </c>
      <c r="U1021" s="111">
        <v>564</v>
      </c>
      <c r="V1021" s="111"/>
      <c r="W1021" s="111">
        <v>0</v>
      </c>
      <c r="X1021" s="122">
        <v>0</v>
      </c>
      <c r="Y1021" s="111"/>
    </row>
    <row r="1022" spans="1:25" x14ac:dyDescent="0.25">
      <c r="A1022" s="104">
        <v>6</v>
      </c>
      <c r="B1022" s="193" t="s">
        <v>1067</v>
      </c>
      <c r="C1022" s="194" t="s">
        <v>2021</v>
      </c>
      <c r="D1022" s="105">
        <v>4099659</v>
      </c>
      <c r="E1022" s="105"/>
      <c r="F1022" s="105">
        <v>3713351.6706155809</v>
      </c>
      <c r="G1022" s="105"/>
      <c r="H1022" s="105">
        <v>386295.43981970917</v>
      </c>
      <c r="I1022" s="105">
        <v>11.889564709809427</v>
      </c>
      <c r="J1022" s="105"/>
      <c r="K1022" s="105"/>
      <c r="L1022" s="105">
        <v>11.889564709809427</v>
      </c>
      <c r="M1022" s="105"/>
      <c r="N1022" s="105">
        <v>0</v>
      </c>
      <c r="O1022" s="105">
        <v>0</v>
      </c>
      <c r="P1022" s="105">
        <v>0</v>
      </c>
      <c r="Q1022" s="105">
        <v>0</v>
      </c>
      <c r="R1022" s="105"/>
      <c r="S1022" s="105"/>
      <c r="T1022" s="105">
        <v>4099659</v>
      </c>
      <c r="U1022" s="111">
        <v>565</v>
      </c>
      <c r="V1022" s="111"/>
      <c r="W1022" s="111">
        <v>4099659</v>
      </c>
      <c r="X1022" s="122">
        <v>0</v>
      </c>
      <c r="Y1022" s="111"/>
    </row>
    <row r="1023" spans="1:25" x14ac:dyDescent="0.25">
      <c r="A1023" s="104">
        <v>7</v>
      </c>
      <c r="B1023" s="193" t="s">
        <v>1068</v>
      </c>
      <c r="C1023" s="194" t="s">
        <v>2021</v>
      </c>
      <c r="D1023" s="105">
        <v>23279803.999999888</v>
      </c>
      <c r="E1023" s="105"/>
      <c r="F1023" s="105">
        <v>21086168.160572104</v>
      </c>
      <c r="G1023" s="105"/>
      <c r="H1023" s="105">
        <v>2193568.3248525257</v>
      </c>
      <c r="I1023" s="105">
        <v>67.514575258498084</v>
      </c>
      <c r="J1023" s="105"/>
      <c r="K1023" s="105"/>
      <c r="L1023" s="105">
        <v>67.514575258498084</v>
      </c>
      <c r="M1023" s="105"/>
      <c r="N1023" s="105">
        <v>0</v>
      </c>
      <c r="O1023" s="105">
        <v>0</v>
      </c>
      <c r="P1023" s="105">
        <v>0</v>
      </c>
      <c r="Q1023" s="105">
        <v>0</v>
      </c>
      <c r="R1023" s="105"/>
      <c r="S1023" s="105"/>
      <c r="T1023" s="105">
        <v>23279803.999999888</v>
      </c>
      <c r="U1023" s="111">
        <v>566</v>
      </c>
      <c r="V1023" s="111"/>
      <c r="W1023" s="111">
        <v>23279803.999999888</v>
      </c>
      <c r="X1023" s="122">
        <v>0</v>
      </c>
      <c r="Y1023" s="111"/>
    </row>
    <row r="1024" spans="1:25" x14ac:dyDescent="0.25">
      <c r="A1024" s="104">
        <v>8</v>
      </c>
      <c r="B1024" s="193" t="s">
        <v>1069</v>
      </c>
      <c r="C1024" s="194" t="s">
        <v>2021</v>
      </c>
      <c r="D1024" s="105">
        <v>124235.99999999999</v>
      </c>
      <c r="E1024" s="105"/>
      <c r="F1024" s="105">
        <v>112529.34894111859</v>
      </c>
      <c r="G1024" s="105"/>
      <c r="H1024" s="105">
        <v>11706.290757704821</v>
      </c>
      <c r="I1024" s="105">
        <v>0.36030117658270699</v>
      </c>
      <c r="J1024" s="105"/>
      <c r="K1024" s="105"/>
      <c r="L1024" s="105">
        <v>0.36030117658270699</v>
      </c>
      <c r="M1024" s="105"/>
      <c r="N1024" s="105">
        <v>0</v>
      </c>
      <c r="O1024" s="105">
        <v>0</v>
      </c>
      <c r="P1024" s="105">
        <v>0</v>
      </c>
      <c r="Q1024" s="105">
        <v>0</v>
      </c>
      <c r="R1024" s="105"/>
      <c r="S1024" s="105"/>
      <c r="T1024" s="105">
        <v>124236</v>
      </c>
      <c r="U1024" s="111">
        <v>567</v>
      </c>
      <c r="V1024" s="111"/>
      <c r="W1024" s="111">
        <v>124236</v>
      </c>
      <c r="X1024" s="122">
        <v>0</v>
      </c>
      <c r="Y1024" s="118"/>
    </row>
    <row r="1025" spans="1:27" x14ac:dyDescent="0.25">
      <c r="A1025" s="102">
        <v>9</v>
      </c>
      <c r="B1025" s="196" t="s">
        <v>1982</v>
      </c>
      <c r="C1025" s="194" t="s">
        <v>2021</v>
      </c>
      <c r="D1025" s="105">
        <v>0</v>
      </c>
      <c r="E1025" s="105"/>
      <c r="F1025" s="105">
        <v>0</v>
      </c>
      <c r="G1025" s="105"/>
      <c r="H1025" s="105">
        <v>0</v>
      </c>
      <c r="I1025" s="105">
        <v>0</v>
      </c>
      <c r="J1025" s="105"/>
      <c r="K1025" s="105"/>
      <c r="L1025" s="105">
        <v>0</v>
      </c>
      <c r="M1025" s="105"/>
      <c r="N1025" s="105">
        <v>0</v>
      </c>
      <c r="O1025" s="105">
        <v>0</v>
      </c>
      <c r="P1025" s="105">
        <v>0</v>
      </c>
      <c r="Q1025" s="105">
        <v>0</v>
      </c>
      <c r="R1025" s="105"/>
      <c r="S1025" s="105"/>
      <c r="T1025" s="105">
        <v>0</v>
      </c>
      <c r="U1025" s="111">
        <v>575.70000000000005</v>
      </c>
      <c r="V1025" s="111"/>
      <c r="W1025" s="111">
        <v>0</v>
      </c>
      <c r="X1025" s="122">
        <v>0</v>
      </c>
      <c r="Y1025" s="111"/>
      <c r="AA1025" s="111"/>
    </row>
    <row r="1026" spans="1:27" x14ac:dyDescent="0.25">
      <c r="A1026" s="104">
        <v>10</v>
      </c>
      <c r="B1026" s="193" t="s">
        <v>1070</v>
      </c>
      <c r="C1026" s="13"/>
      <c r="D1026" s="105">
        <v>35463168.999999888</v>
      </c>
      <c r="E1026" s="105"/>
      <c r="F1026" s="105">
        <v>32121505.191400617</v>
      </c>
      <c r="G1026" s="105"/>
      <c r="H1026" s="105">
        <v>3341560.9606202939</v>
      </c>
      <c r="I1026" s="105">
        <v>102.8479789759115</v>
      </c>
      <c r="J1026" s="105"/>
      <c r="K1026" s="105"/>
      <c r="L1026" s="105">
        <v>102.8479789759115</v>
      </c>
      <c r="M1026" s="105"/>
      <c r="N1026" s="105">
        <v>0</v>
      </c>
      <c r="O1026" s="105">
        <v>0</v>
      </c>
      <c r="P1026" s="105">
        <v>0</v>
      </c>
      <c r="Q1026" s="105">
        <v>0</v>
      </c>
      <c r="R1026" s="105"/>
      <c r="S1026" s="105"/>
      <c r="T1026" s="105"/>
      <c r="U1026" s="150"/>
      <c r="V1026" s="111"/>
      <c r="W1026" s="111"/>
      <c r="X1026" s="122"/>
      <c r="Y1026" s="118"/>
      <c r="AA1026" s="118"/>
    </row>
    <row r="1027" spans="1:27" x14ac:dyDescent="0.25">
      <c r="A1027" s="104">
        <v>11</v>
      </c>
      <c r="B1027" s="193" t="s">
        <v>1071</v>
      </c>
      <c r="C1027" s="194" t="s">
        <v>2021</v>
      </c>
      <c r="D1027" s="105">
        <v>0</v>
      </c>
      <c r="E1027" s="105"/>
      <c r="F1027" s="105">
        <v>0</v>
      </c>
      <c r="G1027" s="105"/>
      <c r="H1027" s="105">
        <v>0</v>
      </c>
      <c r="I1027" s="105">
        <v>0</v>
      </c>
      <c r="J1027" s="105"/>
      <c r="K1027" s="105"/>
      <c r="L1027" s="105">
        <v>0</v>
      </c>
      <c r="M1027" s="105"/>
      <c r="N1027" s="105">
        <v>0</v>
      </c>
      <c r="O1027" s="105">
        <v>0</v>
      </c>
      <c r="P1027" s="105">
        <v>0</v>
      </c>
      <c r="Q1027" s="105">
        <v>0</v>
      </c>
      <c r="R1027" s="105"/>
      <c r="S1027" s="105"/>
      <c r="T1027" s="105">
        <v>0</v>
      </c>
      <c r="U1027" s="111">
        <v>568</v>
      </c>
      <c r="V1027" s="111"/>
      <c r="W1027" s="111">
        <v>0</v>
      </c>
      <c r="X1027" s="122">
        <v>0</v>
      </c>
      <c r="Y1027" s="108"/>
      <c r="Z1027" s="118"/>
    </row>
    <row r="1028" spans="1:27" x14ac:dyDescent="0.25">
      <c r="A1028" s="104">
        <v>12</v>
      </c>
      <c r="B1028" s="193" t="s">
        <v>1072</v>
      </c>
      <c r="C1028" s="194" t="s">
        <v>2021</v>
      </c>
      <c r="D1028" s="105">
        <v>0</v>
      </c>
      <c r="E1028" s="105"/>
      <c r="F1028" s="105">
        <v>0</v>
      </c>
      <c r="G1028" s="105"/>
      <c r="H1028" s="105">
        <v>0</v>
      </c>
      <c r="I1028" s="105">
        <v>0</v>
      </c>
      <c r="J1028" s="105"/>
      <c r="K1028" s="105"/>
      <c r="L1028" s="105">
        <v>0</v>
      </c>
      <c r="M1028" s="105"/>
      <c r="N1028" s="105">
        <v>0</v>
      </c>
      <c r="O1028" s="105">
        <v>0</v>
      </c>
      <c r="P1028" s="105">
        <v>0</v>
      </c>
      <c r="Q1028" s="105">
        <v>0</v>
      </c>
      <c r="R1028" s="105"/>
      <c r="S1028" s="105"/>
      <c r="T1028" s="105">
        <v>0</v>
      </c>
      <c r="U1028" s="111">
        <v>569</v>
      </c>
      <c r="V1028" s="111"/>
      <c r="W1028" s="111">
        <v>0</v>
      </c>
      <c r="X1028" s="122">
        <v>0</v>
      </c>
      <c r="Y1028" s="108"/>
      <c r="Z1028" s="151"/>
    </row>
    <row r="1029" spans="1:27" x14ac:dyDescent="0.25">
      <c r="A1029" s="104">
        <v>13</v>
      </c>
      <c r="B1029" s="193" t="s">
        <v>1073</v>
      </c>
      <c r="C1029" s="194" t="s">
        <v>2021</v>
      </c>
      <c r="D1029" s="105">
        <v>1958193</v>
      </c>
      <c r="E1029" s="105"/>
      <c r="F1029" s="105">
        <v>1773674.1636164705</v>
      </c>
      <c r="G1029" s="105"/>
      <c r="H1029" s="105">
        <v>184513.15735939884</v>
      </c>
      <c r="I1029" s="105">
        <v>5.6790241304937439</v>
      </c>
      <c r="J1029" s="105"/>
      <c r="K1029" s="105"/>
      <c r="L1029" s="105">
        <v>5.6790241304937439</v>
      </c>
      <c r="M1029" s="105"/>
      <c r="N1029" s="105">
        <v>0</v>
      </c>
      <c r="O1029" s="105">
        <v>0</v>
      </c>
      <c r="P1029" s="105">
        <v>0</v>
      </c>
      <c r="Q1029" s="105">
        <v>0</v>
      </c>
      <c r="R1029" s="105"/>
      <c r="S1029" s="105"/>
      <c r="T1029" s="105">
        <v>1958193</v>
      </c>
      <c r="U1029" s="111">
        <v>570</v>
      </c>
      <c r="V1029" s="111"/>
      <c r="W1029" s="111">
        <v>1958193</v>
      </c>
      <c r="X1029" s="122">
        <v>0</v>
      </c>
      <c r="Y1029" s="108" t="s">
        <v>2172</v>
      </c>
      <c r="Z1029" s="151"/>
    </row>
    <row r="1030" spans="1:27" x14ac:dyDescent="0.25">
      <c r="A1030" s="104">
        <v>14</v>
      </c>
      <c r="B1030" s="196" t="s">
        <v>1074</v>
      </c>
      <c r="C1030" s="194" t="s">
        <v>2021</v>
      </c>
      <c r="D1030" s="105">
        <v>13624020</v>
      </c>
      <c r="E1030" s="105"/>
      <c r="F1030" s="105">
        <v>12345181.865158921</v>
      </c>
      <c r="G1030" s="105"/>
      <c r="H1030" s="105">
        <v>1278798.775430575</v>
      </c>
      <c r="I1030" s="105">
        <v>39.359410503015553</v>
      </c>
      <c r="J1030" s="105"/>
      <c r="K1030" s="105"/>
      <c r="L1030" s="105">
        <v>39.359410503015553</v>
      </c>
      <c r="M1030" s="105"/>
      <c r="N1030" s="105">
        <v>0</v>
      </c>
      <c r="O1030" s="105">
        <v>0</v>
      </c>
      <c r="P1030" s="105">
        <v>0</v>
      </c>
      <c r="Q1030" s="105">
        <v>0</v>
      </c>
      <c r="R1030" s="105"/>
      <c r="S1030" s="105"/>
      <c r="T1030" s="105">
        <v>13571578.560000001</v>
      </c>
      <c r="U1030" s="111">
        <v>571</v>
      </c>
      <c r="V1030" s="111"/>
      <c r="W1030" s="111">
        <v>13624020</v>
      </c>
      <c r="X1030" s="122">
        <v>52441.439999999478</v>
      </c>
      <c r="Y1030" s="146">
        <v>44072.04</v>
      </c>
    </row>
    <row r="1031" spans="1:27" x14ac:dyDescent="0.25">
      <c r="A1031" s="104">
        <v>15</v>
      </c>
      <c r="B1031" s="193" t="s">
        <v>1075</v>
      </c>
      <c r="C1031" s="194" t="s">
        <v>2021</v>
      </c>
      <c r="D1031" s="105">
        <v>0</v>
      </c>
      <c r="E1031" s="105"/>
      <c r="F1031" s="105">
        <v>0</v>
      </c>
      <c r="G1031" s="105"/>
      <c r="H1031" s="105">
        <v>0</v>
      </c>
      <c r="I1031" s="105">
        <v>0</v>
      </c>
      <c r="J1031" s="105"/>
      <c r="K1031" s="105"/>
      <c r="L1031" s="105">
        <v>0</v>
      </c>
      <c r="M1031" s="105"/>
      <c r="N1031" s="105">
        <v>0</v>
      </c>
      <c r="O1031" s="105">
        <v>0</v>
      </c>
      <c r="P1031" s="105">
        <v>0</v>
      </c>
      <c r="Q1031" s="105">
        <v>0</v>
      </c>
      <c r="R1031" s="105"/>
      <c r="S1031" s="105"/>
      <c r="T1031" s="105">
        <v>0</v>
      </c>
      <c r="U1031" s="111">
        <v>572</v>
      </c>
      <c r="V1031" s="111"/>
      <c r="W1031" s="111">
        <v>0</v>
      </c>
      <c r="X1031" s="122">
        <v>0</v>
      </c>
      <c r="Y1031" s="118" t="s">
        <v>2323</v>
      </c>
    </row>
    <row r="1032" spans="1:27" x14ac:dyDescent="0.25">
      <c r="A1032" s="104">
        <v>16</v>
      </c>
      <c r="B1032" s="193" t="s">
        <v>1076</v>
      </c>
      <c r="C1032" s="194" t="s">
        <v>2021</v>
      </c>
      <c r="D1032" s="105">
        <v>325694</v>
      </c>
      <c r="E1032" s="105"/>
      <c r="F1032" s="105">
        <v>295004.13546821114</v>
      </c>
      <c r="G1032" s="105"/>
      <c r="H1032" s="105">
        <v>30688.91997520778</v>
      </c>
      <c r="I1032" s="105">
        <v>0.94455658107093088</v>
      </c>
      <c r="J1032" s="105"/>
      <c r="K1032" s="105"/>
      <c r="L1032" s="105">
        <v>0.94455658107093088</v>
      </c>
      <c r="M1032" s="105"/>
      <c r="N1032" s="105">
        <v>0</v>
      </c>
      <c r="O1032" s="105">
        <v>0</v>
      </c>
      <c r="P1032" s="105">
        <v>0</v>
      </c>
      <c r="Q1032" s="105">
        <v>0</v>
      </c>
      <c r="R1032" s="105"/>
      <c r="S1032" s="105"/>
      <c r="T1032" s="105">
        <v>325694</v>
      </c>
      <c r="U1032" s="111">
        <v>573</v>
      </c>
      <c r="V1032" s="111"/>
      <c r="W1032" s="111">
        <v>325694</v>
      </c>
      <c r="X1032" s="122">
        <v>0</v>
      </c>
      <c r="Y1032" s="111">
        <v>8369.4000000000015</v>
      </c>
    </row>
    <row r="1033" spans="1:27" x14ac:dyDescent="0.25">
      <c r="A1033" s="104">
        <v>17</v>
      </c>
      <c r="B1033" s="193" t="s">
        <v>1077</v>
      </c>
      <c r="C1033" s="13"/>
      <c r="D1033" s="105">
        <v>15907907</v>
      </c>
      <c r="E1033" s="105"/>
      <c r="F1033" s="105">
        <v>14413860.164243603</v>
      </c>
      <c r="G1033" s="105"/>
      <c r="H1033" s="105">
        <v>1494000.8527651818</v>
      </c>
      <c r="I1033" s="105">
        <v>45.982991214580231</v>
      </c>
      <c r="J1033" s="105"/>
      <c r="K1033" s="105"/>
      <c r="L1033" s="105">
        <v>45.982991214580231</v>
      </c>
      <c r="M1033" s="105"/>
      <c r="N1033" s="105">
        <v>0</v>
      </c>
      <c r="O1033" s="105">
        <v>0</v>
      </c>
      <c r="P1033" s="105">
        <v>0</v>
      </c>
      <c r="Q1033" s="105">
        <v>0</v>
      </c>
      <c r="R1033" s="105"/>
      <c r="S1033" s="105"/>
      <c r="T1033" s="105"/>
      <c r="U1033" s="111"/>
      <c r="V1033" s="111"/>
      <c r="W1033" s="111"/>
      <c r="X1033" s="122"/>
      <c r="Y1033" s="111"/>
      <c r="Z1033" s="125"/>
    </row>
    <row r="1034" spans="1:27" x14ac:dyDescent="0.25">
      <c r="A1034" s="13"/>
      <c r="B1034" s="13"/>
      <c r="C1034" s="13"/>
      <c r="D1034" s="105"/>
      <c r="E1034" s="105"/>
      <c r="F1034" s="105"/>
      <c r="G1034" s="105"/>
      <c r="H1034" s="105"/>
      <c r="I1034" s="105"/>
      <c r="J1034" s="105"/>
      <c r="K1034" s="105"/>
      <c r="L1034" s="105"/>
      <c r="M1034" s="105"/>
      <c r="N1034" s="105"/>
      <c r="O1034" s="105"/>
      <c r="P1034" s="105"/>
      <c r="Q1034" s="105"/>
      <c r="R1034" s="105"/>
      <c r="S1034" s="105"/>
      <c r="T1034" s="105"/>
      <c r="U1034" s="111"/>
      <c r="V1034" s="111"/>
      <c r="W1034" s="111"/>
      <c r="X1034" s="122"/>
    </row>
    <row r="1035" spans="1:27" x14ac:dyDescent="0.25">
      <c r="A1035" s="104">
        <v>18</v>
      </c>
      <c r="B1035" s="193" t="s">
        <v>1078</v>
      </c>
      <c r="C1035" s="13"/>
      <c r="D1035" s="105">
        <v>51371075.999999888</v>
      </c>
      <c r="E1035" s="105"/>
      <c r="F1035" s="105">
        <v>46535365.355644219</v>
      </c>
      <c r="G1035" s="105"/>
      <c r="H1035" s="105">
        <v>4835561.8133854754</v>
      </c>
      <c r="I1035" s="105">
        <v>148.83097019049174</v>
      </c>
      <c r="J1035" s="105"/>
      <c r="K1035" s="105"/>
      <c r="L1035" s="105">
        <v>148.83097019049174</v>
      </c>
      <c r="M1035" s="105"/>
      <c r="N1035" s="105">
        <v>0</v>
      </c>
      <c r="O1035" s="105">
        <v>0</v>
      </c>
      <c r="P1035" s="105">
        <v>0</v>
      </c>
      <c r="Q1035" s="105">
        <v>0</v>
      </c>
      <c r="R1035" s="105"/>
      <c r="S1035" s="105"/>
      <c r="T1035" s="105"/>
      <c r="U1035" s="111"/>
      <c r="V1035" s="111"/>
      <c r="W1035" s="111">
        <v>51371075.999999888</v>
      </c>
      <c r="X1035" s="122">
        <v>0</v>
      </c>
    </row>
    <row r="1036" spans="1:27" x14ac:dyDescent="0.25">
      <c r="A1036" s="13"/>
      <c r="B1036" s="13"/>
      <c r="C1036" s="103"/>
      <c r="D1036" s="105"/>
      <c r="E1036" s="105"/>
      <c r="F1036" s="105"/>
      <c r="G1036" s="105"/>
      <c r="H1036" s="105"/>
      <c r="I1036" s="105"/>
      <c r="J1036" s="105"/>
      <c r="K1036" s="105"/>
      <c r="L1036" s="105"/>
      <c r="M1036" s="105"/>
      <c r="N1036" s="105"/>
      <c r="O1036" s="105"/>
      <c r="P1036" s="105"/>
      <c r="Q1036" s="105"/>
      <c r="R1036" s="105"/>
      <c r="S1036" s="105"/>
      <c r="T1036" s="105"/>
      <c r="U1036" s="111"/>
      <c r="V1036" s="111"/>
      <c r="W1036" s="111"/>
      <c r="X1036" s="122"/>
    </row>
    <row r="1037" spans="1:27" x14ac:dyDescent="0.25">
      <c r="A1037" s="13"/>
      <c r="B1037" s="193" t="s">
        <v>714</v>
      </c>
      <c r="C1037" s="103"/>
      <c r="D1037" s="105"/>
      <c r="E1037" s="105"/>
      <c r="F1037" s="105"/>
      <c r="G1037" s="105"/>
      <c r="H1037" s="105"/>
      <c r="I1037" s="105"/>
      <c r="J1037" s="105"/>
      <c r="K1037" s="105"/>
      <c r="L1037" s="105"/>
      <c r="M1037" s="105"/>
      <c r="N1037" s="105"/>
      <c r="O1037" s="105"/>
      <c r="P1037" s="105"/>
      <c r="Q1037" s="105"/>
      <c r="R1037" s="105"/>
      <c r="S1037" s="105"/>
      <c r="T1037" s="105"/>
      <c r="U1037" s="111"/>
      <c r="V1037" s="111"/>
      <c r="W1037" s="111"/>
      <c r="X1037" s="122"/>
    </row>
    <row r="1038" spans="1:27" x14ac:dyDescent="0.25">
      <c r="A1038" s="104">
        <v>19</v>
      </c>
      <c r="B1038" s="193" t="s">
        <v>715</v>
      </c>
      <c r="C1038" s="194" t="s">
        <v>1408</v>
      </c>
      <c r="D1038" s="105">
        <v>1982552.9999999998</v>
      </c>
      <c r="E1038" s="105"/>
      <c r="F1038" s="105">
        <v>1881212.4788570732</v>
      </c>
      <c r="G1038" s="105"/>
      <c r="H1038" s="105">
        <v>97119.684071675292</v>
      </c>
      <c r="I1038" s="105">
        <v>4220.8370712513588</v>
      </c>
      <c r="J1038" s="105"/>
      <c r="K1038" s="105"/>
      <c r="L1038" s="105">
        <v>649.54922064599975</v>
      </c>
      <c r="M1038" s="105"/>
      <c r="N1038" s="105">
        <v>3571.2878506053594</v>
      </c>
      <c r="O1038" s="105">
        <v>3545.1221567466391</v>
      </c>
      <c r="P1038" s="105">
        <v>26.165693858720175</v>
      </c>
      <c r="Q1038" s="105">
        <v>0</v>
      </c>
      <c r="R1038" s="105"/>
      <c r="S1038" s="105"/>
      <c r="T1038" s="105">
        <v>1982553</v>
      </c>
      <c r="U1038" s="111">
        <v>580</v>
      </c>
      <c r="V1038" s="111"/>
      <c r="W1038" s="111">
        <v>1982553</v>
      </c>
      <c r="X1038" s="122">
        <v>0</v>
      </c>
    </row>
    <row r="1039" spans="1:27" x14ac:dyDescent="0.25">
      <c r="A1039" s="104">
        <v>20</v>
      </c>
      <c r="B1039" s="196" t="s">
        <v>716</v>
      </c>
      <c r="C1039" s="197" t="s">
        <v>1839</v>
      </c>
      <c r="D1039" s="105">
        <v>373694.00000000006</v>
      </c>
      <c r="E1039" s="105"/>
      <c r="F1039" s="105">
        <v>356173.72031329595</v>
      </c>
      <c r="G1039" s="105"/>
      <c r="H1039" s="105">
        <v>12206.287553407763</v>
      </c>
      <c r="I1039" s="105">
        <v>5313.9921332963459</v>
      </c>
      <c r="J1039" s="105"/>
      <c r="K1039" s="105"/>
      <c r="L1039" s="105">
        <v>717.23601082101334</v>
      </c>
      <c r="M1039" s="105"/>
      <c r="N1039" s="105">
        <v>4596.7561224753326</v>
      </c>
      <c r="O1039" s="105">
        <v>4596.7561224753326</v>
      </c>
      <c r="P1039" s="105">
        <v>0</v>
      </c>
      <c r="Q1039" s="105">
        <v>0</v>
      </c>
      <c r="R1039" s="105"/>
      <c r="S1039" s="105"/>
      <c r="T1039" s="105">
        <v>373694</v>
      </c>
      <c r="U1039" s="111">
        <v>581</v>
      </c>
      <c r="V1039" s="111"/>
      <c r="W1039" s="111">
        <v>373694</v>
      </c>
      <c r="X1039" s="122">
        <v>0</v>
      </c>
      <c r="Y1039" s="111"/>
    </row>
    <row r="1040" spans="1:27" x14ac:dyDescent="0.25">
      <c r="A1040" s="104">
        <v>21</v>
      </c>
      <c r="B1040" s="193" t="s">
        <v>717</v>
      </c>
      <c r="C1040" s="197" t="s">
        <v>1839</v>
      </c>
      <c r="D1040" s="105">
        <v>2160725.0000000005</v>
      </c>
      <c r="E1040" s="105"/>
      <c r="F1040" s="105">
        <v>2059421.5101766321</v>
      </c>
      <c r="G1040" s="105"/>
      <c r="H1040" s="105">
        <v>70577.613431944294</v>
      </c>
      <c r="I1040" s="105">
        <v>30725.876391423859</v>
      </c>
      <c r="J1040" s="105"/>
      <c r="K1040" s="105"/>
      <c r="L1040" s="105">
        <v>4147.1090771626896</v>
      </c>
      <c r="M1040" s="105"/>
      <c r="N1040" s="105">
        <v>26578.767314261167</v>
      </c>
      <c r="O1040" s="105">
        <v>26578.767314261167</v>
      </c>
      <c r="P1040" s="105">
        <v>0</v>
      </c>
      <c r="Q1040" s="105">
        <v>0</v>
      </c>
      <c r="R1040" s="105"/>
      <c r="S1040" s="105"/>
      <c r="T1040" s="105">
        <v>2160725</v>
      </c>
      <c r="U1040" s="111">
        <v>582</v>
      </c>
      <c r="V1040" s="111"/>
      <c r="W1040" s="111">
        <v>2160725</v>
      </c>
      <c r="X1040" s="122">
        <v>0</v>
      </c>
      <c r="Y1040" s="111"/>
    </row>
    <row r="1041" spans="1:25" x14ac:dyDescent="0.25">
      <c r="A1041" s="104">
        <v>22</v>
      </c>
      <c r="B1041" s="193" t="s">
        <v>718</v>
      </c>
      <c r="C1041" s="197" t="s">
        <v>1838</v>
      </c>
      <c r="D1041" s="105">
        <v>5940957.0000000009</v>
      </c>
      <c r="E1041" s="105"/>
      <c r="F1041" s="105">
        <v>5524750.9613741152</v>
      </c>
      <c r="G1041" s="105"/>
      <c r="H1041" s="105">
        <v>415552.21210324293</v>
      </c>
      <c r="I1041" s="105">
        <v>653.82652264251419</v>
      </c>
      <c r="J1041" s="105"/>
      <c r="K1041" s="105"/>
      <c r="L1041" s="105">
        <v>653.82652264251419</v>
      </c>
      <c r="M1041" s="105"/>
      <c r="N1041" s="105">
        <v>0</v>
      </c>
      <c r="O1041" s="105">
        <v>0</v>
      </c>
      <c r="P1041" s="105">
        <v>0</v>
      </c>
      <c r="Q1041" s="105">
        <v>0</v>
      </c>
      <c r="R1041" s="105"/>
      <c r="S1041" s="105"/>
      <c r="T1041" s="105">
        <v>5940957</v>
      </c>
      <c r="U1041" s="111">
        <v>583</v>
      </c>
      <c r="V1041" s="111"/>
      <c r="W1041" s="111">
        <v>5940957</v>
      </c>
      <c r="X1041" s="122">
        <v>0</v>
      </c>
      <c r="Y1041" s="111"/>
    </row>
    <row r="1042" spans="1:25" x14ac:dyDescent="0.25">
      <c r="A1042" s="104">
        <v>23</v>
      </c>
      <c r="B1042" s="193" t="s">
        <v>719</v>
      </c>
      <c r="C1042" s="197" t="s">
        <v>1840</v>
      </c>
      <c r="D1042" s="105">
        <v>319</v>
      </c>
      <c r="E1042" s="105"/>
      <c r="F1042" s="105">
        <v>311.69847802795289</v>
      </c>
      <c r="G1042" s="105"/>
      <c r="H1042" s="105">
        <v>7.3015219720470839</v>
      </c>
      <c r="I1042" s="105">
        <v>0</v>
      </c>
      <c r="J1042" s="105"/>
      <c r="K1042" s="105"/>
      <c r="L1042" s="105">
        <v>0</v>
      </c>
      <c r="M1042" s="105"/>
      <c r="N1042" s="105">
        <v>0</v>
      </c>
      <c r="O1042" s="105">
        <v>0</v>
      </c>
      <c r="P1042" s="105">
        <v>0</v>
      </c>
      <c r="Q1042" s="105">
        <v>0</v>
      </c>
      <c r="R1042" s="105"/>
      <c r="S1042" s="105"/>
      <c r="T1042" s="105">
        <v>319</v>
      </c>
      <c r="U1042" s="111">
        <v>584</v>
      </c>
      <c r="V1042" s="111"/>
      <c r="W1042" s="111">
        <v>319</v>
      </c>
      <c r="X1042" s="122">
        <v>0</v>
      </c>
      <c r="Y1042" s="111"/>
    </row>
    <row r="1043" spans="1:25" x14ac:dyDescent="0.25">
      <c r="A1043" s="104">
        <v>24</v>
      </c>
      <c r="B1043" s="193" t="s">
        <v>720</v>
      </c>
      <c r="C1043" s="197" t="s">
        <v>1841</v>
      </c>
      <c r="D1043" s="105">
        <v>0</v>
      </c>
      <c r="E1043" s="105"/>
      <c r="F1043" s="105">
        <v>0</v>
      </c>
      <c r="G1043" s="105"/>
      <c r="H1043" s="105">
        <v>0</v>
      </c>
      <c r="I1043" s="105">
        <v>0</v>
      </c>
      <c r="J1043" s="105"/>
      <c r="K1043" s="105"/>
      <c r="L1043" s="105">
        <v>0</v>
      </c>
      <c r="M1043" s="105"/>
      <c r="N1043" s="105">
        <v>0</v>
      </c>
      <c r="O1043" s="105">
        <v>0</v>
      </c>
      <c r="P1043" s="105">
        <v>0</v>
      </c>
      <c r="Q1043" s="105">
        <v>0</v>
      </c>
      <c r="R1043" s="105"/>
      <c r="S1043" s="105"/>
      <c r="T1043" s="105">
        <v>0</v>
      </c>
      <c r="U1043" s="111">
        <v>585</v>
      </c>
      <c r="V1043" s="111"/>
      <c r="W1043" s="111">
        <v>0</v>
      </c>
      <c r="X1043" s="122">
        <v>0</v>
      </c>
      <c r="Y1043" s="111"/>
    </row>
    <row r="1044" spans="1:25" x14ac:dyDescent="0.25">
      <c r="A1044" s="104">
        <v>25</v>
      </c>
      <c r="B1044" s="193" t="s">
        <v>721</v>
      </c>
      <c r="C1044" s="197" t="s">
        <v>1842</v>
      </c>
      <c r="D1044" s="105">
        <v>9043626</v>
      </c>
      <c r="E1044" s="105"/>
      <c r="F1044" s="105">
        <v>8624079.831690127</v>
      </c>
      <c r="G1044" s="105"/>
      <c r="H1044" s="105">
        <v>413911.39457393059</v>
      </c>
      <c r="I1044" s="105">
        <v>5634.773735942761</v>
      </c>
      <c r="J1044" s="105"/>
      <c r="K1044" s="105"/>
      <c r="L1044" s="105">
        <v>459.38419533320098</v>
      </c>
      <c r="M1044" s="105"/>
      <c r="N1044" s="105">
        <v>5175.3895406095598</v>
      </c>
      <c r="O1044" s="105">
        <v>2237.8407128331182</v>
      </c>
      <c r="P1044" s="105">
        <v>2937.5488277764416</v>
      </c>
      <c r="Q1044" s="105">
        <v>0</v>
      </c>
      <c r="R1044" s="105"/>
      <c r="S1044" s="105"/>
      <c r="T1044" s="105">
        <v>9043626</v>
      </c>
      <c r="U1044" s="111">
        <v>586</v>
      </c>
      <c r="V1044" s="111"/>
      <c r="W1044" s="111">
        <v>9043626</v>
      </c>
      <c r="X1044" s="122">
        <v>0</v>
      </c>
      <c r="Y1044" s="111"/>
    </row>
    <row r="1045" spans="1:25" x14ac:dyDescent="0.25">
      <c r="A1045" s="104">
        <v>26</v>
      </c>
      <c r="B1045" s="193" t="s">
        <v>722</v>
      </c>
      <c r="C1045" s="197" t="s">
        <v>1841</v>
      </c>
      <c r="D1045" s="105">
        <v>0</v>
      </c>
      <c r="E1045" s="105"/>
      <c r="F1045" s="105">
        <v>0</v>
      </c>
      <c r="G1045" s="105"/>
      <c r="H1045" s="105">
        <v>0</v>
      </c>
      <c r="I1045" s="105">
        <v>0</v>
      </c>
      <c r="J1045" s="105"/>
      <c r="K1045" s="105"/>
      <c r="L1045" s="105">
        <v>0</v>
      </c>
      <c r="M1045" s="105"/>
      <c r="N1045" s="105">
        <v>0</v>
      </c>
      <c r="O1045" s="105">
        <v>0</v>
      </c>
      <c r="P1045" s="105">
        <v>0</v>
      </c>
      <c r="Q1045" s="105">
        <v>0</v>
      </c>
      <c r="R1045" s="105"/>
      <c r="S1045" s="105"/>
      <c r="T1045" s="105">
        <v>0</v>
      </c>
      <c r="U1045" s="111">
        <v>587</v>
      </c>
      <c r="V1045" s="111"/>
      <c r="W1045" s="111">
        <v>0</v>
      </c>
      <c r="X1045" s="122">
        <v>0</v>
      </c>
      <c r="Y1045" s="111"/>
    </row>
    <row r="1046" spans="1:25" x14ac:dyDescent="0.25">
      <c r="A1046" s="104">
        <v>27</v>
      </c>
      <c r="B1046" s="193" t="s">
        <v>723</v>
      </c>
      <c r="C1046" s="194" t="s">
        <v>1408</v>
      </c>
      <c r="D1046" s="105">
        <v>7980328.9999999991</v>
      </c>
      <c r="E1046" s="105"/>
      <c r="F1046" s="105">
        <v>7572405.1262109959</v>
      </c>
      <c r="G1046" s="105"/>
      <c r="H1046" s="105">
        <v>390933.82687273849</v>
      </c>
      <c r="I1046" s="105">
        <v>16990.046916265183</v>
      </c>
      <c r="J1046" s="105"/>
      <c r="K1046" s="105"/>
      <c r="L1046" s="105">
        <v>2614.6168513268854</v>
      </c>
      <c r="M1046" s="105"/>
      <c r="N1046" s="105">
        <v>14375.430064938297</v>
      </c>
      <c r="O1046" s="105">
        <v>14270.105846364637</v>
      </c>
      <c r="P1046" s="105">
        <v>105.32421857366059</v>
      </c>
      <c r="Q1046" s="105">
        <v>0</v>
      </c>
      <c r="R1046" s="105"/>
      <c r="S1046" s="105"/>
      <c r="T1046" s="105">
        <v>7980329</v>
      </c>
      <c r="U1046" s="111">
        <v>588</v>
      </c>
      <c r="V1046" s="111"/>
      <c r="W1046" s="111">
        <v>7980329</v>
      </c>
      <c r="X1046" s="122">
        <v>0</v>
      </c>
      <c r="Y1046" s="111"/>
    </row>
    <row r="1047" spans="1:25" x14ac:dyDescent="0.25">
      <c r="A1047" s="104">
        <v>28</v>
      </c>
      <c r="B1047" s="193" t="s">
        <v>724</v>
      </c>
      <c r="C1047" s="194" t="s">
        <v>1408</v>
      </c>
      <c r="D1047" s="105">
        <v>0</v>
      </c>
      <c r="E1047" s="105"/>
      <c r="F1047" s="105">
        <v>0</v>
      </c>
      <c r="G1047" s="105"/>
      <c r="H1047" s="105">
        <v>0</v>
      </c>
      <c r="I1047" s="105">
        <v>0</v>
      </c>
      <c r="J1047" s="105"/>
      <c r="K1047" s="105"/>
      <c r="L1047" s="105">
        <v>0</v>
      </c>
      <c r="M1047" s="105"/>
      <c r="N1047" s="105">
        <v>0</v>
      </c>
      <c r="O1047" s="105">
        <v>0</v>
      </c>
      <c r="P1047" s="105">
        <v>0</v>
      </c>
      <c r="Q1047" s="105">
        <v>0</v>
      </c>
      <c r="R1047" s="105"/>
      <c r="S1047" s="105"/>
      <c r="T1047" s="105">
        <v>0</v>
      </c>
      <c r="U1047" s="111">
        <v>589</v>
      </c>
      <c r="V1047" s="111"/>
      <c r="W1047" s="111">
        <v>0</v>
      </c>
      <c r="X1047" s="122">
        <v>0</v>
      </c>
      <c r="Y1047" s="111"/>
    </row>
    <row r="1048" spans="1:25" x14ac:dyDescent="0.25">
      <c r="A1048" s="104">
        <v>29</v>
      </c>
      <c r="B1048" s="193" t="s">
        <v>725</v>
      </c>
      <c r="C1048" s="103"/>
      <c r="D1048" s="105">
        <v>27482203</v>
      </c>
      <c r="E1048" s="105"/>
      <c r="F1048" s="105">
        <v>26018355.327100269</v>
      </c>
      <c r="G1048" s="105"/>
      <c r="H1048" s="105">
        <v>1400308.3201289114</v>
      </c>
      <c r="I1048" s="105">
        <v>63539.352770822021</v>
      </c>
      <c r="J1048" s="105"/>
      <c r="K1048" s="105"/>
      <c r="L1048" s="105">
        <v>9241.721877932303</v>
      </c>
      <c r="M1048" s="105"/>
      <c r="N1048" s="105">
        <v>54297.63089288972</v>
      </c>
      <c r="O1048" s="105">
        <v>51228.592152680896</v>
      </c>
      <c r="P1048" s="105">
        <v>3069.0387402088227</v>
      </c>
      <c r="Q1048" s="105">
        <v>0</v>
      </c>
      <c r="R1048" s="105"/>
      <c r="S1048" s="105"/>
      <c r="T1048" s="105"/>
      <c r="U1048" s="111"/>
      <c r="V1048" s="111"/>
      <c r="W1048" s="111"/>
      <c r="X1048" s="122"/>
      <c r="Y1048" s="111"/>
    </row>
    <row r="1049" spans="1:25" x14ac:dyDescent="0.25">
      <c r="A1049" s="104">
        <v>30</v>
      </c>
      <c r="B1049" s="193" t="s">
        <v>726</v>
      </c>
      <c r="C1049" s="194" t="s">
        <v>1408</v>
      </c>
      <c r="D1049" s="105">
        <v>77820</v>
      </c>
      <c r="E1049" s="105"/>
      <c r="F1049" s="105">
        <v>73842.13945587202</v>
      </c>
      <c r="G1049" s="105"/>
      <c r="H1049" s="105">
        <v>3812.1824811027855</v>
      </c>
      <c r="I1049" s="105">
        <v>165.67806302519065</v>
      </c>
      <c r="J1049" s="105"/>
      <c r="K1049" s="105"/>
      <c r="L1049" s="105">
        <v>25.496377827312408</v>
      </c>
      <c r="M1049" s="105"/>
      <c r="N1049" s="105">
        <v>140.18168519787824</v>
      </c>
      <c r="O1049" s="105">
        <v>139.15461843291124</v>
      </c>
      <c r="P1049" s="105">
        <v>1.0270667649669916</v>
      </c>
      <c r="Q1049" s="105">
        <v>0</v>
      </c>
      <c r="R1049" s="105"/>
      <c r="S1049" s="105"/>
      <c r="T1049" s="105">
        <v>77820</v>
      </c>
      <c r="U1049" s="111">
        <v>590</v>
      </c>
      <c r="V1049" s="111"/>
      <c r="W1049" s="111">
        <v>77820</v>
      </c>
      <c r="X1049" s="122">
        <v>0</v>
      </c>
    </row>
    <row r="1050" spans="1:25" x14ac:dyDescent="0.25">
      <c r="A1050" s="104">
        <v>31</v>
      </c>
      <c r="B1050" s="193" t="s">
        <v>727</v>
      </c>
      <c r="C1050" s="197" t="s">
        <v>1839</v>
      </c>
      <c r="D1050" s="105">
        <v>0</v>
      </c>
      <c r="E1050" s="105"/>
      <c r="F1050" s="105">
        <v>0</v>
      </c>
      <c r="G1050" s="105"/>
      <c r="H1050" s="105">
        <v>0</v>
      </c>
      <c r="I1050" s="105">
        <v>0</v>
      </c>
      <c r="J1050" s="105"/>
      <c r="K1050" s="105"/>
      <c r="L1050" s="105">
        <v>0</v>
      </c>
      <c r="M1050" s="105"/>
      <c r="N1050" s="105">
        <v>0</v>
      </c>
      <c r="O1050" s="105">
        <v>0</v>
      </c>
      <c r="P1050" s="105">
        <v>0</v>
      </c>
      <c r="Q1050" s="105">
        <v>0</v>
      </c>
      <c r="R1050" s="105"/>
      <c r="S1050" s="105"/>
      <c r="T1050" s="105">
        <v>0</v>
      </c>
      <c r="U1050" s="111">
        <v>591</v>
      </c>
      <c r="V1050" s="111"/>
      <c r="W1050" s="111">
        <v>0</v>
      </c>
      <c r="X1050" s="122">
        <v>0</v>
      </c>
      <c r="Y1050" s="111"/>
    </row>
    <row r="1051" spans="1:25" x14ac:dyDescent="0.25">
      <c r="A1051" s="104">
        <v>32</v>
      </c>
      <c r="B1051" s="193" t="s">
        <v>728</v>
      </c>
      <c r="C1051" s="197" t="s">
        <v>1839</v>
      </c>
      <c r="D1051" s="105">
        <v>1261918.0000000002</v>
      </c>
      <c r="E1051" s="105"/>
      <c r="F1051" s="105">
        <v>1202754.2020752642</v>
      </c>
      <c r="G1051" s="105"/>
      <c r="H1051" s="105">
        <v>41219.109690873331</v>
      </c>
      <c r="I1051" s="105">
        <v>17944.68823386262</v>
      </c>
      <c r="J1051" s="105"/>
      <c r="K1051" s="105"/>
      <c r="L1051" s="105">
        <v>2422.0164955905939</v>
      </c>
      <c r="M1051" s="105"/>
      <c r="N1051" s="105">
        <v>15522.671738272025</v>
      </c>
      <c r="O1051" s="105">
        <v>15522.671738272025</v>
      </c>
      <c r="P1051" s="105">
        <v>0</v>
      </c>
      <c r="Q1051" s="105">
        <v>0</v>
      </c>
      <c r="R1051" s="105"/>
      <c r="S1051" s="105"/>
      <c r="T1051" s="105">
        <v>1261918</v>
      </c>
      <c r="U1051" s="111">
        <v>592</v>
      </c>
      <c r="V1051" s="111"/>
      <c r="W1051" s="111">
        <v>1261918</v>
      </c>
      <c r="X1051" s="122">
        <v>0</v>
      </c>
      <c r="Y1051" s="111" t="s">
        <v>2173</v>
      </c>
    </row>
    <row r="1052" spans="1:25" x14ac:dyDescent="0.25">
      <c r="A1052" s="104">
        <v>33</v>
      </c>
      <c r="B1052" s="193" t="s">
        <v>729</v>
      </c>
      <c r="C1052" s="197" t="s">
        <v>1838</v>
      </c>
      <c r="D1052" s="105">
        <v>32497874.000000004</v>
      </c>
      <c r="E1052" s="105"/>
      <c r="F1052" s="105">
        <v>30523884.695827045</v>
      </c>
      <c r="G1052" s="105"/>
      <c r="H1052" s="105">
        <v>1970888.3242670882</v>
      </c>
      <c r="I1052" s="105">
        <v>3100.9799058707158</v>
      </c>
      <c r="J1052" s="105"/>
      <c r="K1052" s="105"/>
      <c r="L1052" s="105">
        <v>3100.9799058707158</v>
      </c>
      <c r="M1052" s="105"/>
      <c r="N1052" s="105">
        <v>0</v>
      </c>
      <c r="O1052" s="105">
        <v>0</v>
      </c>
      <c r="P1052" s="105">
        <v>0</v>
      </c>
      <c r="Q1052" s="105">
        <v>0</v>
      </c>
      <c r="R1052" s="105"/>
      <c r="S1052" s="105"/>
      <c r="T1052" s="105">
        <v>28176875.119999997</v>
      </c>
      <c r="U1052" s="111">
        <v>593</v>
      </c>
      <c r="V1052" s="111"/>
      <c r="W1052" s="111">
        <v>32497874</v>
      </c>
      <c r="X1052" s="122">
        <v>4320998.8800000064</v>
      </c>
      <c r="Y1052" s="146">
        <v>126664.44</v>
      </c>
    </row>
    <row r="1053" spans="1:25" x14ac:dyDescent="0.25">
      <c r="A1053" s="104">
        <v>34</v>
      </c>
      <c r="B1053" s="193" t="s">
        <v>730</v>
      </c>
      <c r="C1053" s="197" t="s">
        <v>1840</v>
      </c>
      <c r="D1053" s="105">
        <v>676994</v>
      </c>
      <c r="E1053" s="105"/>
      <c r="F1053" s="105">
        <v>661498.43082776165</v>
      </c>
      <c r="G1053" s="105"/>
      <c r="H1053" s="105">
        <v>15495.569172238382</v>
      </c>
      <c r="I1053" s="105">
        <v>0</v>
      </c>
      <c r="J1053" s="105"/>
      <c r="K1053" s="105"/>
      <c r="L1053" s="105">
        <v>0</v>
      </c>
      <c r="M1053" s="105"/>
      <c r="N1053" s="105">
        <v>0</v>
      </c>
      <c r="O1053" s="105">
        <v>0</v>
      </c>
      <c r="P1053" s="105">
        <v>0</v>
      </c>
      <c r="Q1053" s="105">
        <v>0</v>
      </c>
      <c r="R1053" s="105"/>
      <c r="S1053" s="105"/>
      <c r="T1053" s="105">
        <v>676994</v>
      </c>
      <c r="U1053" s="111">
        <v>594</v>
      </c>
      <c r="V1053" s="111"/>
      <c r="W1053" s="111">
        <v>676994</v>
      </c>
      <c r="X1053" s="122">
        <v>0</v>
      </c>
      <c r="Y1053" s="118" t="s">
        <v>2172</v>
      </c>
    </row>
    <row r="1054" spans="1:25" x14ac:dyDescent="0.25">
      <c r="A1054" s="104">
        <v>35</v>
      </c>
      <c r="B1054" s="193" t="s">
        <v>731</v>
      </c>
      <c r="C1054" s="197" t="s">
        <v>1844</v>
      </c>
      <c r="D1054" s="105">
        <v>112703.00000000001</v>
      </c>
      <c r="E1054" s="105"/>
      <c r="F1054" s="105">
        <v>108850.80399897524</v>
      </c>
      <c r="G1054" s="105"/>
      <c r="H1054" s="105">
        <v>3851.1217767424068</v>
      </c>
      <c r="I1054" s="105">
        <v>1.0742242823558146</v>
      </c>
      <c r="J1054" s="105"/>
      <c r="K1054" s="105"/>
      <c r="L1054" s="105">
        <v>1.0742242823558146</v>
      </c>
      <c r="M1054" s="105"/>
      <c r="N1054" s="105">
        <v>0</v>
      </c>
      <c r="O1054" s="105">
        <v>0</v>
      </c>
      <c r="P1054" s="105">
        <v>0</v>
      </c>
      <c r="Q1054" s="105">
        <v>0</v>
      </c>
      <c r="R1054" s="105"/>
      <c r="S1054" s="105"/>
      <c r="T1054" s="105">
        <v>112703</v>
      </c>
      <c r="U1054" s="111">
        <v>595</v>
      </c>
      <c r="V1054" s="111"/>
      <c r="W1054" s="111">
        <v>112703</v>
      </c>
      <c r="X1054" s="122">
        <v>0</v>
      </c>
      <c r="Y1054" s="146">
        <v>3258048.96</v>
      </c>
    </row>
    <row r="1055" spans="1:25" x14ac:dyDescent="0.25">
      <c r="A1055" s="104">
        <v>36</v>
      </c>
      <c r="B1055" s="193" t="s">
        <v>732</v>
      </c>
      <c r="C1055" s="197" t="s">
        <v>1841</v>
      </c>
      <c r="D1055" s="105">
        <v>0</v>
      </c>
      <c r="E1055" s="105"/>
      <c r="F1055" s="105">
        <v>0</v>
      </c>
      <c r="G1055" s="105"/>
      <c r="H1055" s="105">
        <v>0</v>
      </c>
      <c r="I1055" s="105">
        <v>0</v>
      </c>
      <c r="J1055" s="105"/>
      <c r="K1055" s="105"/>
      <c r="L1055" s="105">
        <v>0</v>
      </c>
      <c r="M1055" s="105"/>
      <c r="N1055" s="105">
        <v>0</v>
      </c>
      <c r="O1055" s="105">
        <v>0</v>
      </c>
      <c r="P1055" s="105">
        <v>0</v>
      </c>
      <c r="Q1055" s="105">
        <v>0</v>
      </c>
      <c r="R1055" s="105"/>
      <c r="S1055" s="105"/>
      <c r="T1055" s="105">
        <v>0</v>
      </c>
      <c r="U1055" s="111">
        <v>596</v>
      </c>
      <c r="V1055" s="111"/>
      <c r="W1055" s="111">
        <v>0</v>
      </c>
      <c r="X1055" s="122">
        <v>0</v>
      </c>
      <c r="Y1055" s="118" t="s">
        <v>2323</v>
      </c>
    </row>
    <row r="1056" spans="1:25" x14ac:dyDescent="0.25">
      <c r="A1056" s="104">
        <v>37</v>
      </c>
      <c r="B1056" s="193" t="s">
        <v>733</v>
      </c>
      <c r="C1056" s="197" t="s">
        <v>1842</v>
      </c>
      <c r="D1056" s="105">
        <v>0</v>
      </c>
      <c r="E1056" s="105"/>
      <c r="F1056" s="105">
        <v>0</v>
      </c>
      <c r="G1056" s="105"/>
      <c r="H1056" s="105">
        <v>0</v>
      </c>
      <c r="I1056" s="105">
        <v>0</v>
      </c>
      <c r="J1056" s="105"/>
      <c r="K1056" s="105"/>
      <c r="L1056" s="105">
        <v>0</v>
      </c>
      <c r="M1056" s="105"/>
      <c r="N1056" s="105">
        <v>0</v>
      </c>
      <c r="O1056" s="105">
        <v>0</v>
      </c>
      <c r="P1056" s="105">
        <v>0</v>
      </c>
      <c r="Q1056" s="105">
        <v>0</v>
      </c>
      <c r="R1056" s="105"/>
      <c r="S1056" s="105"/>
      <c r="T1056" s="105">
        <v>0</v>
      </c>
      <c r="U1056" s="111">
        <v>597</v>
      </c>
      <c r="V1056" s="111"/>
      <c r="W1056" s="111">
        <v>0</v>
      </c>
      <c r="X1056" s="122">
        <v>0</v>
      </c>
      <c r="Y1056" s="146">
        <v>936285.48</v>
      </c>
    </row>
    <row r="1057" spans="1:25" x14ac:dyDescent="0.25">
      <c r="A1057" s="104">
        <v>38</v>
      </c>
      <c r="B1057" s="193" t="s">
        <v>734</v>
      </c>
      <c r="C1057" s="194" t="s">
        <v>1408</v>
      </c>
      <c r="D1057" s="105">
        <v>352608</v>
      </c>
      <c r="E1057" s="105"/>
      <c r="F1057" s="105">
        <v>334584.02864631359</v>
      </c>
      <c r="G1057" s="105"/>
      <c r="H1057" s="105">
        <v>17273.272170350694</v>
      </c>
      <c r="I1057" s="105">
        <v>750.69918333572866</v>
      </c>
      <c r="J1057" s="105"/>
      <c r="K1057" s="105"/>
      <c r="L1057" s="105">
        <v>115.52591612609835</v>
      </c>
      <c r="M1057" s="105"/>
      <c r="N1057" s="105">
        <v>635.17326720963035</v>
      </c>
      <c r="O1057" s="105">
        <v>630.51955405283934</v>
      </c>
      <c r="P1057" s="105">
        <v>4.6537131567910688</v>
      </c>
      <c r="Q1057" s="105">
        <v>0</v>
      </c>
      <c r="R1057" s="105"/>
      <c r="S1057" s="105"/>
      <c r="T1057" s="105">
        <v>352608</v>
      </c>
      <c r="U1057" s="111">
        <v>598</v>
      </c>
      <c r="V1057" s="111"/>
      <c r="W1057" s="111">
        <v>352608</v>
      </c>
      <c r="X1057" s="122">
        <v>0</v>
      </c>
      <c r="Y1057" s="118"/>
    </row>
    <row r="1058" spans="1:25" x14ac:dyDescent="0.25">
      <c r="A1058" s="104">
        <v>39</v>
      </c>
      <c r="B1058" s="193" t="s">
        <v>735</v>
      </c>
      <c r="C1058" s="103"/>
      <c r="D1058" s="105">
        <v>34979917.000000007</v>
      </c>
      <c r="E1058" s="105"/>
      <c r="F1058" s="105">
        <v>32905414.300831232</v>
      </c>
      <c r="G1058" s="105"/>
      <c r="H1058" s="105">
        <v>2052539.5795583958</v>
      </c>
      <c r="I1058" s="105">
        <v>21963.119610376612</v>
      </c>
      <c r="J1058" s="105"/>
      <c r="K1058" s="105"/>
      <c r="L1058" s="105">
        <v>5665.0929196970765</v>
      </c>
      <c r="M1058" s="105"/>
      <c r="N1058" s="105">
        <v>16298.026690679535</v>
      </c>
      <c r="O1058" s="105">
        <v>16292.345910757776</v>
      </c>
      <c r="P1058" s="105">
        <v>5.6807799217580603</v>
      </c>
      <c r="Q1058" s="105">
        <v>0</v>
      </c>
      <c r="R1058" s="105"/>
      <c r="S1058" s="105"/>
      <c r="T1058" s="105"/>
      <c r="U1058" s="111"/>
      <c r="V1058" s="111"/>
      <c r="W1058" s="111"/>
      <c r="X1058" s="122"/>
      <c r="Y1058" s="111"/>
    </row>
    <row r="1059" spans="1:25" x14ac:dyDescent="0.25">
      <c r="A1059" s="13"/>
      <c r="B1059" s="13"/>
      <c r="C1059" s="103"/>
      <c r="D1059" s="105"/>
      <c r="E1059" s="105"/>
      <c r="F1059" s="105"/>
      <c r="G1059" s="105"/>
      <c r="H1059" s="105"/>
      <c r="I1059" s="105"/>
      <c r="J1059" s="105"/>
      <c r="K1059" s="105"/>
      <c r="L1059" s="105"/>
      <c r="M1059" s="105"/>
      <c r="N1059" s="105"/>
      <c r="O1059" s="105"/>
      <c r="P1059" s="105"/>
      <c r="Q1059" s="105"/>
      <c r="R1059" s="105"/>
      <c r="S1059" s="105"/>
      <c r="T1059" s="105"/>
      <c r="U1059" s="111"/>
      <c r="V1059" s="111"/>
      <c r="W1059" s="111"/>
      <c r="X1059" s="122"/>
    </row>
    <row r="1060" spans="1:25" x14ac:dyDescent="0.25">
      <c r="A1060" s="104">
        <v>40</v>
      </c>
      <c r="B1060" s="193" t="s">
        <v>736</v>
      </c>
      <c r="C1060" s="103"/>
      <c r="D1060" s="105">
        <v>62462120.000000007</v>
      </c>
      <c r="E1060" s="105"/>
      <c r="F1060" s="105">
        <v>58923769.627931505</v>
      </c>
      <c r="G1060" s="105"/>
      <c r="H1060" s="105">
        <v>3452847.899687307</v>
      </c>
      <c r="I1060" s="105">
        <v>85502.472381198648</v>
      </c>
      <c r="J1060" s="105"/>
      <c r="K1060" s="105"/>
      <c r="L1060" s="105">
        <v>14906.81479762938</v>
      </c>
      <c r="M1060" s="105"/>
      <c r="N1060" s="105">
        <v>70595.657583569264</v>
      </c>
      <c r="O1060" s="105">
        <v>67520.938063438676</v>
      </c>
      <c r="P1060" s="105">
        <v>3074.7195201305808</v>
      </c>
      <c r="Q1060" s="105">
        <v>0</v>
      </c>
      <c r="R1060" s="105"/>
      <c r="S1060" s="105"/>
      <c r="T1060" s="105"/>
      <c r="U1060" s="111"/>
      <c r="V1060" s="111"/>
      <c r="W1060" s="111"/>
      <c r="X1060" s="122"/>
    </row>
    <row r="1061" spans="1:25" x14ac:dyDescent="0.25">
      <c r="A1061" s="13"/>
      <c r="B1061" s="13"/>
      <c r="C1061" s="103"/>
      <c r="D1061" s="105"/>
      <c r="E1061" s="105"/>
      <c r="F1061" s="105"/>
      <c r="G1061" s="105"/>
      <c r="H1061" s="105"/>
      <c r="I1061" s="105"/>
      <c r="J1061" s="105"/>
      <c r="K1061" s="105"/>
      <c r="L1061" s="105"/>
      <c r="M1061" s="105"/>
      <c r="N1061" s="105"/>
      <c r="O1061" s="105"/>
      <c r="P1061" s="105"/>
      <c r="Q1061" s="105"/>
      <c r="R1061" s="105"/>
      <c r="S1061" s="105"/>
      <c r="T1061" s="105"/>
      <c r="U1061" s="111"/>
      <c r="V1061" s="111"/>
      <c r="W1061" s="111"/>
      <c r="X1061" s="122"/>
    </row>
    <row r="1062" spans="1:25" x14ac:dyDescent="0.25">
      <c r="A1062" s="13"/>
      <c r="B1062" s="13"/>
      <c r="C1062" s="13"/>
      <c r="D1062" s="105"/>
      <c r="E1062" s="105"/>
      <c r="F1062" s="105"/>
      <c r="G1062" s="105"/>
      <c r="H1062" s="105"/>
      <c r="I1062" s="105"/>
      <c r="J1062" s="105"/>
      <c r="K1062" s="105"/>
      <c r="L1062" s="105"/>
      <c r="M1062" s="105"/>
      <c r="N1062" s="105"/>
      <c r="O1062" s="105"/>
      <c r="P1062" s="105"/>
      <c r="Q1062" s="105"/>
      <c r="R1062" s="105"/>
      <c r="S1062" s="105"/>
      <c r="T1062" s="105"/>
      <c r="U1062" s="111"/>
      <c r="V1062" s="111"/>
      <c r="W1062" s="111"/>
      <c r="X1062" s="122"/>
    </row>
    <row r="1063" spans="1:25" x14ac:dyDescent="0.25">
      <c r="A1063" s="13"/>
      <c r="B1063" s="195" t="s">
        <v>1060</v>
      </c>
      <c r="C1063" s="13"/>
      <c r="D1063" s="105"/>
      <c r="E1063" s="105"/>
      <c r="F1063" s="105"/>
      <c r="G1063" s="105"/>
      <c r="H1063" s="105"/>
      <c r="I1063" s="105"/>
      <c r="J1063" s="105"/>
      <c r="K1063" s="105"/>
      <c r="L1063" s="105"/>
      <c r="M1063" s="105"/>
      <c r="N1063" s="105"/>
      <c r="O1063" s="105"/>
      <c r="P1063" s="105"/>
      <c r="Q1063" s="105"/>
      <c r="R1063" s="105"/>
      <c r="S1063" s="105"/>
      <c r="T1063" s="105"/>
      <c r="U1063" s="111"/>
      <c r="V1063" s="111"/>
      <c r="W1063" s="111"/>
      <c r="X1063" s="122"/>
    </row>
    <row r="1064" spans="1:25" x14ac:dyDescent="0.25">
      <c r="A1064" s="13"/>
      <c r="B1064" s="13"/>
      <c r="C1064" s="13"/>
      <c r="D1064" s="105"/>
      <c r="E1064" s="105"/>
      <c r="F1064" s="105"/>
      <c r="G1064" s="105"/>
      <c r="H1064" s="105"/>
      <c r="I1064" s="105"/>
      <c r="J1064" s="105"/>
      <c r="K1064" s="105"/>
      <c r="L1064" s="105"/>
      <c r="M1064" s="105"/>
      <c r="N1064" s="105"/>
      <c r="O1064" s="105"/>
      <c r="P1064" s="105"/>
      <c r="Q1064" s="105"/>
      <c r="R1064" s="105"/>
      <c r="S1064" s="105"/>
      <c r="T1064" s="105"/>
      <c r="U1064" s="111"/>
      <c r="V1064" s="111"/>
      <c r="W1064" s="111"/>
      <c r="X1064" s="122"/>
    </row>
    <row r="1065" spans="1:25" x14ac:dyDescent="0.25">
      <c r="A1065" s="13"/>
      <c r="B1065" s="193" t="s">
        <v>737</v>
      </c>
      <c r="C1065" s="13"/>
      <c r="D1065" s="105"/>
      <c r="E1065" s="105"/>
      <c r="F1065" s="105"/>
      <c r="G1065" s="105"/>
      <c r="H1065" s="105"/>
      <c r="I1065" s="105"/>
      <c r="J1065" s="105"/>
      <c r="K1065" s="105"/>
      <c r="L1065" s="105"/>
      <c r="M1065" s="105"/>
      <c r="N1065" s="105"/>
      <c r="O1065" s="105"/>
      <c r="P1065" s="105"/>
      <c r="Q1065" s="105"/>
      <c r="R1065" s="105"/>
      <c r="S1065" s="105"/>
      <c r="T1065" s="105"/>
      <c r="U1065" s="111"/>
      <c r="V1065" s="111"/>
      <c r="W1065" s="111"/>
      <c r="X1065" s="122"/>
    </row>
    <row r="1066" spans="1:25" x14ac:dyDescent="0.25">
      <c r="A1066" s="104">
        <v>1</v>
      </c>
      <c r="B1066" s="193" t="s">
        <v>713</v>
      </c>
      <c r="C1066" s="194" t="s">
        <v>516</v>
      </c>
      <c r="D1066" s="105">
        <v>4201987.9999999898</v>
      </c>
      <c r="E1066" s="105"/>
      <c r="F1066" s="105">
        <v>3992022.870045648</v>
      </c>
      <c r="G1066" s="105"/>
      <c r="H1066" s="105">
        <v>208763.62067979472</v>
      </c>
      <c r="I1066" s="105">
        <v>1201.5092745468774</v>
      </c>
      <c r="J1066" s="105"/>
      <c r="K1066" s="105"/>
      <c r="L1066" s="105">
        <v>27.684545496471824</v>
      </c>
      <c r="M1066" s="105"/>
      <c r="N1066" s="105">
        <v>1173.8247290504055</v>
      </c>
      <c r="O1066" s="105">
        <v>470.63727344002098</v>
      </c>
      <c r="P1066" s="105">
        <v>703.1874556103844</v>
      </c>
      <c r="Q1066" s="105">
        <v>0</v>
      </c>
      <c r="R1066" s="105"/>
      <c r="S1066" s="105"/>
      <c r="T1066" s="105">
        <v>4201987.9999999898</v>
      </c>
      <c r="U1066" s="111">
        <v>901</v>
      </c>
      <c r="V1066" s="111"/>
      <c r="W1066" s="111">
        <v>4201987.9999999898</v>
      </c>
      <c r="X1066" s="122">
        <v>0</v>
      </c>
    </row>
    <row r="1067" spans="1:25" x14ac:dyDescent="0.25">
      <c r="A1067" s="104">
        <v>2</v>
      </c>
      <c r="B1067" s="193" t="s">
        <v>315</v>
      </c>
      <c r="C1067" s="194" t="s">
        <v>1361</v>
      </c>
      <c r="D1067" s="105">
        <v>9154025</v>
      </c>
      <c r="E1067" s="105"/>
      <c r="F1067" s="105">
        <v>8696616.2571072802</v>
      </c>
      <c r="G1067" s="105"/>
      <c r="H1067" s="105">
        <v>454791.25661314657</v>
      </c>
      <c r="I1067" s="105">
        <v>2617.4862795738595</v>
      </c>
      <c r="J1067" s="105"/>
      <c r="K1067" s="105"/>
      <c r="L1067" s="105">
        <v>60.310743768982938</v>
      </c>
      <c r="M1067" s="105"/>
      <c r="N1067" s="105">
        <v>2557.1755358048767</v>
      </c>
      <c r="O1067" s="105">
        <v>1025.2826440727099</v>
      </c>
      <c r="P1067" s="105">
        <v>1531.8928917321668</v>
      </c>
      <c r="Q1067" s="105">
        <v>0</v>
      </c>
      <c r="R1067" s="105"/>
      <c r="S1067" s="105"/>
      <c r="T1067" s="105">
        <v>9154025</v>
      </c>
      <c r="U1067" s="111">
        <v>902</v>
      </c>
      <c r="V1067" s="111"/>
      <c r="W1067" s="111">
        <v>9154025</v>
      </c>
      <c r="X1067" s="122">
        <v>0</v>
      </c>
      <c r="Y1067" s="111"/>
    </row>
    <row r="1068" spans="1:25" x14ac:dyDescent="0.25">
      <c r="A1068" s="104">
        <v>3</v>
      </c>
      <c r="B1068" s="193" t="s">
        <v>316</v>
      </c>
      <c r="C1068" s="194" t="s">
        <v>1363</v>
      </c>
      <c r="D1068" s="105">
        <v>21135404</v>
      </c>
      <c r="E1068" s="105"/>
      <c r="F1068" s="105">
        <v>20079309.159296617</v>
      </c>
      <c r="G1068" s="105"/>
      <c r="H1068" s="105">
        <v>1050051.4193686957</v>
      </c>
      <c r="I1068" s="105">
        <v>6043.4213346861598</v>
      </c>
      <c r="J1068" s="105"/>
      <c r="K1068" s="105"/>
      <c r="L1068" s="105">
        <v>139.24933950889769</v>
      </c>
      <c r="M1068" s="105"/>
      <c r="N1068" s="105">
        <v>5904.171995177262</v>
      </c>
      <c r="O1068" s="105">
        <v>2367.2387716512608</v>
      </c>
      <c r="P1068" s="105">
        <v>3536.9332235260013</v>
      </c>
      <c r="Q1068" s="105">
        <v>0</v>
      </c>
      <c r="R1068" s="105"/>
      <c r="S1068" s="105"/>
      <c r="T1068" s="105">
        <v>21135404</v>
      </c>
      <c r="U1068" s="111">
        <v>903</v>
      </c>
      <c r="V1068" s="111"/>
      <c r="W1068" s="111">
        <v>21135404</v>
      </c>
      <c r="X1068" s="122">
        <v>0</v>
      </c>
      <c r="Y1068" s="111"/>
    </row>
    <row r="1069" spans="1:25" x14ac:dyDescent="0.25">
      <c r="A1069" s="104">
        <v>4</v>
      </c>
      <c r="B1069" s="193" t="s">
        <v>317</v>
      </c>
      <c r="C1069" s="194" t="s">
        <v>1365</v>
      </c>
      <c r="D1069" s="105">
        <v>5155113.129999999</v>
      </c>
      <c r="E1069" s="105"/>
      <c r="F1069" s="105">
        <v>4897522.1996428007</v>
      </c>
      <c r="G1069" s="105"/>
      <c r="H1069" s="105">
        <v>256116.88611027732</v>
      </c>
      <c r="I1069" s="105">
        <v>1474.0442469215513</v>
      </c>
      <c r="J1069" s="105"/>
      <c r="K1069" s="105"/>
      <c r="L1069" s="105">
        <v>33.964153154874452</v>
      </c>
      <c r="M1069" s="105"/>
      <c r="N1069" s="105">
        <v>1440.080093766677</v>
      </c>
      <c r="O1069" s="105">
        <v>577.3906036328658</v>
      </c>
      <c r="P1069" s="105">
        <v>862.6894901338112</v>
      </c>
      <c r="Q1069" s="105">
        <v>0</v>
      </c>
      <c r="R1069" s="105"/>
      <c r="S1069" s="105"/>
      <c r="T1069" s="105">
        <v>5155113.13</v>
      </c>
      <c r="U1069" s="111">
        <v>904</v>
      </c>
      <c r="V1069" s="111"/>
      <c r="W1069" s="111">
        <v>5155113.13</v>
      </c>
      <c r="X1069" s="122">
        <v>0</v>
      </c>
      <c r="Y1069" s="111"/>
    </row>
    <row r="1070" spans="1:25" x14ac:dyDescent="0.25">
      <c r="A1070" s="104">
        <v>5</v>
      </c>
      <c r="B1070" s="193" t="s">
        <v>318</v>
      </c>
      <c r="C1070" s="197" t="s">
        <v>1845</v>
      </c>
      <c r="D1070" s="105">
        <v>0</v>
      </c>
      <c r="E1070" s="105"/>
      <c r="F1070" s="105">
        <v>0</v>
      </c>
      <c r="G1070" s="105"/>
      <c r="H1070" s="105">
        <v>0</v>
      </c>
      <c r="I1070" s="105">
        <v>0</v>
      </c>
      <c r="J1070" s="105"/>
      <c r="K1070" s="105"/>
      <c r="L1070" s="105">
        <v>0</v>
      </c>
      <c r="M1070" s="105"/>
      <c r="N1070" s="105">
        <v>0</v>
      </c>
      <c r="O1070" s="105">
        <v>0</v>
      </c>
      <c r="P1070" s="105">
        <v>0</v>
      </c>
      <c r="Q1070" s="105">
        <v>0</v>
      </c>
      <c r="R1070" s="105"/>
      <c r="S1070" s="105"/>
      <c r="T1070" s="105">
        <v>0</v>
      </c>
      <c r="U1070" s="111">
        <v>905</v>
      </c>
      <c r="V1070" s="111"/>
      <c r="W1070" s="111">
        <v>0</v>
      </c>
      <c r="X1070" s="122">
        <v>0</v>
      </c>
      <c r="Y1070" s="111"/>
    </row>
    <row r="1071" spans="1:25" x14ac:dyDescent="0.25">
      <c r="A1071" s="104">
        <v>6</v>
      </c>
      <c r="B1071" s="193" t="s">
        <v>319</v>
      </c>
      <c r="C1071" s="13"/>
      <c r="D1071" s="105">
        <v>39646530.129999988</v>
      </c>
      <c r="E1071" s="105"/>
      <c r="F1071" s="105">
        <v>37665470.486092344</v>
      </c>
      <c r="G1071" s="105"/>
      <c r="H1071" s="105">
        <v>1969723.1827719144</v>
      </c>
      <c r="I1071" s="105">
        <v>11336.461135728447</v>
      </c>
      <c r="J1071" s="105"/>
      <c r="K1071" s="105"/>
      <c r="L1071" s="105">
        <v>261.20878192922692</v>
      </c>
      <c r="M1071" s="105"/>
      <c r="N1071" s="105">
        <v>11075.25235379922</v>
      </c>
      <c r="O1071" s="105">
        <v>4440.5492927968571</v>
      </c>
      <c r="P1071" s="105">
        <v>6634.703061002363</v>
      </c>
      <c r="Q1071" s="105">
        <v>0</v>
      </c>
      <c r="R1071" s="105"/>
      <c r="S1071" s="105"/>
      <c r="T1071" s="105"/>
      <c r="U1071" s="111"/>
      <c r="V1071" s="111"/>
      <c r="W1071" s="111"/>
      <c r="X1071" s="122"/>
      <c r="Y1071" s="111"/>
    </row>
    <row r="1072" spans="1:25" x14ac:dyDescent="0.25">
      <c r="A1072" s="13"/>
      <c r="B1072" s="13"/>
      <c r="C1072" s="13"/>
      <c r="D1072" s="105"/>
      <c r="E1072" s="105"/>
      <c r="F1072" s="105"/>
      <c r="G1072" s="105"/>
      <c r="H1072" s="105"/>
      <c r="I1072" s="105"/>
      <c r="J1072" s="105"/>
      <c r="K1072" s="105"/>
      <c r="L1072" s="105"/>
      <c r="M1072" s="105"/>
      <c r="N1072" s="105"/>
      <c r="O1072" s="105"/>
      <c r="P1072" s="105"/>
      <c r="Q1072" s="105"/>
      <c r="R1072" s="105"/>
      <c r="S1072" s="105"/>
      <c r="T1072" s="105"/>
      <c r="U1072" s="111"/>
      <c r="V1072" s="111"/>
      <c r="W1072" s="111"/>
      <c r="X1072" s="122"/>
    </row>
    <row r="1073" spans="1:25" x14ac:dyDescent="0.25">
      <c r="A1073" s="13"/>
      <c r="B1073" s="193" t="s">
        <v>320</v>
      </c>
      <c r="C1073" s="13"/>
      <c r="D1073" s="105"/>
      <c r="E1073" s="105"/>
      <c r="F1073" s="105"/>
      <c r="G1073" s="105"/>
      <c r="H1073" s="105"/>
      <c r="I1073" s="105"/>
      <c r="J1073" s="105"/>
      <c r="K1073" s="105"/>
      <c r="L1073" s="105"/>
      <c r="M1073" s="105"/>
      <c r="N1073" s="105"/>
      <c r="O1073" s="105"/>
      <c r="P1073" s="105"/>
      <c r="Q1073" s="105"/>
      <c r="R1073" s="105"/>
      <c r="S1073" s="105"/>
      <c r="T1073" s="105"/>
      <c r="U1073" s="111"/>
      <c r="V1073" s="111"/>
      <c r="W1073" s="111"/>
      <c r="X1073" s="122"/>
    </row>
    <row r="1074" spans="1:25" x14ac:dyDescent="0.25">
      <c r="A1074" s="104">
        <v>7</v>
      </c>
      <c r="B1074" s="193" t="s">
        <v>321</v>
      </c>
      <c r="C1074" s="194" t="s">
        <v>522</v>
      </c>
      <c r="D1074" s="105">
        <v>656372.99999999988</v>
      </c>
      <c r="E1074" s="105"/>
      <c r="F1074" s="105">
        <v>648022.61544354004</v>
      </c>
      <c r="G1074" s="105"/>
      <c r="H1074" s="105">
        <v>8349.4938804423928</v>
      </c>
      <c r="I1074" s="105">
        <v>0.89067601754176917</v>
      </c>
      <c r="J1074" s="105"/>
      <c r="K1074" s="105"/>
      <c r="L1074" s="105">
        <v>0.89067601754176917</v>
      </c>
      <c r="M1074" s="105"/>
      <c r="N1074" s="105">
        <v>0</v>
      </c>
      <c r="O1074" s="105">
        <v>0</v>
      </c>
      <c r="P1074" s="105">
        <v>0</v>
      </c>
      <c r="Q1074" s="105">
        <v>0</v>
      </c>
      <c r="R1074" s="105"/>
      <c r="S1074" s="105"/>
      <c r="T1074" s="105">
        <v>656373</v>
      </c>
      <c r="U1074" s="111">
        <v>907</v>
      </c>
      <c r="V1074" s="111"/>
      <c r="W1074" s="111">
        <v>656373</v>
      </c>
      <c r="X1074" s="122">
        <v>0</v>
      </c>
    </row>
    <row r="1075" spans="1:25" x14ac:dyDescent="0.25">
      <c r="A1075" s="104">
        <v>8</v>
      </c>
      <c r="B1075" s="193" t="s">
        <v>322</v>
      </c>
      <c r="C1075" s="194" t="s">
        <v>1375</v>
      </c>
      <c r="D1075" s="105">
        <v>8346211.9999999991</v>
      </c>
      <c r="E1075" s="105"/>
      <c r="F1075" s="105">
        <v>8346211.9999999991</v>
      </c>
      <c r="G1075" s="105"/>
      <c r="H1075" s="105">
        <v>0</v>
      </c>
      <c r="I1075" s="105">
        <v>0</v>
      </c>
      <c r="J1075" s="105"/>
      <c r="K1075" s="105"/>
      <c r="L1075" s="105">
        <v>0</v>
      </c>
      <c r="M1075" s="105"/>
      <c r="N1075" s="105">
        <v>0</v>
      </c>
      <c r="O1075" s="105">
        <v>0</v>
      </c>
      <c r="P1075" s="105">
        <v>0</v>
      </c>
      <c r="Q1075" s="105">
        <v>0</v>
      </c>
      <c r="R1075" s="105"/>
      <c r="S1075" s="105"/>
      <c r="T1075" s="105">
        <v>8346211.9999999991</v>
      </c>
      <c r="U1075" s="111">
        <v>908</v>
      </c>
      <c r="V1075" s="111"/>
      <c r="W1075" s="111">
        <v>8346211.9999999991</v>
      </c>
      <c r="X1075" s="122">
        <v>0</v>
      </c>
      <c r="Y1075" s="111"/>
    </row>
    <row r="1076" spans="1:25" x14ac:dyDescent="0.25">
      <c r="A1076" s="104">
        <v>9</v>
      </c>
      <c r="B1076" s="193" t="s">
        <v>323</v>
      </c>
      <c r="C1076" s="194" t="s">
        <v>1377</v>
      </c>
      <c r="D1076" s="105">
        <v>1859152</v>
      </c>
      <c r="E1076" s="105"/>
      <c r="F1076" s="105">
        <v>1764188.3321898093</v>
      </c>
      <c r="G1076" s="105"/>
      <c r="H1076" s="105">
        <v>94953.538712436683</v>
      </c>
      <c r="I1076" s="105">
        <v>10.129097754055758</v>
      </c>
      <c r="J1076" s="105"/>
      <c r="K1076" s="105"/>
      <c r="L1076" s="105">
        <v>10.129097754055758</v>
      </c>
      <c r="M1076" s="105"/>
      <c r="N1076" s="105">
        <v>0</v>
      </c>
      <c r="O1076" s="105">
        <v>0</v>
      </c>
      <c r="P1076" s="105">
        <v>0</v>
      </c>
      <c r="Q1076" s="105">
        <v>0</v>
      </c>
      <c r="R1076" s="105"/>
      <c r="S1076" s="105"/>
      <c r="T1076" s="105">
        <v>1859152</v>
      </c>
      <c r="U1076" s="111">
        <v>909</v>
      </c>
      <c r="V1076" s="111"/>
      <c r="W1076" s="111">
        <v>1859152</v>
      </c>
      <c r="X1076" s="122">
        <v>0</v>
      </c>
      <c r="Y1076" s="111"/>
    </row>
    <row r="1077" spans="1:25" x14ac:dyDescent="0.25">
      <c r="A1077" s="104">
        <v>10</v>
      </c>
      <c r="B1077" s="193" t="s">
        <v>324</v>
      </c>
      <c r="C1077" s="197" t="s">
        <v>1846</v>
      </c>
      <c r="D1077" s="105">
        <v>1520197.99999999</v>
      </c>
      <c r="E1077" s="105"/>
      <c r="F1077" s="105">
        <v>1506052.1471055988</v>
      </c>
      <c r="G1077" s="105"/>
      <c r="H1077" s="105">
        <v>14144.344057063316</v>
      </c>
      <c r="I1077" s="105">
        <v>1.50883732785229</v>
      </c>
      <c r="J1077" s="105"/>
      <c r="K1077" s="105"/>
      <c r="L1077" s="105">
        <v>1.50883732785229</v>
      </c>
      <c r="M1077" s="105"/>
      <c r="N1077" s="105">
        <v>0</v>
      </c>
      <c r="O1077" s="105">
        <v>0</v>
      </c>
      <c r="P1077" s="105">
        <v>0</v>
      </c>
      <c r="Q1077" s="105">
        <v>0</v>
      </c>
      <c r="R1077" s="105"/>
      <c r="S1077" s="105"/>
      <c r="T1077" s="105">
        <v>1520197.99999999</v>
      </c>
      <c r="U1077" s="111">
        <v>910</v>
      </c>
      <c r="V1077" s="111"/>
      <c r="W1077" s="111">
        <v>1520197.99999999</v>
      </c>
      <c r="X1077" s="122">
        <v>0</v>
      </c>
      <c r="Y1077" s="111"/>
    </row>
    <row r="1078" spans="1:25" x14ac:dyDescent="0.25">
      <c r="A1078" s="104">
        <v>11</v>
      </c>
      <c r="B1078" s="193" t="s">
        <v>325</v>
      </c>
      <c r="C1078" s="13"/>
      <c r="D1078" s="105">
        <v>12381934.999999989</v>
      </c>
      <c r="E1078" s="105"/>
      <c r="F1078" s="105">
        <v>12264475.094738947</v>
      </c>
      <c r="G1078" s="105"/>
      <c r="H1078" s="105">
        <v>117447.37664994238</v>
      </c>
      <c r="I1078" s="105">
        <v>12.528611099449819</v>
      </c>
      <c r="J1078" s="105"/>
      <c r="K1078" s="105"/>
      <c r="L1078" s="105">
        <v>12.528611099449819</v>
      </c>
      <c r="M1078" s="105"/>
      <c r="N1078" s="105">
        <v>0</v>
      </c>
      <c r="O1078" s="105">
        <v>0</v>
      </c>
      <c r="P1078" s="105">
        <v>0</v>
      </c>
      <c r="Q1078" s="105">
        <v>0</v>
      </c>
      <c r="R1078" s="105"/>
      <c r="S1078" s="105"/>
      <c r="T1078" s="105"/>
      <c r="U1078" s="111"/>
      <c r="V1078" s="111"/>
      <c r="W1078" s="111"/>
      <c r="X1078" s="122"/>
      <c r="Y1078" s="111"/>
    </row>
    <row r="1079" spans="1:25" x14ac:dyDescent="0.25">
      <c r="A1079" s="13"/>
      <c r="B1079" s="13"/>
      <c r="C1079" s="13"/>
      <c r="D1079" s="105"/>
      <c r="E1079" s="105"/>
      <c r="F1079" s="105"/>
      <c r="G1079" s="105"/>
      <c r="H1079" s="105"/>
      <c r="I1079" s="105"/>
      <c r="J1079" s="105"/>
      <c r="K1079" s="105"/>
      <c r="L1079" s="105"/>
      <c r="M1079" s="105"/>
      <c r="N1079" s="105"/>
      <c r="O1079" s="105"/>
      <c r="P1079" s="105"/>
      <c r="Q1079" s="105"/>
      <c r="R1079" s="105"/>
      <c r="S1079" s="105"/>
      <c r="T1079" s="105"/>
      <c r="U1079" s="111"/>
      <c r="V1079" s="111"/>
      <c r="W1079" s="111"/>
      <c r="X1079" s="122"/>
    </row>
    <row r="1080" spans="1:25" x14ac:dyDescent="0.25">
      <c r="A1080" s="13"/>
      <c r="B1080" s="193" t="s">
        <v>326</v>
      </c>
      <c r="C1080" s="13"/>
      <c r="D1080" s="105"/>
      <c r="E1080" s="105"/>
      <c r="F1080" s="105"/>
      <c r="G1080" s="105"/>
      <c r="H1080" s="105"/>
      <c r="I1080" s="105"/>
      <c r="J1080" s="105"/>
      <c r="K1080" s="105"/>
      <c r="L1080" s="105"/>
      <c r="M1080" s="105"/>
      <c r="N1080" s="105"/>
      <c r="O1080" s="105"/>
      <c r="P1080" s="105"/>
      <c r="Q1080" s="105"/>
      <c r="R1080" s="105"/>
      <c r="S1080" s="105"/>
      <c r="T1080" s="105"/>
      <c r="U1080" s="111"/>
      <c r="V1080" s="111"/>
      <c r="W1080" s="111"/>
      <c r="X1080" s="122"/>
    </row>
    <row r="1081" spans="1:25" x14ac:dyDescent="0.25">
      <c r="A1081" s="104">
        <v>12</v>
      </c>
      <c r="B1081" s="193" t="s">
        <v>327</v>
      </c>
      <c r="C1081" s="194" t="s">
        <v>522</v>
      </c>
      <c r="D1081" s="105">
        <v>0</v>
      </c>
      <c r="E1081" s="105"/>
      <c r="F1081" s="105">
        <v>0</v>
      </c>
      <c r="G1081" s="105"/>
      <c r="H1081" s="105">
        <v>0</v>
      </c>
      <c r="I1081" s="105">
        <v>0</v>
      </c>
      <c r="J1081" s="105"/>
      <c r="K1081" s="105"/>
      <c r="L1081" s="105">
        <v>0</v>
      </c>
      <c r="M1081" s="105"/>
      <c r="N1081" s="105">
        <v>0</v>
      </c>
      <c r="O1081" s="105">
        <v>0</v>
      </c>
      <c r="P1081" s="105">
        <v>0</v>
      </c>
      <c r="Q1081" s="105">
        <v>0</v>
      </c>
      <c r="R1081" s="105"/>
      <c r="S1081" s="105"/>
      <c r="T1081" s="105">
        <v>0</v>
      </c>
      <c r="U1081" s="111">
        <v>911</v>
      </c>
      <c r="V1081" s="111"/>
      <c r="W1081" s="111">
        <v>0</v>
      </c>
      <c r="X1081" s="122">
        <v>0</v>
      </c>
    </row>
    <row r="1082" spans="1:25" x14ac:dyDescent="0.25">
      <c r="A1082" s="104">
        <v>13</v>
      </c>
      <c r="B1082" s="193" t="s">
        <v>328</v>
      </c>
      <c r="C1082" s="194" t="s">
        <v>1379</v>
      </c>
      <c r="D1082" s="105">
        <v>0</v>
      </c>
      <c r="E1082" s="105"/>
      <c r="F1082" s="105">
        <v>0</v>
      </c>
      <c r="G1082" s="105"/>
      <c r="H1082" s="105">
        <v>0</v>
      </c>
      <c r="I1082" s="105">
        <v>0</v>
      </c>
      <c r="J1082" s="105"/>
      <c r="K1082" s="105"/>
      <c r="L1082" s="105">
        <v>0</v>
      </c>
      <c r="M1082" s="105"/>
      <c r="N1082" s="105">
        <v>0</v>
      </c>
      <c r="O1082" s="105">
        <v>0</v>
      </c>
      <c r="P1082" s="105">
        <v>0</v>
      </c>
      <c r="Q1082" s="105">
        <v>0</v>
      </c>
      <c r="R1082" s="105"/>
      <c r="S1082" s="105"/>
      <c r="T1082" s="105">
        <v>0</v>
      </c>
      <c r="U1082" s="111">
        <v>912</v>
      </c>
      <c r="V1082" s="111"/>
      <c r="W1082" s="111">
        <v>0</v>
      </c>
      <c r="X1082" s="122">
        <v>0</v>
      </c>
      <c r="Y1082" s="111"/>
    </row>
    <row r="1083" spans="1:25" x14ac:dyDescent="0.25">
      <c r="A1083" s="104">
        <v>14</v>
      </c>
      <c r="B1083" s="193" t="s">
        <v>329</v>
      </c>
      <c r="C1083" s="194" t="s">
        <v>1381</v>
      </c>
      <c r="D1083" s="105">
        <v>1044482.0000000001</v>
      </c>
      <c r="E1083" s="105"/>
      <c r="F1083" s="105">
        <v>991130.87987548974</v>
      </c>
      <c r="G1083" s="105"/>
      <c r="H1083" s="105">
        <v>53345.429540695593</v>
      </c>
      <c r="I1083" s="105">
        <v>5.6905838147454677</v>
      </c>
      <c r="J1083" s="105"/>
      <c r="K1083" s="105"/>
      <c r="L1083" s="105">
        <v>5.6905838147454677</v>
      </c>
      <c r="M1083" s="105"/>
      <c r="N1083" s="105">
        <v>0</v>
      </c>
      <c r="O1083" s="105">
        <v>0</v>
      </c>
      <c r="P1083" s="105">
        <v>0</v>
      </c>
      <c r="Q1083" s="105">
        <v>0</v>
      </c>
      <c r="R1083" s="105"/>
      <c r="S1083" s="105"/>
      <c r="T1083" s="105">
        <v>1044482</v>
      </c>
      <c r="U1083" s="111">
        <v>913</v>
      </c>
      <c r="V1083" s="111"/>
      <c r="W1083" s="111">
        <v>1044482</v>
      </c>
      <c r="X1083" s="122">
        <v>0</v>
      </c>
      <c r="Y1083" s="111"/>
    </row>
    <row r="1084" spans="1:25" x14ac:dyDescent="0.25">
      <c r="A1084" s="104">
        <v>15</v>
      </c>
      <c r="B1084" s="193" t="s">
        <v>330</v>
      </c>
      <c r="C1084" s="197" t="s">
        <v>1847</v>
      </c>
      <c r="D1084" s="105">
        <v>0</v>
      </c>
      <c r="E1084" s="105"/>
      <c r="F1084" s="105">
        <v>0</v>
      </c>
      <c r="G1084" s="105"/>
      <c r="H1084" s="105">
        <v>0</v>
      </c>
      <c r="I1084" s="105">
        <v>0</v>
      </c>
      <c r="J1084" s="105"/>
      <c r="K1084" s="105"/>
      <c r="L1084" s="105">
        <v>0</v>
      </c>
      <c r="M1084" s="105"/>
      <c r="N1084" s="105">
        <v>0</v>
      </c>
      <c r="O1084" s="105">
        <v>0</v>
      </c>
      <c r="P1084" s="105">
        <v>0</v>
      </c>
      <c r="Q1084" s="105">
        <v>0</v>
      </c>
      <c r="R1084" s="105"/>
      <c r="S1084" s="105"/>
      <c r="T1084" s="105">
        <v>0</v>
      </c>
      <c r="U1084" s="111">
        <v>916</v>
      </c>
      <c r="V1084" s="111"/>
      <c r="W1084" s="111">
        <v>0</v>
      </c>
      <c r="X1084" s="122">
        <v>0</v>
      </c>
      <c r="Y1084" s="111"/>
    </row>
    <row r="1085" spans="1:25" x14ac:dyDescent="0.25">
      <c r="A1085" s="104">
        <v>16</v>
      </c>
      <c r="B1085" s="193" t="s">
        <v>331</v>
      </c>
      <c r="C1085" s="13"/>
      <c r="D1085" s="105">
        <v>1044482.0000000001</v>
      </c>
      <c r="E1085" s="105"/>
      <c r="F1085" s="105">
        <v>991130.87987548974</v>
      </c>
      <c r="G1085" s="105"/>
      <c r="H1085" s="105">
        <v>53345.429540695593</v>
      </c>
      <c r="I1085" s="105">
        <v>5.6905838147454677</v>
      </c>
      <c r="J1085" s="105"/>
      <c r="K1085" s="105"/>
      <c r="L1085" s="105">
        <v>5.6905838147454677</v>
      </c>
      <c r="M1085" s="105"/>
      <c r="N1085" s="105">
        <v>0</v>
      </c>
      <c r="O1085" s="105">
        <v>0</v>
      </c>
      <c r="P1085" s="105">
        <v>0</v>
      </c>
      <c r="Q1085" s="105">
        <v>0</v>
      </c>
      <c r="R1085" s="105"/>
      <c r="S1085" s="105"/>
      <c r="T1085" s="105"/>
      <c r="U1085" s="111"/>
      <c r="V1085" s="111"/>
      <c r="W1085" s="111"/>
      <c r="X1085" s="122"/>
      <c r="Y1085" s="111"/>
    </row>
    <row r="1086" spans="1:25" x14ac:dyDescent="0.25">
      <c r="A1086" s="13"/>
      <c r="B1086" s="13"/>
      <c r="C1086" s="103"/>
      <c r="D1086" s="105"/>
      <c r="E1086" s="105"/>
      <c r="F1086" s="105"/>
      <c r="G1086" s="105"/>
      <c r="H1086" s="105"/>
      <c r="I1086" s="105"/>
      <c r="J1086" s="105"/>
      <c r="K1086" s="105"/>
      <c r="L1086" s="105"/>
      <c r="M1086" s="105"/>
      <c r="N1086" s="105"/>
      <c r="O1086" s="105"/>
      <c r="P1086" s="105"/>
      <c r="Q1086" s="105"/>
      <c r="R1086" s="105"/>
      <c r="S1086" s="105"/>
      <c r="T1086" s="105"/>
      <c r="U1086" s="111"/>
      <c r="V1086" s="111"/>
      <c r="W1086" s="111"/>
      <c r="X1086" s="122"/>
    </row>
    <row r="1087" spans="1:25" x14ac:dyDescent="0.25">
      <c r="A1087" s="13"/>
      <c r="B1087" s="193" t="s">
        <v>332</v>
      </c>
      <c r="C1087" s="103"/>
      <c r="D1087" s="105"/>
      <c r="E1087" s="105"/>
      <c r="F1087" s="105"/>
      <c r="G1087" s="105"/>
      <c r="H1087" s="105"/>
      <c r="I1087" s="105"/>
      <c r="J1087" s="105"/>
      <c r="K1087" s="105"/>
      <c r="L1087" s="105"/>
      <c r="M1087" s="105"/>
      <c r="N1087" s="105"/>
      <c r="O1087" s="105"/>
      <c r="P1087" s="105"/>
      <c r="Q1087" s="105"/>
      <c r="R1087" s="105"/>
      <c r="S1087" s="105"/>
      <c r="T1087" s="105"/>
      <c r="U1087" s="111"/>
      <c r="V1087" s="111"/>
      <c r="W1087" s="111"/>
      <c r="X1087" s="122"/>
    </row>
    <row r="1088" spans="1:25" x14ac:dyDescent="0.25">
      <c r="A1088" s="13"/>
      <c r="B1088" s="13"/>
      <c r="C1088" s="103"/>
      <c r="D1088" s="105"/>
      <c r="E1088" s="105"/>
      <c r="F1088" s="105"/>
      <c r="G1088" s="105"/>
      <c r="H1088" s="105"/>
      <c r="I1088" s="105"/>
      <c r="J1088" s="105"/>
      <c r="K1088" s="105"/>
      <c r="L1088" s="105"/>
      <c r="M1088" s="105"/>
      <c r="N1088" s="105"/>
      <c r="O1088" s="105"/>
      <c r="P1088" s="105"/>
      <c r="Q1088" s="105"/>
      <c r="R1088" s="105"/>
      <c r="S1088" s="105"/>
      <c r="T1088" s="105"/>
      <c r="U1088" s="111"/>
      <c r="V1088" s="111"/>
      <c r="W1088" s="111"/>
      <c r="X1088" s="122"/>
    </row>
    <row r="1089" spans="1:32" x14ac:dyDescent="0.25">
      <c r="A1089" s="13"/>
      <c r="B1089" s="193" t="s">
        <v>254</v>
      </c>
      <c r="C1089" s="103"/>
      <c r="D1089" s="105"/>
      <c r="E1089" s="105"/>
      <c r="F1089" s="105"/>
      <c r="G1089" s="105"/>
      <c r="H1089" s="105"/>
      <c r="I1089" s="105"/>
      <c r="J1089" s="105"/>
      <c r="K1089" s="105"/>
      <c r="L1089" s="105"/>
      <c r="M1089" s="105"/>
      <c r="N1089" s="105"/>
      <c r="O1089" s="105"/>
      <c r="P1089" s="105"/>
      <c r="Q1089" s="105"/>
      <c r="R1089" s="105"/>
      <c r="S1089" s="105"/>
      <c r="T1089" s="105"/>
      <c r="U1089" s="111"/>
      <c r="V1089" s="111"/>
      <c r="W1089" s="111"/>
      <c r="X1089" s="122"/>
    </row>
    <row r="1090" spans="1:32" x14ac:dyDescent="0.25">
      <c r="A1090" s="104">
        <v>17</v>
      </c>
      <c r="B1090" s="193" t="s">
        <v>255</v>
      </c>
      <c r="C1090" s="194" t="s">
        <v>1316</v>
      </c>
      <c r="D1090" s="105">
        <v>6197669.9999999991</v>
      </c>
      <c r="E1090" s="105"/>
      <c r="F1090" s="105">
        <v>5794833.5012654392</v>
      </c>
      <c r="G1090" s="105"/>
      <c r="H1090" s="105">
        <v>312727.21936858946</v>
      </c>
      <c r="I1090" s="105">
        <v>90109.279365970622</v>
      </c>
      <c r="J1090" s="105"/>
      <c r="K1090" s="105"/>
      <c r="L1090" s="105">
        <v>437.55407905219465</v>
      </c>
      <c r="M1090" s="105"/>
      <c r="N1090" s="105">
        <v>89671.72528691843</v>
      </c>
      <c r="O1090" s="105">
        <v>46606.597550766914</v>
      </c>
      <c r="P1090" s="105">
        <v>43065.127736151517</v>
      </c>
      <c r="Q1090" s="105">
        <v>9.2682296616896308E-15</v>
      </c>
      <c r="R1090" s="105"/>
      <c r="S1090" s="105"/>
      <c r="T1090" s="105">
        <v>6197670</v>
      </c>
      <c r="U1090" s="111">
        <v>924</v>
      </c>
      <c r="V1090" s="111"/>
      <c r="W1090" s="111">
        <v>6197670</v>
      </c>
      <c r="X1090" s="122">
        <v>0</v>
      </c>
    </row>
    <row r="1091" spans="1:32" x14ac:dyDescent="0.25">
      <c r="A1091" s="104">
        <v>18</v>
      </c>
      <c r="B1091" s="193" t="s">
        <v>256</v>
      </c>
      <c r="C1091" s="103"/>
      <c r="D1091" s="105">
        <v>6197669.9999999991</v>
      </c>
      <c r="E1091" s="105"/>
      <c r="F1091" s="105">
        <v>5794833.5012654392</v>
      </c>
      <c r="G1091" s="105"/>
      <c r="H1091" s="105">
        <v>312727.21936858946</v>
      </c>
      <c r="I1091" s="105">
        <v>90109.279365970622</v>
      </c>
      <c r="J1091" s="105"/>
      <c r="K1091" s="105"/>
      <c r="L1091" s="105">
        <v>437.55407905219465</v>
      </c>
      <c r="M1091" s="105"/>
      <c r="N1091" s="105">
        <v>89671.72528691843</v>
      </c>
      <c r="O1091" s="105">
        <v>46606.597550766914</v>
      </c>
      <c r="P1091" s="105">
        <v>43065.127736151517</v>
      </c>
      <c r="Q1091" s="105">
        <v>9.2682296616896308E-15</v>
      </c>
      <c r="R1091" s="105"/>
      <c r="S1091" s="105"/>
      <c r="T1091" s="105"/>
      <c r="U1091" s="111"/>
      <c r="V1091" s="111"/>
      <c r="W1091" s="111"/>
      <c r="X1091" s="122"/>
      <c r="Y1091" s="111"/>
    </row>
    <row r="1092" spans="1:32" x14ac:dyDescent="0.25">
      <c r="A1092" s="13"/>
      <c r="B1092" s="13"/>
      <c r="C1092" s="103"/>
      <c r="D1092" s="105"/>
      <c r="E1092" s="105"/>
      <c r="F1092" s="105"/>
      <c r="G1092" s="105"/>
      <c r="H1092" s="105"/>
      <c r="I1092" s="105"/>
      <c r="J1092" s="105"/>
      <c r="K1092" s="105"/>
      <c r="L1092" s="105"/>
      <c r="M1092" s="105"/>
      <c r="N1092" s="105"/>
      <c r="O1092" s="105"/>
      <c r="P1092" s="105"/>
      <c r="Q1092" s="105"/>
      <c r="R1092" s="105"/>
      <c r="S1092" s="105"/>
      <c r="T1092" s="105"/>
      <c r="U1092" s="111"/>
      <c r="V1092" s="111"/>
      <c r="W1092" s="111"/>
      <c r="X1092" s="122"/>
    </row>
    <row r="1093" spans="1:32" x14ac:dyDescent="0.25">
      <c r="A1093" s="13"/>
      <c r="B1093" s="193" t="s">
        <v>257</v>
      </c>
      <c r="C1093" s="103"/>
      <c r="D1093" s="105"/>
      <c r="E1093" s="105"/>
      <c r="F1093" s="105"/>
      <c r="G1093" s="105"/>
      <c r="H1093" s="105"/>
      <c r="I1093" s="105"/>
      <c r="J1093" s="105"/>
      <c r="K1093" s="105"/>
      <c r="L1093" s="105"/>
      <c r="M1093" s="105"/>
      <c r="N1093" s="105"/>
      <c r="O1093" s="105"/>
      <c r="P1093" s="105"/>
      <c r="Q1093" s="105"/>
      <c r="R1093" s="105"/>
      <c r="S1093" s="105"/>
      <c r="T1093" s="105"/>
      <c r="U1093" s="111"/>
      <c r="V1093" s="111"/>
      <c r="W1093" s="111"/>
      <c r="X1093" s="122"/>
    </row>
    <row r="1094" spans="1:32" x14ac:dyDescent="0.25">
      <c r="A1094" s="104">
        <v>19</v>
      </c>
      <c r="B1094" s="193" t="s">
        <v>258</v>
      </c>
      <c r="C1094" s="194" t="s">
        <v>1392</v>
      </c>
      <c r="D1094" s="105">
        <v>37810561</v>
      </c>
      <c r="E1094" s="105"/>
      <c r="F1094" s="105">
        <v>35568343.871449813</v>
      </c>
      <c r="G1094" s="105"/>
      <c r="H1094" s="105">
        <v>1789370.5242122922</v>
      </c>
      <c r="I1094" s="105">
        <v>452846.60433789069</v>
      </c>
      <c r="J1094" s="105"/>
      <c r="K1094" s="105"/>
      <c r="L1094" s="105">
        <v>2612.680550072072</v>
      </c>
      <c r="M1094" s="105"/>
      <c r="N1094" s="105">
        <v>450233.92378781864</v>
      </c>
      <c r="O1094" s="105">
        <v>234677.1599165349</v>
      </c>
      <c r="P1094" s="105">
        <v>215556.76387128377</v>
      </c>
      <c r="Q1094" s="105">
        <v>2.0153610459240653E-12</v>
      </c>
      <c r="R1094" s="105"/>
      <c r="S1094" s="105"/>
      <c r="T1094" s="105">
        <v>37810561</v>
      </c>
      <c r="U1094" s="111">
        <v>920</v>
      </c>
      <c r="V1094" s="111"/>
      <c r="W1094" s="111">
        <v>37810561</v>
      </c>
      <c r="X1094" s="122">
        <v>0</v>
      </c>
    </row>
    <row r="1095" spans="1:32" x14ac:dyDescent="0.25">
      <c r="A1095" s="104">
        <v>20</v>
      </c>
      <c r="B1095" s="193" t="s">
        <v>259</v>
      </c>
      <c r="C1095" s="194" t="s">
        <v>1392</v>
      </c>
      <c r="D1095" s="105">
        <v>10355241</v>
      </c>
      <c r="E1095" s="105"/>
      <c r="F1095" s="105">
        <v>9741161.2792451251</v>
      </c>
      <c r="G1095" s="105"/>
      <c r="H1095" s="105">
        <v>490057.87077622628</v>
      </c>
      <c r="I1095" s="105">
        <v>124021.8499786476</v>
      </c>
      <c r="J1095" s="105"/>
      <c r="K1095" s="105"/>
      <c r="L1095" s="105">
        <v>715.53915193188675</v>
      </c>
      <c r="M1095" s="105"/>
      <c r="N1095" s="105">
        <v>123306.31082671572</v>
      </c>
      <c r="O1095" s="105">
        <v>64271.422688789484</v>
      </c>
      <c r="P1095" s="105">
        <v>59034.888137926231</v>
      </c>
      <c r="Q1095" s="105">
        <v>5.5195026946454888E-13</v>
      </c>
      <c r="R1095" s="105"/>
      <c r="S1095" s="105"/>
      <c r="T1095" s="105">
        <v>10355241</v>
      </c>
      <c r="U1095" s="111">
        <v>921</v>
      </c>
      <c r="V1095" s="111"/>
      <c r="W1095" s="111">
        <v>10355241</v>
      </c>
      <c r="X1095" s="122">
        <v>0</v>
      </c>
      <c r="Y1095" s="111"/>
    </row>
    <row r="1096" spans="1:32" x14ac:dyDescent="0.25">
      <c r="A1096" s="104">
        <v>21</v>
      </c>
      <c r="B1096" s="193" t="s">
        <v>260</v>
      </c>
      <c r="C1096" s="194" t="s">
        <v>1392</v>
      </c>
      <c r="D1096" s="105">
        <v>-6153656.9999999991</v>
      </c>
      <c r="E1096" s="105"/>
      <c r="F1096" s="105">
        <v>-5788736.8622474084</v>
      </c>
      <c r="G1096" s="105"/>
      <c r="H1096" s="105">
        <v>-291219.49425486283</v>
      </c>
      <c r="I1096" s="105">
        <v>-73700.64349772784</v>
      </c>
      <c r="J1096" s="105"/>
      <c r="K1096" s="105"/>
      <c r="L1096" s="105">
        <v>-425.21294396332434</v>
      </c>
      <c r="M1096" s="105"/>
      <c r="N1096" s="105">
        <v>-73275.430553764512</v>
      </c>
      <c r="O1096" s="105">
        <v>-38193.634520802385</v>
      </c>
      <c r="P1096" s="105">
        <v>-35081.79603296212</v>
      </c>
      <c r="Q1096" s="105">
        <v>-3.279993811194165E-13</v>
      </c>
      <c r="R1096" s="105"/>
      <c r="S1096" s="105"/>
      <c r="T1096" s="105">
        <v>-6153657</v>
      </c>
      <c r="U1096" s="111">
        <v>922</v>
      </c>
      <c r="V1096" s="111"/>
      <c r="W1096" s="111">
        <v>-6153657</v>
      </c>
      <c r="X1096" s="122">
        <v>0</v>
      </c>
      <c r="Y1096" s="111"/>
    </row>
    <row r="1097" spans="1:32" x14ac:dyDescent="0.25">
      <c r="A1097" s="104">
        <v>22</v>
      </c>
      <c r="B1097" s="193" t="s">
        <v>261</v>
      </c>
      <c r="C1097" s="194" t="s">
        <v>1392</v>
      </c>
      <c r="D1097" s="105">
        <v>22071002.999999996</v>
      </c>
      <c r="E1097" s="105"/>
      <c r="F1097" s="105">
        <v>20762162.833071966</v>
      </c>
      <c r="G1097" s="105"/>
      <c r="H1097" s="105">
        <v>1044501.8842222699</v>
      </c>
      <c r="I1097" s="105">
        <v>264338.28270576044</v>
      </c>
      <c r="J1097" s="105"/>
      <c r="K1097" s="105"/>
      <c r="L1097" s="105">
        <v>1525.0892537321081</v>
      </c>
      <c r="M1097" s="105"/>
      <c r="N1097" s="105">
        <v>262813.19345202832</v>
      </c>
      <c r="O1097" s="105">
        <v>136987.13173151072</v>
      </c>
      <c r="P1097" s="105">
        <v>125826.06172051759</v>
      </c>
      <c r="Q1097" s="105">
        <v>1.1764184004218605E-12</v>
      </c>
      <c r="R1097" s="105"/>
      <c r="S1097" s="105"/>
      <c r="T1097" s="105">
        <v>22071003</v>
      </c>
      <c r="U1097" s="111">
        <v>923</v>
      </c>
      <c r="V1097" s="111"/>
      <c r="W1097" s="111">
        <v>22071003</v>
      </c>
      <c r="X1097" s="122">
        <v>0</v>
      </c>
      <c r="Y1097" s="111"/>
    </row>
    <row r="1098" spans="1:32" x14ac:dyDescent="0.25">
      <c r="A1098" s="104">
        <v>23</v>
      </c>
      <c r="B1098" s="193" t="s">
        <v>262</v>
      </c>
      <c r="C1098" s="194" t="s">
        <v>1392</v>
      </c>
      <c r="D1098" s="105">
        <v>5008424.9999999991</v>
      </c>
      <c r="E1098" s="105"/>
      <c r="F1098" s="105">
        <v>4711418.6603675634</v>
      </c>
      <c r="G1098" s="105"/>
      <c r="H1098" s="105">
        <v>237021.82222919012</v>
      </c>
      <c r="I1098" s="105">
        <v>59984.517403246151</v>
      </c>
      <c r="J1098" s="105"/>
      <c r="K1098" s="105"/>
      <c r="L1098" s="105">
        <v>346.07829764796975</v>
      </c>
      <c r="M1098" s="105"/>
      <c r="N1098" s="105">
        <v>59638.439105598183</v>
      </c>
      <c r="O1098" s="105">
        <v>31085.573013713583</v>
      </c>
      <c r="P1098" s="105">
        <v>28552.8660918846</v>
      </c>
      <c r="Q1098" s="105">
        <v>2.6695675439547793E-13</v>
      </c>
      <c r="R1098" s="105"/>
      <c r="S1098" s="105"/>
      <c r="T1098" s="105">
        <v>5008425</v>
      </c>
      <c r="U1098" s="111">
        <v>925</v>
      </c>
      <c r="V1098" s="111"/>
      <c r="W1098" s="111">
        <v>5008425</v>
      </c>
      <c r="X1098" s="122">
        <v>0</v>
      </c>
      <c r="Y1098" s="146"/>
    </row>
    <row r="1099" spans="1:32" x14ac:dyDescent="0.25">
      <c r="A1099" s="104">
        <v>24</v>
      </c>
      <c r="B1099" s="193" t="s">
        <v>263</v>
      </c>
      <c r="C1099" s="194" t="s">
        <v>1392</v>
      </c>
      <c r="D1099" s="105">
        <v>30445134.999999996</v>
      </c>
      <c r="E1099" s="105"/>
      <c r="F1099" s="105">
        <v>28639697.540925462</v>
      </c>
      <c r="G1099" s="105"/>
      <c r="H1099" s="105">
        <v>1440804.5195273354</v>
      </c>
      <c r="I1099" s="105">
        <v>364632.93954719871</v>
      </c>
      <c r="J1099" s="105"/>
      <c r="K1099" s="105"/>
      <c r="L1099" s="105">
        <v>2103.7353045044342</v>
      </c>
      <c r="M1099" s="105"/>
      <c r="N1099" s="105">
        <v>362529.20424269425</v>
      </c>
      <c r="O1099" s="105">
        <v>188962.49159263977</v>
      </c>
      <c r="P1099" s="105">
        <v>173566.71265005448</v>
      </c>
      <c r="Q1099" s="105">
        <v>1.6227725136609151E-12</v>
      </c>
      <c r="R1099" s="105"/>
      <c r="S1099" s="105"/>
      <c r="T1099" s="105">
        <v>30445135</v>
      </c>
      <c r="U1099" s="111">
        <v>926</v>
      </c>
      <c r="V1099" s="111"/>
      <c r="W1099" s="111">
        <v>30537144</v>
      </c>
      <c r="X1099" s="122">
        <v>0</v>
      </c>
      <c r="Y1099" s="123"/>
      <c r="Z1099" s="111" t="s">
        <v>2151</v>
      </c>
      <c r="AA1099" s="15" t="s">
        <v>2152</v>
      </c>
    </row>
    <row r="1100" spans="1:32" x14ac:dyDescent="0.25">
      <c r="A1100" s="104">
        <v>25</v>
      </c>
      <c r="B1100" s="193" t="s">
        <v>2080</v>
      </c>
      <c r="C1100" s="194" t="s">
        <v>1983</v>
      </c>
      <c r="D1100" s="105">
        <v>0</v>
      </c>
      <c r="E1100" s="105"/>
      <c r="F1100" s="105">
        <v>0</v>
      </c>
      <c r="G1100" s="105"/>
      <c r="H1100" s="105">
        <v>0</v>
      </c>
      <c r="I1100" s="105">
        <v>0</v>
      </c>
      <c r="J1100" s="105"/>
      <c r="K1100" s="105"/>
      <c r="L1100" s="105">
        <v>0</v>
      </c>
      <c r="M1100" s="105"/>
      <c r="N1100" s="105">
        <v>0</v>
      </c>
      <c r="O1100" s="105">
        <v>0</v>
      </c>
      <c r="P1100" s="105">
        <v>0</v>
      </c>
      <c r="Q1100" s="105">
        <v>0</v>
      </c>
      <c r="R1100" s="105"/>
      <c r="S1100" s="105"/>
      <c r="T1100" s="105">
        <v>0</v>
      </c>
      <c r="U1100" s="111"/>
      <c r="V1100" s="111"/>
      <c r="W1100" s="111"/>
      <c r="X1100" s="122">
        <v>0</v>
      </c>
      <c r="Y1100" s="152" t="s">
        <v>2110</v>
      </c>
      <c r="Z1100" s="118"/>
      <c r="AA1100" s="118">
        <v>61680.519244159201</v>
      </c>
      <c r="AB1100" s="16" t="s">
        <v>2174</v>
      </c>
      <c r="AC1100" s="16" t="s">
        <v>1219</v>
      </c>
      <c r="AD1100" s="16" t="s">
        <v>62</v>
      </c>
      <c r="AE1100" s="15" t="s">
        <v>1976</v>
      </c>
      <c r="AF1100" s="15" t="s">
        <v>424</v>
      </c>
    </row>
    <row r="1101" spans="1:32" x14ac:dyDescent="0.25">
      <c r="A1101" s="104">
        <v>26</v>
      </c>
      <c r="B1101" s="193" t="s">
        <v>2081</v>
      </c>
      <c r="C1101" s="194" t="s">
        <v>1983</v>
      </c>
      <c r="D1101" s="105">
        <v>61680.519244159201</v>
      </c>
      <c r="E1101" s="105"/>
      <c r="F1101" s="105">
        <v>0</v>
      </c>
      <c r="G1101" s="105"/>
      <c r="H1101" s="105">
        <v>61680.519244159201</v>
      </c>
      <c r="I1101" s="105">
        <v>0</v>
      </c>
      <c r="J1101" s="105"/>
      <c r="K1101" s="105"/>
      <c r="L1101" s="105">
        <v>0</v>
      </c>
      <c r="M1101" s="105"/>
      <c r="N1101" s="105">
        <v>0</v>
      </c>
      <c r="O1101" s="105">
        <v>0</v>
      </c>
      <c r="P1101" s="105">
        <v>0</v>
      </c>
      <c r="Q1101" s="105">
        <v>0</v>
      </c>
      <c r="R1101" s="105"/>
      <c r="S1101" s="105"/>
      <c r="T1101" s="105">
        <v>61680.519244159201</v>
      </c>
      <c r="U1101" s="111"/>
      <c r="V1101" s="111"/>
      <c r="W1101" s="111"/>
      <c r="X1101" s="111">
        <v>0</v>
      </c>
      <c r="Y1101" s="118" t="s">
        <v>2111</v>
      </c>
      <c r="Z1101" s="118">
        <v>0.94069865484010706</v>
      </c>
      <c r="AA1101" s="16">
        <v>4.7324622456997985E-2</v>
      </c>
      <c r="AB1101" s="16">
        <v>24.21</v>
      </c>
      <c r="AC1101" s="16">
        <v>16339.664258244593</v>
      </c>
      <c r="AD1101" s="16">
        <v>75610.286513138883</v>
      </c>
      <c r="AE1101" s="16">
        <v>8519.365331461664</v>
      </c>
      <c r="AF1101" s="16">
        <v>7820.2989267829307</v>
      </c>
    </row>
    <row r="1102" spans="1:32" x14ac:dyDescent="0.25">
      <c r="A1102" s="104">
        <v>27</v>
      </c>
      <c r="B1102" s="193" t="s">
        <v>2082</v>
      </c>
      <c r="C1102" s="194" t="s">
        <v>1983</v>
      </c>
      <c r="D1102" s="105">
        <v>0</v>
      </c>
      <c r="E1102" s="105"/>
      <c r="F1102" s="105">
        <v>0</v>
      </c>
      <c r="G1102" s="105"/>
      <c r="H1102" s="105">
        <v>0</v>
      </c>
      <c r="I1102" s="105">
        <v>0</v>
      </c>
      <c r="J1102" s="105"/>
      <c r="K1102" s="105"/>
      <c r="L1102" s="105">
        <v>0</v>
      </c>
      <c r="M1102" s="105"/>
      <c r="N1102" s="105">
        <v>0</v>
      </c>
      <c r="O1102" s="105">
        <v>0</v>
      </c>
      <c r="P1102" s="105">
        <v>0</v>
      </c>
      <c r="Q1102" s="105">
        <v>0</v>
      </c>
      <c r="R1102" s="105"/>
      <c r="S1102" s="105"/>
      <c r="T1102" s="105"/>
      <c r="U1102" s="111"/>
      <c r="V1102" s="111"/>
      <c r="W1102" s="111"/>
      <c r="X1102" s="15">
        <v>0</v>
      </c>
      <c r="Y1102" s="152">
        <v>178867174.00000003</v>
      </c>
      <c r="Z1102" s="126">
        <v>168260109.9768514</v>
      </c>
      <c r="AA1102" s="126">
        <v>8464821.4795001671</v>
      </c>
      <c r="AB1102" s="126">
        <v>6.9603846023207495E-5</v>
      </c>
      <c r="AC1102" s="126">
        <v>1.187368867255568E-2</v>
      </c>
      <c r="AE1102" s="126">
        <v>0.52139170039329308</v>
      </c>
      <c r="AF1102" s="126">
        <v>0.47860829960670703</v>
      </c>
    </row>
    <row r="1103" spans="1:32" x14ac:dyDescent="0.25">
      <c r="A1103" s="104">
        <v>27</v>
      </c>
      <c r="B1103" s="193" t="s">
        <v>2083</v>
      </c>
      <c r="C1103" s="194" t="s">
        <v>1983</v>
      </c>
      <c r="D1103" s="105">
        <v>30328.480755840719</v>
      </c>
      <c r="E1103" s="105"/>
      <c r="F1103" s="105">
        <v>0</v>
      </c>
      <c r="G1103" s="105"/>
      <c r="H1103" s="105">
        <v>0</v>
      </c>
      <c r="I1103" s="105">
        <v>30328.480755840719</v>
      </c>
      <c r="J1103" s="105"/>
      <c r="K1103" s="105"/>
      <c r="L1103" s="105">
        <v>44.864616502723003</v>
      </c>
      <c r="M1103" s="105"/>
      <c r="N1103" s="105">
        <v>30283.616139337995</v>
      </c>
      <c r="O1103" s="105">
        <v>15784.845725955623</v>
      </c>
      <c r="P1103" s="105">
        <v>14498.77041338237</v>
      </c>
      <c r="Q1103" s="105">
        <v>0</v>
      </c>
      <c r="R1103" s="105"/>
      <c r="S1103" s="105"/>
      <c r="T1103" s="105">
        <v>30328.480755840723</v>
      </c>
      <c r="U1103" s="111"/>
      <c r="V1103" s="111"/>
      <c r="W1103" s="111"/>
      <c r="X1103" s="15">
        <v>0</v>
      </c>
      <c r="Y1103" s="118"/>
      <c r="Z1103" s="118"/>
      <c r="AA1103" s="118"/>
      <c r="AB1103" s="118">
        <v>12475.810553349678</v>
      </c>
      <c r="AC1103" s="15">
        <v>2128242.8904699818</v>
      </c>
      <c r="AE1103" s="118">
        <v>1109648.1795120807</v>
      </c>
      <c r="AF1103" s="118">
        <v>1018594.7109579012</v>
      </c>
    </row>
    <row r="1104" spans="1:32" x14ac:dyDescent="0.25">
      <c r="A1104" s="104">
        <v>28</v>
      </c>
      <c r="B1104" s="193" t="s">
        <v>2084</v>
      </c>
      <c r="C1104" s="194" t="s">
        <v>2026</v>
      </c>
      <c r="D1104" s="105">
        <v>3316.9999999999995</v>
      </c>
      <c r="E1104" s="105"/>
      <c r="F1104" s="105">
        <v>3157.9005285721546</v>
      </c>
      <c r="G1104" s="105"/>
      <c r="H1104" s="105">
        <v>158.86750714747581</v>
      </c>
      <c r="I1104" s="105">
        <v>0.23196428036913486</v>
      </c>
      <c r="J1104" s="105"/>
      <c r="K1104" s="105"/>
      <c r="L1104" s="105">
        <v>0.23196428036913486</v>
      </c>
      <c r="M1104" s="105"/>
      <c r="N1104" s="105">
        <v>0</v>
      </c>
      <c r="O1104" s="105">
        <v>0</v>
      </c>
      <c r="P1104" s="105">
        <v>0</v>
      </c>
      <c r="Q1104" s="105">
        <v>0</v>
      </c>
      <c r="R1104" s="105"/>
      <c r="S1104" s="105"/>
      <c r="T1104" s="105">
        <v>3317</v>
      </c>
      <c r="U1104" s="111">
        <v>930.1</v>
      </c>
      <c r="V1104" s="111"/>
      <c r="W1104" s="111">
        <v>3317</v>
      </c>
    </row>
    <row r="1105" spans="1:34" x14ac:dyDescent="0.25">
      <c r="A1105" s="104">
        <v>29</v>
      </c>
      <c r="B1105" s="193" t="s">
        <v>2085</v>
      </c>
      <c r="C1105" s="194" t="s">
        <v>1392</v>
      </c>
      <c r="D1105" s="105">
        <v>3706329.9999999898</v>
      </c>
      <c r="E1105" s="105"/>
      <c r="F1105" s="105">
        <v>3492614.4775637579</v>
      </c>
      <c r="G1105" s="105"/>
      <c r="H1105" s="105">
        <v>170552.7317335651</v>
      </c>
      <c r="I1105" s="105">
        <v>43162.790702666709</v>
      </c>
      <c r="J1105" s="105"/>
      <c r="K1105" s="105"/>
      <c r="L1105" s="105">
        <v>249.02601162389502</v>
      </c>
      <c r="M1105" s="105"/>
      <c r="N1105" s="105">
        <v>42913.764691042816</v>
      </c>
      <c r="O1105" s="105">
        <v>22368.106637309938</v>
      </c>
      <c r="P1105" s="105">
        <v>20545.658053732874</v>
      </c>
      <c r="Q1105" s="105">
        <v>1.9209287688645555E-13</v>
      </c>
      <c r="R1105" s="105"/>
      <c r="S1105" s="105"/>
      <c r="T1105" s="105">
        <v>3603889.9599999902</v>
      </c>
      <c r="U1105" s="153">
        <v>930.2</v>
      </c>
      <c r="V1105" s="153"/>
      <c r="W1105" s="111">
        <v>3706329.9999999902</v>
      </c>
      <c r="X1105" s="122">
        <v>102440.03999999957</v>
      </c>
      <c r="Y1105" s="118" t="s">
        <v>2112</v>
      </c>
      <c r="Z1105" s="118"/>
      <c r="AA1105" s="118"/>
      <c r="AB1105" s="16"/>
      <c r="AC1105" s="16"/>
      <c r="AD1105" s="16"/>
    </row>
    <row r="1106" spans="1:34" x14ac:dyDescent="0.25">
      <c r="A1106" s="104">
        <v>30</v>
      </c>
      <c r="B1106" s="193" t="s">
        <v>265</v>
      </c>
      <c r="C1106" s="194" t="s">
        <v>1392</v>
      </c>
      <c r="D1106" s="105">
        <v>2989607</v>
      </c>
      <c r="E1106" s="105"/>
      <c r="F1106" s="105">
        <v>2812319.2834005682</v>
      </c>
      <c r="G1106" s="105"/>
      <c r="H1106" s="105">
        <v>141482.02256979837</v>
      </c>
      <c r="I1106" s="105">
        <v>35805.694029633371</v>
      </c>
      <c r="J1106" s="105"/>
      <c r="K1106" s="105"/>
      <c r="L1106" s="105">
        <v>206.57953372496422</v>
      </c>
      <c r="M1106" s="105"/>
      <c r="N1106" s="105">
        <v>35599.114495908405</v>
      </c>
      <c r="O1106" s="105">
        <v>18555.463380365927</v>
      </c>
      <c r="P1106" s="105">
        <v>17043.651115542481</v>
      </c>
      <c r="Q1106" s="105">
        <v>1.5935065048153892E-13</v>
      </c>
      <c r="R1106" s="105"/>
      <c r="S1106" s="105"/>
      <c r="T1106" s="105">
        <v>2989607</v>
      </c>
      <c r="U1106" s="153">
        <v>931</v>
      </c>
      <c r="V1106" s="153"/>
      <c r="W1106" s="111">
        <v>2989607</v>
      </c>
      <c r="X1106" s="122">
        <v>0</v>
      </c>
      <c r="Y1106" s="111" t="s">
        <v>2113</v>
      </c>
      <c r="Z1106" s="15">
        <v>102440.04000000001</v>
      </c>
      <c r="AA1106" s="118" t="s">
        <v>2175</v>
      </c>
      <c r="AB1106" s="16"/>
      <c r="AC1106" s="16"/>
      <c r="AD1106" s="16"/>
    </row>
    <row r="1107" spans="1:34" x14ac:dyDescent="0.25">
      <c r="A1107" s="104">
        <v>31</v>
      </c>
      <c r="B1107" s="193" t="s">
        <v>266</v>
      </c>
      <c r="C1107" s="194" t="s">
        <v>1392</v>
      </c>
      <c r="D1107" s="105">
        <v>1398785.9999999898</v>
      </c>
      <c r="E1107" s="105"/>
      <c r="F1107" s="105">
        <v>1315836.1086091646</v>
      </c>
      <c r="G1107" s="105"/>
      <c r="H1107" s="105">
        <v>66197.019348133908</v>
      </c>
      <c r="I1107" s="105">
        <v>16752.872042691361</v>
      </c>
      <c r="J1107" s="105"/>
      <c r="K1107" s="105"/>
      <c r="L1107" s="105">
        <v>96.655031802175245</v>
      </c>
      <c r="M1107" s="105"/>
      <c r="N1107" s="105">
        <v>16656.217010889184</v>
      </c>
      <c r="O1107" s="105">
        <v>8681.7840605699512</v>
      </c>
      <c r="P1107" s="105">
        <v>7974.4329503192339</v>
      </c>
      <c r="Q1107" s="105">
        <v>7.4557444836217039E-14</v>
      </c>
      <c r="R1107" s="105"/>
      <c r="S1107" s="105"/>
      <c r="T1107" s="105">
        <v>1398785.99999999</v>
      </c>
      <c r="U1107" s="111">
        <v>935</v>
      </c>
      <c r="V1107" s="111"/>
      <c r="W1107" s="111">
        <v>1398785.99999999</v>
      </c>
      <c r="X1107" s="122">
        <v>0</v>
      </c>
    </row>
    <row r="1108" spans="1:34" x14ac:dyDescent="0.25">
      <c r="A1108" s="104">
        <v>32</v>
      </c>
      <c r="B1108" s="193" t="s">
        <v>267</v>
      </c>
      <c r="C1108" s="13"/>
      <c r="D1108" s="105">
        <v>107726756.99999997</v>
      </c>
      <c r="E1108" s="105"/>
      <c r="F1108" s="105">
        <v>101257975.09291458</v>
      </c>
      <c r="G1108" s="105"/>
      <c r="H1108" s="105">
        <v>5150608.2871152554</v>
      </c>
      <c r="I1108" s="105">
        <v>1318173.6199701282</v>
      </c>
      <c r="J1108" s="105"/>
      <c r="K1108" s="105"/>
      <c r="L1108" s="105">
        <v>7475.2667718592729</v>
      </c>
      <c r="M1108" s="105"/>
      <c r="N1108" s="105">
        <v>1310698.3531982689</v>
      </c>
      <c r="O1108" s="105">
        <v>683180.34422658745</v>
      </c>
      <c r="P1108" s="105">
        <v>627518.00897168147</v>
      </c>
      <c r="Q1108" s="105">
        <v>5.7314605749516623E-12</v>
      </c>
      <c r="R1108" s="105"/>
      <c r="S1108" s="105"/>
      <c r="T1108" s="105"/>
      <c r="U1108" s="153"/>
      <c r="V1108" s="153"/>
      <c r="W1108" s="111"/>
      <c r="X1108" s="122"/>
      <c r="Y1108" s="111"/>
      <c r="AE1108" s="109"/>
    </row>
    <row r="1109" spans="1:34" x14ac:dyDescent="0.25">
      <c r="A1109" s="13"/>
      <c r="B1109" s="13"/>
      <c r="C1109" s="13"/>
      <c r="D1109" s="105"/>
      <c r="E1109" s="105"/>
      <c r="F1109" s="105"/>
      <c r="G1109" s="105"/>
      <c r="H1109" s="105"/>
      <c r="I1109" s="105"/>
      <c r="J1109" s="105"/>
      <c r="K1109" s="105"/>
      <c r="L1109" s="105"/>
      <c r="M1109" s="105"/>
      <c r="N1109" s="105"/>
      <c r="O1109" s="105"/>
      <c r="P1109" s="105"/>
      <c r="Q1109" s="105"/>
      <c r="R1109" s="105"/>
      <c r="S1109" s="105"/>
      <c r="T1109" s="105"/>
      <c r="U1109" s="111"/>
      <c r="V1109" s="111"/>
      <c r="W1109" s="111"/>
      <c r="Y1109" s="125"/>
    </row>
    <row r="1110" spans="1:34" x14ac:dyDescent="0.25">
      <c r="A1110" s="13"/>
      <c r="B1110" s="193" t="s">
        <v>268</v>
      </c>
      <c r="C1110" s="13"/>
      <c r="D1110" s="105"/>
      <c r="E1110" s="105"/>
      <c r="F1110" s="105"/>
      <c r="G1110" s="105"/>
      <c r="H1110" s="105"/>
      <c r="I1110" s="105"/>
      <c r="J1110" s="105"/>
      <c r="K1110" s="105"/>
      <c r="L1110" s="105"/>
      <c r="M1110" s="105"/>
      <c r="N1110" s="105"/>
      <c r="O1110" s="105"/>
      <c r="P1110" s="105"/>
      <c r="Q1110" s="105"/>
      <c r="R1110" s="105"/>
      <c r="S1110" s="105"/>
      <c r="T1110" s="105"/>
      <c r="U1110" s="111"/>
      <c r="V1110" s="111"/>
      <c r="W1110" s="111"/>
      <c r="AE1110" s="109"/>
    </row>
    <row r="1111" spans="1:34" x14ac:dyDescent="0.25">
      <c r="A1111" s="104">
        <v>33</v>
      </c>
      <c r="B1111" s="193" t="s">
        <v>2086</v>
      </c>
      <c r="C1111" s="194" t="s">
        <v>1983</v>
      </c>
      <c r="D1111" s="105">
        <v>1572907</v>
      </c>
      <c r="E1111" s="105"/>
      <c r="F1111" s="105">
        <v>1572907</v>
      </c>
      <c r="G1111" s="105"/>
      <c r="H1111" s="105">
        <v>0</v>
      </c>
      <c r="I1111" s="105">
        <v>0</v>
      </c>
      <c r="J1111" s="105"/>
      <c r="K1111" s="105"/>
      <c r="L1111" s="105">
        <v>0</v>
      </c>
      <c r="M1111" s="105"/>
      <c r="N1111" s="105">
        <v>0</v>
      </c>
      <c r="O1111" s="105">
        <v>0</v>
      </c>
      <c r="P1111" s="105">
        <v>0</v>
      </c>
      <c r="Q1111" s="105">
        <v>0</v>
      </c>
      <c r="R1111" s="105"/>
      <c r="S1111" s="105"/>
      <c r="T1111" s="105">
        <v>1572907</v>
      </c>
      <c r="U1111" s="111">
        <v>0</v>
      </c>
      <c r="V1111" s="111"/>
      <c r="W1111" s="111"/>
    </row>
    <row r="1112" spans="1:34" x14ac:dyDescent="0.25">
      <c r="A1112" s="104">
        <v>34</v>
      </c>
      <c r="B1112" s="193" t="s">
        <v>270</v>
      </c>
      <c r="C1112" s="194" t="s">
        <v>1983</v>
      </c>
      <c r="D1112" s="105">
        <v>43336</v>
      </c>
      <c r="E1112" s="105"/>
      <c r="F1112" s="105">
        <v>0</v>
      </c>
      <c r="G1112" s="105"/>
      <c r="H1112" s="105">
        <v>43336</v>
      </c>
      <c r="I1112" s="105">
        <v>0</v>
      </c>
      <c r="J1112" s="105"/>
      <c r="K1112" s="105"/>
      <c r="L1112" s="105">
        <v>0</v>
      </c>
      <c r="M1112" s="105"/>
      <c r="N1112" s="105">
        <v>0</v>
      </c>
      <c r="O1112" s="105">
        <v>0</v>
      </c>
      <c r="P1112" s="105">
        <v>0</v>
      </c>
      <c r="Q1112" s="105">
        <v>0</v>
      </c>
      <c r="R1112" s="105"/>
      <c r="S1112" s="105"/>
      <c r="T1112" s="105">
        <v>43336</v>
      </c>
      <c r="U1112" s="111"/>
      <c r="V1112" s="111"/>
      <c r="W1112" s="111"/>
      <c r="X1112" s="111"/>
      <c r="Y1112" s="111"/>
      <c r="AE1112" s="127"/>
    </row>
    <row r="1113" spans="1:34" x14ac:dyDescent="0.25">
      <c r="A1113" s="104">
        <v>35</v>
      </c>
      <c r="B1113" s="193" t="s">
        <v>269</v>
      </c>
      <c r="C1113" s="194" t="s">
        <v>53</v>
      </c>
      <c r="D1113" s="105">
        <v>0</v>
      </c>
      <c r="E1113" s="105"/>
      <c r="F1113" s="105">
        <v>0</v>
      </c>
      <c r="G1113" s="105"/>
      <c r="H1113" s="105">
        <v>0</v>
      </c>
      <c r="I1113" s="105">
        <v>0</v>
      </c>
      <c r="J1113" s="105"/>
      <c r="K1113" s="105"/>
      <c r="L1113" s="105">
        <v>0</v>
      </c>
      <c r="M1113" s="105"/>
      <c r="N1113" s="105">
        <v>0</v>
      </c>
      <c r="O1113" s="105">
        <v>0</v>
      </c>
      <c r="P1113" s="105">
        <v>0</v>
      </c>
      <c r="Q1113" s="105">
        <v>0</v>
      </c>
      <c r="R1113" s="105"/>
      <c r="S1113" s="105"/>
      <c r="T1113" s="105">
        <v>0</v>
      </c>
      <c r="U1113" s="111"/>
      <c r="V1113" s="111"/>
      <c r="W1113" s="111"/>
      <c r="X1113" s="111"/>
      <c r="Y1113" s="111" t="s">
        <v>1737</v>
      </c>
      <c r="Z1113" s="15" t="s">
        <v>1738</v>
      </c>
      <c r="AA1113" s="15" t="s">
        <v>1739</v>
      </c>
      <c r="AE1113" s="127"/>
    </row>
    <row r="1114" spans="1:34" x14ac:dyDescent="0.25">
      <c r="A1114" s="104">
        <v>36</v>
      </c>
      <c r="B1114" s="193" t="s">
        <v>271</v>
      </c>
      <c r="C1114" s="194" t="s">
        <v>1343</v>
      </c>
      <c r="D1114" s="105">
        <v>441708</v>
      </c>
      <c r="E1114" s="105"/>
      <c r="F1114" s="105">
        <v>415651.2738559267</v>
      </c>
      <c r="G1114" s="105"/>
      <c r="H1114" s="105">
        <v>16956.676210514408</v>
      </c>
      <c r="I1114" s="105">
        <v>9100.0499335589047</v>
      </c>
      <c r="J1114" s="105"/>
      <c r="K1114" s="105"/>
      <c r="L1114" s="105">
        <v>1.8602279562441497</v>
      </c>
      <c r="M1114" s="105"/>
      <c r="N1114" s="105">
        <v>9098.189705602661</v>
      </c>
      <c r="O1114" s="105">
        <v>4607.3929398675127</v>
      </c>
      <c r="P1114" s="105">
        <v>4490.7967657351483</v>
      </c>
      <c r="Q1114" s="105">
        <v>0</v>
      </c>
      <c r="R1114" s="105"/>
      <c r="S1114" s="105"/>
      <c r="T1114" s="105">
        <v>441708</v>
      </c>
      <c r="U1114" s="111">
        <v>928</v>
      </c>
      <c r="V1114" s="111"/>
      <c r="W1114" s="111">
        <v>441708</v>
      </c>
      <c r="X1114" s="111">
        <v>0</v>
      </c>
      <c r="Y1114" s="152">
        <v>2057951</v>
      </c>
      <c r="Z1114" s="118">
        <v>1572907</v>
      </c>
      <c r="AA1114" s="118">
        <v>43336</v>
      </c>
      <c r="AB1114" s="16" t="s">
        <v>1740</v>
      </c>
      <c r="AC1114" s="16" t="s">
        <v>1219</v>
      </c>
      <c r="AD1114" s="16" t="s">
        <v>62</v>
      </c>
      <c r="AE1114" s="127"/>
    </row>
    <row r="1115" spans="1:34" x14ac:dyDescent="0.25">
      <c r="A1115" s="104">
        <v>37</v>
      </c>
      <c r="B1115" s="193" t="s">
        <v>272</v>
      </c>
      <c r="C1115" s="13"/>
      <c r="D1115" s="105">
        <v>2057951</v>
      </c>
      <c r="E1115" s="105"/>
      <c r="F1115" s="105">
        <v>1988558.2738559267</v>
      </c>
      <c r="G1115" s="105"/>
      <c r="H1115" s="105">
        <v>60292.676210514408</v>
      </c>
      <c r="I1115" s="105">
        <v>9100.0499335589047</v>
      </c>
      <c r="J1115" s="105"/>
      <c r="K1115" s="105"/>
      <c r="L1115" s="105">
        <v>1.8602279562441497</v>
      </c>
      <c r="M1115" s="105"/>
      <c r="N1115" s="105">
        <v>9098.189705602661</v>
      </c>
      <c r="O1115" s="105">
        <v>4607.3929398675127</v>
      </c>
      <c r="P1115" s="105">
        <v>4490.7967657351483</v>
      </c>
      <c r="Q1115" s="105">
        <v>0</v>
      </c>
      <c r="R1115" s="105"/>
      <c r="S1115" s="105"/>
      <c r="T1115" s="105"/>
      <c r="U1115" s="111"/>
      <c r="V1115" s="111"/>
      <c r="W1115" s="111"/>
      <c r="X1115" s="122"/>
      <c r="Y1115" s="118" t="s">
        <v>2176</v>
      </c>
      <c r="Z1115" s="118">
        <v>1547426.04</v>
      </c>
      <c r="AA1115" s="16"/>
      <c r="AB1115" s="16">
        <v>0</v>
      </c>
      <c r="AC1115" s="16">
        <v>0</v>
      </c>
      <c r="AD1115" s="16">
        <v>1616243</v>
      </c>
    </row>
    <row r="1116" spans="1:34" x14ac:dyDescent="0.25">
      <c r="A1116" s="13"/>
      <c r="B1116" s="13"/>
      <c r="C1116" s="13"/>
      <c r="D1116" s="105"/>
      <c r="E1116" s="105"/>
      <c r="F1116" s="105"/>
      <c r="G1116" s="105"/>
      <c r="H1116" s="105"/>
      <c r="I1116" s="105"/>
      <c r="J1116" s="105"/>
      <c r="K1116" s="105"/>
      <c r="L1116" s="105"/>
      <c r="M1116" s="105"/>
      <c r="N1116" s="105"/>
      <c r="O1116" s="105"/>
      <c r="P1116" s="105"/>
      <c r="Q1116" s="105"/>
      <c r="R1116" s="105"/>
      <c r="S1116" s="105"/>
      <c r="T1116" s="105"/>
      <c r="U1116" s="111"/>
      <c r="V1116" s="111"/>
      <c r="W1116" s="111"/>
      <c r="Y1116" s="108" t="s">
        <v>2177</v>
      </c>
      <c r="Z1116" s="118">
        <v>25480.959999999963</v>
      </c>
      <c r="AC1116" s="16"/>
    </row>
    <row r="1117" spans="1:34" x14ac:dyDescent="0.25">
      <c r="A1117" s="104">
        <v>38</v>
      </c>
      <c r="B1117" s="193" t="s">
        <v>273</v>
      </c>
      <c r="C1117" s="194" t="s">
        <v>845</v>
      </c>
      <c r="D1117" s="105">
        <v>0</v>
      </c>
      <c r="E1117" s="105"/>
      <c r="F1117" s="105">
        <v>0</v>
      </c>
      <c r="G1117" s="105"/>
      <c r="H1117" s="105">
        <v>0</v>
      </c>
      <c r="I1117" s="105">
        <v>0</v>
      </c>
      <c r="J1117" s="105"/>
      <c r="K1117" s="105"/>
      <c r="L1117" s="105">
        <v>0</v>
      </c>
      <c r="M1117" s="105"/>
      <c r="N1117" s="105">
        <v>0</v>
      </c>
      <c r="O1117" s="105">
        <v>0</v>
      </c>
      <c r="P1117" s="105">
        <v>0</v>
      </c>
      <c r="Q1117" s="105">
        <v>0</v>
      </c>
      <c r="R1117" s="105"/>
      <c r="S1117" s="105"/>
      <c r="T1117" s="105">
        <v>0</v>
      </c>
      <c r="U1117" s="111">
        <v>927</v>
      </c>
      <c r="V1117" s="111"/>
      <c r="W1117" s="111">
        <v>0</v>
      </c>
      <c r="X1117" s="15">
        <v>0</v>
      </c>
      <c r="Y1117" s="108"/>
      <c r="Z1117" s="16"/>
      <c r="AE1117" s="109"/>
    </row>
    <row r="1118" spans="1:34" x14ac:dyDescent="0.25">
      <c r="A1118" s="104">
        <v>39</v>
      </c>
      <c r="B1118" s="193" t="s">
        <v>264</v>
      </c>
      <c r="C1118" s="194" t="s">
        <v>845</v>
      </c>
      <c r="D1118" s="105">
        <v>0</v>
      </c>
      <c r="E1118" s="105"/>
      <c r="F1118" s="105">
        <v>0</v>
      </c>
      <c r="G1118" s="105"/>
      <c r="H1118" s="105">
        <v>0</v>
      </c>
      <c r="I1118" s="105">
        <v>0</v>
      </c>
      <c r="J1118" s="105"/>
      <c r="K1118" s="105"/>
      <c r="L1118" s="105">
        <v>0</v>
      </c>
      <c r="M1118" s="105"/>
      <c r="N1118" s="105">
        <v>0</v>
      </c>
      <c r="O1118" s="105">
        <v>0</v>
      </c>
      <c r="P1118" s="105">
        <v>0</v>
      </c>
      <c r="Q1118" s="105">
        <v>0</v>
      </c>
      <c r="R1118" s="105"/>
      <c r="S1118" s="105"/>
      <c r="T1118" s="105">
        <v>0</v>
      </c>
      <c r="U1118" s="111">
        <v>929</v>
      </c>
      <c r="V1118" s="111"/>
      <c r="W1118" s="111">
        <v>0</v>
      </c>
      <c r="X1118" s="122">
        <v>0</v>
      </c>
      <c r="Y1118" s="108"/>
      <c r="Z1118" s="16">
        <v>1572907</v>
      </c>
    </row>
    <row r="1119" spans="1:34" x14ac:dyDescent="0.25">
      <c r="A1119" s="13"/>
      <c r="B1119" s="13"/>
      <c r="C1119" s="13"/>
      <c r="D1119" s="105"/>
      <c r="E1119" s="105"/>
      <c r="F1119" s="105"/>
      <c r="G1119" s="105"/>
      <c r="H1119" s="105"/>
      <c r="I1119" s="105"/>
      <c r="J1119" s="105"/>
      <c r="K1119" s="105"/>
      <c r="L1119" s="105"/>
      <c r="M1119" s="105"/>
      <c r="N1119" s="105"/>
      <c r="O1119" s="105"/>
      <c r="P1119" s="105"/>
      <c r="Q1119" s="105"/>
      <c r="R1119" s="105"/>
      <c r="S1119" s="105"/>
      <c r="T1119" s="105"/>
      <c r="U1119" s="111"/>
      <c r="V1119" s="111"/>
      <c r="W1119" s="111"/>
      <c r="X1119" s="122"/>
      <c r="Z1119" s="128"/>
      <c r="AE1119" s="108"/>
      <c r="AH1119" s="108"/>
    </row>
    <row r="1120" spans="1:34" x14ac:dyDescent="0.25">
      <c r="A1120" s="104">
        <v>40</v>
      </c>
      <c r="B1120" s="193" t="s">
        <v>274</v>
      </c>
      <c r="C1120" s="103"/>
      <c r="D1120" s="105">
        <v>115982377.99999996</v>
      </c>
      <c r="E1120" s="105"/>
      <c r="F1120" s="105">
        <v>109041366.86803594</v>
      </c>
      <c r="G1120" s="105"/>
      <c r="H1120" s="105">
        <v>5523628.1826943588</v>
      </c>
      <c r="I1120" s="105">
        <v>1417382.9492696577</v>
      </c>
      <c r="J1120" s="105"/>
      <c r="K1120" s="105"/>
      <c r="L1120" s="105">
        <v>7914.6810788677112</v>
      </c>
      <c r="M1120" s="105"/>
      <c r="N1120" s="105">
        <v>1409468.26819079</v>
      </c>
      <c r="O1120" s="105">
        <v>734394.33471722191</v>
      </c>
      <c r="P1120" s="105">
        <v>675073.93347356818</v>
      </c>
      <c r="Q1120" s="105">
        <v>5.7407288046133519E-12</v>
      </c>
      <c r="R1120" s="105"/>
      <c r="S1120" s="105"/>
      <c r="T1120" s="105"/>
      <c r="U1120" s="111"/>
      <c r="V1120" s="111"/>
      <c r="W1120" s="129"/>
      <c r="Z1120" s="140"/>
      <c r="AA1120" s="109"/>
      <c r="AE1120" s="108"/>
      <c r="AF1120" s="108"/>
      <c r="AH1120" s="108"/>
    </row>
    <row r="1121" spans="1:28" x14ac:dyDescent="0.25">
      <c r="A1121" s="13"/>
      <c r="B1121" s="13"/>
      <c r="C1121" s="103"/>
      <c r="D1121" s="105"/>
      <c r="E1121" s="105"/>
      <c r="F1121" s="105"/>
      <c r="G1121" s="105"/>
      <c r="H1121" s="105"/>
      <c r="I1121" s="105"/>
      <c r="J1121" s="105"/>
      <c r="K1121" s="105"/>
      <c r="L1121" s="105"/>
      <c r="M1121" s="105"/>
      <c r="N1121" s="105"/>
      <c r="O1121" s="105"/>
      <c r="P1121" s="105"/>
      <c r="Q1121" s="105"/>
      <c r="R1121" s="105"/>
      <c r="S1121" s="105"/>
      <c r="T1121" s="105"/>
      <c r="U1121" s="111"/>
      <c r="V1121" s="111"/>
      <c r="W1121" s="118"/>
      <c r="X1121" s="16"/>
      <c r="Y1121" s="16"/>
      <c r="Z1121" s="16" t="s">
        <v>2178</v>
      </c>
      <c r="AA1121" s="15">
        <v>938986321.69972694</v>
      </c>
    </row>
    <row r="1122" spans="1:28" x14ac:dyDescent="0.25">
      <c r="A1122" s="104">
        <v>41</v>
      </c>
      <c r="B1122" s="193" t="s">
        <v>250</v>
      </c>
      <c r="C1122" s="103"/>
      <c r="D1122" s="105">
        <v>938986321.69972622</v>
      </c>
      <c r="E1122" s="105"/>
      <c r="F1122" s="105">
        <v>880934432.22617733</v>
      </c>
      <c r="G1122" s="105"/>
      <c r="H1122" s="105">
        <v>42557095.398338728</v>
      </c>
      <c r="I1122" s="105">
        <v>15494794.075210219</v>
      </c>
      <c r="J1122" s="105"/>
      <c r="K1122" s="105"/>
      <c r="L1122" s="105">
        <v>25772.401961122789</v>
      </c>
      <c r="M1122" s="105"/>
      <c r="N1122" s="105">
        <v>15469021.673249096</v>
      </c>
      <c r="O1122" s="105">
        <v>7886881.1591330906</v>
      </c>
      <c r="P1122" s="105">
        <v>7582140.514116006</v>
      </c>
      <c r="Q1122" s="105">
        <v>5.7407288046133519E-12</v>
      </c>
      <c r="R1122" s="105"/>
      <c r="S1122" s="105"/>
      <c r="T1122" s="105"/>
      <c r="V1122" s="111"/>
      <c r="W1122" s="118"/>
      <c r="X1122" s="16"/>
      <c r="Y1122" s="16"/>
      <c r="Z1122" s="16"/>
      <c r="AA1122" s="118"/>
      <c r="AB1122" s="121">
        <v>0</v>
      </c>
    </row>
    <row r="1123" spans="1:28" x14ac:dyDescent="0.25">
      <c r="A1123" s="13"/>
      <c r="B1123" s="13" t="s">
        <v>251</v>
      </c>
      <c r="C1123" s="103"/>
      <c r="D1123" s="105">
        <v>792512083.69972634</v>
      </c>
      <c r="E1123" s="105"/>
      <c r="F1123" s="105">
        <v>745125422.16715741</v>
      </c>
      <c r="G1123" s="105"/>
      <c r="H1123" s="105">
        <v>34319576.502021387</v>
      </c>
      <c r="I1123" s="105"/>
      <c r="J1123" s="105"/>
      <c r="K1123" s="105"/>
      <c r="L1123" s="105">
        <v>19714.195020911422</v>
      </c>
      <c r="M1123" s="105"/>
      <c r="N1123" s="105">
        <v>13047370.835526558</v>
      </c>
      <c r="O1123" s="105"/>
      <c r="P1123" s="105"/>
      <c r="Q1123" s="105"/>
      <c r="R1123" s="105"/>
      <c r="S1123" s="105"/>
      <c r="T1123" s="105"/>
      <c r="V1123" s="111"/>
      <c r="W1123" s="111"/>
    </row>
    <row r="1124" spans="1:28" x14ac:dyDescent="0.25">
      <c r="A1124" s="13"/>
      <c r="B1124" s="13" t="s">
        <v>252</v>
      </c>
      <c r="C1124" s="103"/>
      <c r="D1124" s="105">
        <v>146474238</v>
      </c>
      <c r="E1124" s="105"/>
      <c r="F1124" s="105">
        <v>135809010.05901992</v>
      </c>
      <c r="G1124" s="105"/>
      <c r="H1124" s="105">
        <v>8237518.8963173339</v>
      </c>
      <c r="I1124" s="105"/>
      <c r="J1124" s="105"/>
      <c r="K1124" s="105"/>
      <c r="L1124" s="105">
        <v>6058.2069402113621</v>
      </c>
      <c r="M1124" s="105"/>
      <c r="N1124" s="105">
        <v>2421650.8377225394</v>
      </c>
      <c r="O1124" s="105"/>
      <c r="P1124" s="105"/>
      <c r="Q1124" s="105"/>
      <c r="R1124" s="105"/>
      <c r="S1124" s="105"/>
      <c r="T1124" s="105"/>
      <c r="W1124" s="111"/>
    </row>
    <row r="1125" spans="1:28" x14ac:dyDescent="0.25">
      <c r="A1125" s="13"/>
      <c r="B1125" s="13" t="s">
        <v>253</v>
      </c>
      <c r="C1125" s="103"/>
      <c r="D1125" s="105">
        <v>306508154.12999976</v>
      </c>
      <c r="E1125" s="105"/>
      <c r="F1125" s="105">
        <v>287806523.43516892</v>
      </c>
      <c r="G1125" s="105"/>
      <c r="H1125" s="105">
        <v>15640496.996950112</v>
      </c>
      <c r="I1125" s="105"/>
      <c r="J1125" s="105"/>
      <c r="K1125" s="105"/>
      <c r="L1125" s="105">
        <v>17668.660962841837</v>
      </c>
      <c r="M1125" s="105"/>
      <c r="N1125" s="105">
        <v>3043465.0369178317</v>
      </c>
      <c r="O1125" s="105"/>
      <c r="P1125" s="105"/>
      <c r="Q1125" s="105"/>
      <c r="R1125" s="105"/>
      <c r="S1125" s="105"/>
      <c r="T1125" s="105"/>
      <c r="W1125" s="111"/>
    </row>
    <row r="1126" spans="1:28" x14ac:dyDescent="0.25">
      <c r="A1126" s="13"/>
      <c r="B1126" s="195" t="s">
        <v>1134</v>
      </c>
      <c r="C1126" s="103"/>
      <c r="D1126" s="105"/>
      <c r="E1126" s="105"/>
      <c r="F1126" s="105"/>
      <c r="G1126" s="105"/>
      <c r="H1126" s="105"/>
      <c r="I1126" s="105"/>
      <c r="J1126" s="105"/>
      <c r="K1126" s="105"/>
      <c r="L1126" s="105"/>
      <c r="M1126" s="105"/>
      <c r="N1126" s="105"/>
      <c r="O1126" s="105"/>
      <c r="P1126" s="105"/>
      <c r="Q1126" s="105"/>
      <c r="R1126" s="105"/>
      <c r="S1126" s="105"/>
      <c r="T1126" s="105"/>
      <c r="W1126" s="111"/>
    </row>
    <row r="1127" spans="1:28" x14ac:dyDescent="0.25">
      <c r="A1127" s="13"/>
      <c r="B1127" s="13"/>
      <c r="C1127" s="103"/>
      <c r="D1127" s="105"/>
      <c r="E1127" s="105"/>
      <c r="F1127" s="105"/>
      <c r="G1127" s="105"/>
      <c r="H1127" s="105"/>
      <c r="I1127" s="105"/>
      <c r="J1127" s="105"/>
      <c r="K1127" s="105"/>
      <c r="L1127" s="105"/>
      <c r="M1127" s="105"/>
      <c r="N1127" s="105"/>
      <c r="O1127" s="105"/>
      <c r="P1127" s="105"/>
      <c r="Q1127" s="105"/>
      <c r="R1127" s="105"/>
      <c r="S1127" s="105"/>
      <c r="T1127" s="105"/>
      <c r="W1127" s="111"/>
    </row>
    <row r="1128" spans="1:28" x14ac:dyDescent="0.25">
      <c r="A1128" s="13"/>
      <c r="B1128" s="193" t="s">
        <v>1135</v>
      </c>
      <c r="C1128" s="103"/>
      <c r="D1128" s="105"/>
      <c r="E1128" s="105"/>
      <c r="F1128" s="105"/>
      <c r="G1128" s="105"/>
      <c r="H1128" s="105"/>
      <c r="I1128" s="105"/>
      <c r="J1128" s="105"/>
      <c r="K1128" s="105"/>
      <c r="L1128" s="105"/>
      <c r="M1128" s="105"/>
      <c r="N1128" s="105"/>
      <c r="O1128" s="105"/>
      <c r="P1128" s="105"/>
      <c r="Q1128" s="105"/>
      <c r="R1128" s="105"/>
      <c r="S1128" s="105"/>
      <c r="T1128" s="105"/>
      <c r="W1128" s="111"/>
    </row>
    <row r="1129" spans="1:28" x14ac:dyDescent="0.25">
      <c r="A1129" s="13"/>
      <c r="B1129" s="13"/>
      <c r="C1129" s="103"/>
      <c r="D1129" s="105"/>
      <c r="E1129" s="105"/>
      <c r="F1129" s="105"/>
      <c r="G1129" s="105"/>
      <c r="H1129" s="105"/>
      <c r="I1129" s="105"/>
      <c r="J1129" s="105"/>
      <c r="K1129" s="105"/>
      <c r="L1129" s="105"/>
      <c r="M1129" s="105"/>
      <c r="N1129" s="105"/>
      <c r="O1129" s="105"/>
      <c r="P1129" s="105"/>
      <c r="Q1129" s="105"/>
      <c r="R1129" s="105"/>
      <c r="S1129" s="105"/>
      <c r="T1129" s="105"/>
      <c r="W1129" s="111"/>
    </row>
    <row r="1130" spans="1:28" x14ac:dyDescent="0.25">
      <c r="A1130" s="13"/>
      <c r="B1130" s="193" t="s">
        <v>7</v>
      </c>
      <c r="C1130" s="13"/>
      <c r="D1130" s="105"/>
      <c r="E1130" s="105"/>
      <c r="F1130" s="105"/>
      <c r="G1130" s="105"/>
      <c r="H1130" s="105"/>
      <c r="I1130" s="105"/>
      <c r="J1130" s="105"/>
      <c r="K1130" s="105"/>
      <c r="L1130" s="105"/>
      <c r="M1130" s="105"/>
      <c r="N1130" s="105"/>
      <c r="O1130" s="105"/>
      <c r="P1130" s="105"/>
      <c r="Q1130" s="105"/>
      <c r="R1130" s="105"/>
      <c r="S1130" s="105"/>
      <c r="T1130" s="105"/>
      <c r="W1130" s="111"/>
    </row>
    <row r="1131" spans="1:28" x14ac:dyDescent="0.25">
      <c r="A1131" s="13"/>
      <c r="B1131" s="193" t="s">
        <v>8</v>
      </c>
      <c r="C1131" s="13"/>
      <c r="D1131" s="105"/>
      <c r="E1131" s="105"/>
      <c r="F1131" s="105"/>
      <c r="G1131" s="105"/>
      <c r="H1131" s="105"/>
      <c r="I1131" s="105"/>
      <c r="J1131" s="105"/>
      <c r="K1131" s="105"/>
      <c r="L1131" s="105"/>
      <c r="M1131" s="105"/>
      <c r="N1131" s="105"/>
      <c r="O1131" s="105"/>
      <c r="P1131" s="105"/>
      <c r="Q1131" s="105"/>
      <c r="R1131" s="105"/>
      <c r="S1131" s="105"/>
      <c r="T1131" s="105"/>
      <c r="W1131" s="111"/>
    </row>
    <row r="1132" spans="1:28" x14ac:dyDescent="0.25">
      <c r="A1132" s="104">
        <v>1</v>
      </c>
      <c r="B1132" s="193" t="s">
        <v>9</v>
      </c>
      <c r="C1132" s="194" t="s">
        <v>1394</v>
      </c>
      <c r="D1132" s="105">
        <v>205968061.93875694</v>
      </c>
      <c r="E1132" s="105"/>
      <c r="F1132" s="105">
        <v>193077763.09317902</v>
      </c>
      <c r="G1132" s="105"/>
      <c r="H1132" s="105">
        <v>8841268.385230381</v>
      </c>
      <c r="I1132" s="105">
        <v>4049030.4603475202</v>
      </c>
      <c r="J1132" s="105"/>
      <c r="K1132" s="105"/>
      <c r="L1132" s="105">
        <v>619.75272226095831</v>
      </c>
      <c r="M1132" s="105"/>
      <c r="N1132" s="105">
        <v>4048410.7076252592</v>
      </c>
      <c r="O1132" s="105">
        <v>2053240.7688505556</v>
      </c>
      <c r="P1132" s="105">
        <v>1995169.9387747035</v>
      </c>
      <c r="Q1132" s="105">
        <v>0</v>
      </c>
      <c r="R1132" s="105"/>
      <c r="S1132" s="105"/>
      <c r="T1132" s="105">
        <v>205968061.93875694</v>
      </c>
      <c r="V1132" s="130"/>
      <c r="W1132" s="111"/>
    </row>
    <row r="1133" spans="1:28" x14ac:dyDescent="0.25">
      <c r="A1133" s="104">
        <v>2</v>
      </c>
      <c r="B1133" s="193" t="s">
        <v>11</v>
      </c>
      <c r="C1133" s="194" t="s">
        <v>1239</v>
      </c>
      <c r="D1133" s="105">
        <v>386720.99999999988</v>
      </c>
      <c r="E1133" s="105"/>
      <c r="F1133" s="105">
        <v>203089.44680136981</v>
      </c>
      <c r="G1133" s="105"/>
      <c r="H1133" s="105">
        <v>125956.26579452054</v>
      </c>
      <c r="I1133" s="105">
        <v>57675.287404109578</v>
      </c>
      <c r="J1133" s="105"/>
      <c r="K1133" s="105"/>
      <c r="L1133" s="105">
        <v>0</v>
      </c>
      <c r="M1133" s="105"/>
      <c r="N1133" s="105">
        <v>57675.287404109578</v>
      </c>
      <c r="O1133" s="105">
        <v>29251.293904109585</v>
      </c>
      <c r="P1133" s="105">
        <v>28423.993499999993</v>
      </c>
      <c r="Q1133" s="105">
        <v>0</v>
      </c>
      <c r="R1133" s="105"/>
      <c r="S1133" s="105"/>
      <c r="T1133" s="105">
        <v>386720.99999999994</v>
      </c>
      <c r="U1133" s="111"/>
      <c r="V1133" s="15" t="s">
        <v>1136</v>
      </c>
      <c r="W1133" s="111"/>
      <c r="X1133" s="111"/>
      <c r="Y1133" s="111"/>
    </row>
    <row r="1134" spans="1:28" x14ac:dyDescent="0.25">
      <c r="A1134" s="104">
        <v>3</v>
      </c>
      <c r="B1134" s="193" t="s">
        <v>12</v>
      </c>
      <c r="C1134" s="194" t="s">
        <v>1245</v>
      </c>
      <c r="D1134" s="105">
        <v>690251.00000000047</v>
      </c>
      <c r="E1134" s="105"/>
      <c r="F1134" s="105">
        <v>537583.0216122329</v>
      </c>
      <c r="G1134" s="105"/>
      <c r="H1134" s="105">
        <v>0</v>
      </c>
      <c r="I1134" s="105">
        <v>152667.97838776751</v>
      </c>
      <c r="J1134" s="105"/>
      <c r="K1134" s="105"/>
      <c r="L1134" s="105">
        <v>0</v>
      </c>
      <c r="M1134" s="105"/>
      <c r="N1134" s="105">
        <v>152667.97838776751</v>
      </c>
      <c r="O1134" s="105">
        <v>77428.93198393732</v>
      </c>
      <c r="P1134" s="105">
        <v>75239.046403830187</v>
      </c>
      <c r="Q1134" s="105">
        <v>0</v>
      </c>
      <c r="R1134" s="105"/>
      <c r="S1134" s="105"/>
      <c r="T1134" s="105">
        <v>690251.00000000047</v>
      </c>
      <c r="U1134" s="111"/>
      <c r="V1134" s="111" t="s">
        <v>1136</v>
      </c>
      <c r="W1134" s="111"/>
      <c r="X1134" s="111"/>
      <c r="Y1134" s="111"/>
    </row>
    <row r="1135" spans="1:28" x14ac:dyDescent="0.25">
      <c r="A1135" s="104">
        <v>4</v>
      </c>
      <c r="B1135" s="193" t="s">
        <v>13</v>
      </c>
      <c r="C1135" s="13"/>
      <c r="D1135" s="105">
        <v>207045033.93875691</v>
      </c>
      <c r="E1135" s="105"/>
      <c r="F1135" s="105">
        <v>193818435.56159261</v>
      </c>
      <c r="G1135" s="105"/>
      <c r="H1135" s="105">
        <v>8967224.6510249022</v>
      </c>
      <c r="I1135" s="105">
        <v>4259373.7261393974</v>
      </c>
      <c r="J1135" s="105"/>
      <c r="K1135" s="105"/>
      <c r="L1135" s="105">
        <v>619.75272226095831</v>
      </c>
      <c r="M1135" s="105"/>
      <c r="N1135" s="105">
        <v>4258753.9734171368</v>
      </c>
      <c r="O1135" s="105">
        <v>2159920.9947386025</v>
      </c>
      <c r="P1135" s="105">
        <v>2098832.9786785338</v>
      </c>
      <c r="Q1135" s="105">
        <v>0</v>
      </c>
      <c r="R1135" s="105"/>
      <c r="S1135" s="105"/>
      <c r="T1135" s="105">
        <v>207045033.93875694</v>
      </c>
      <c r="U1135" s="111"/>
      <c r="V1135" s="111" t="s">
        <v>1137</v>
      </c>
      <c r="W1135" s="111"/>
      <c r="Y1135" s="111"/>
    </row>
    <row r="1136" spans="1:28" x14ac:dyDescent="0.25">
      <c r="A1136" s="104"/>
      <c r="B1136" s="193"/>
      <c r="C1136" s="13"/>
      <c r="D1136" s="105"/>
      <c r="E1136" s="105"/>
      <c r="F1136" s="105"/>
      <c r="G1136" s="105"/>
      <c r="H1136" s="105"/>
      <c r="I1136" s="105"/>
      <c r="J1136" s="105"/>
      <c r="K1136" s="105"/>
      <c r="L1136" s="105"/>
      <c r="M1136" s="105"/>
      <c r="N1136" s="105"/>
      <c r="O1136" s="105"/>
      <c r="P1136" s="105"/>
      <c r="Q1136" s="105"/>
      <c r="R1136" s="105"/>
      <c r="S1136" s="105"/>
      <c r="T1136" s="105"/>
      <c r="V1136" s="108"/>
      <c r="W1136" s="111"/>
    </row>
    <row r="1137" spans="1:25" x14ac:dyDescent="0.25">
      <c r="A1137" s="13"/>
      <c r="B1137" s="193" t="s">
        <v>14</v>
      </c>
      <c r="C1137" s="13"/>
      <c r="D1137" s="105"/>
      <c r="E1137" s="105"/>
      <c r="F1137" s="105"/>
      <c r="G1137" s="105"/>
      <c r="H1137" s="105"/>
      <c r="I1137" s="105"/>
      <c r="J1137" s="105"/>
      <c r="K1137" s="105"/>
      <c r="L1137" s="105"/>
      <c r="M1137" s="105"/>
      <c r="N1137" s="105"/>
      <c r="O1137" s="105"/>
      <c r="P1137" s="105"/>
      <c r="Q1137" s="105"/>
      <c r="R1137" s="105"/>
      <c r="S1137" s="105"/>
      <c r="T1137" s="105"/>
      <c r="V1137" s="108"/>
      <c r="W1137" s="111"/>
    </row>
    <row r="1138" spans="1:25" x14ac:dyDescent="0.25">
      <c r="A1138" s="104">
        <v>5</v>
      </c>
      <c r="B1138" s="193" t="s">
        <v>9</v>
      </c>
      <c r="C1138" s="194" t="s">
        <v>1398</v>
      </c>
      <c r="D1138" s="105">
        <v>1294501.4975908403</v>
      </c>
      <c r="E1138" s="105"/>
      <c r="F1138" s="105">
        <v>1213486.4557298566</v>
      </c>
      <c r="G1138" s="105"/>
      <c r="H1138" s="105">
        <v>55567.038197826878</v>
      </c>
      <c r="I1138" s="105">
        <v>25448.0036631568</v>
      </c>
      <c r="J1138" s="105"/>
      <c r="K1138" s="105"/>
      <c r="L1138" s="105">
        <v>3.8951224745774438</v>
      </c>
      <c r="M1138" s="105"/>
      <c r="N1138" s="105">
        <v>25444.108540682224</v>
      </c>
      <c r="O1138" s="105">
        <v>12904.540758275067</v>
      </c>
      <c r="P1138" s="105">
        <v>12539.567782407159</v>
      </c>
      <c r="Q1138" s="105">
        <v>0</v>
      </c>
      <c r="R1138" s="105"/>
      <c r="S1138" s="105"/>
      <c r="T1138" s="105">
        <v>1294501.4975908401</v>
      </c>
      <c r="W1138" s="111"/>
    </row>
    <row r="1139" spans="1:25" x14ac:dyDescent="0.25">
      <c r="A1139" s="104">
        <v>6</v>
      </c>
      <c r="B1139" s="193" t="s">
        <v>11</v>
      </c>
      <c r="C1139" s="194" t="s">
        <v>1239</v>
      </c>
      <c r="D1139" s="105">
        <v>24.999999999999957</v>
      </c>
      <c r="E1139" s="105"/>
      <c r="F1139" s="105">
        <v>13.12893835616436</v>
      </c>
      <c r="G1139" s="105"/>
      <c r="H1139" s="105">
        <v>8.1425799086757866</v>
      </c>
      <c r="I1139" s="105">
        <v>3.7284817351598107</v>
      </c>
      <c r="J1139" s="105"/>
      <c r="K1139" s="105"/>
      <c r="L1139" s="105">
        <v>0</v>
      </c>
      <c r="M1139" s="105"/>
      <c r="N1139" s="105">
        <v>3.7284817351598107</v>
      </c>
      <c r="O1139" s="105">
        <v>1.8909817351598142</v>
      </c>
      <c r="P1139" s="105">
        <v>1.8374999999999968</v>
      </c>
      <c r="Q1139" s="105">
        <v>0</v>
      </c>
      <c r="R1139" s="105"/>
      <c r="S1139" s="105"/>
      <c r="T1139" s="105">
        <v>24.999999999999957</v>
      </c>
      <c r="U1139" s="111"/>
      <c r="V1139" s="111" t="s">
        <v>1136</v>
      </c>
      <c r="W1139" s="111"/>
      <c r="X1139" s="111"/>
    </row>
    <row r="1140" spans="1:25" x14ac:dyDescent="0.25">
      <c r="A1140" s="104">
        <v>7</v>
      </c>
      <c r="B1140" s="193" t="s">
        <v>12</v>
      </c>
      <c r="C1140" s="194" t="s">
        <v>1245</v>
      </c>
      <c r="D1140" s="105">
        <v>3212.9999999999995</v>
      </c>
      <c r="E1140" s="105"/>
      <c r="F1140" s="105">
        <v>2502.3567491247431</v>
      </c>
      <c r="G1140" s="105"/>
      <c r="H1140" s="105">
        <v>0</v>
      </c>
      <c r="I1140" s="105">
        <v>710.6432508752564</v>
      </c>
      <c r="J1140" s="105"/>
      <c r="K1140" s="105"/>
      <c r="L1140" s="105">
        <v>0</v>
      </c>
      <c r="M1140" s="105"/>
      <c r="N1140" s="105">
        <v>710.6432508752564</v>
      </c>
      <c r="O1140" s="105">
        <v>360.41839629988283</v>
      </c>
      <c r="P1140" s="105">
        <v>350.22485457537363</v>
      </c>
      <c r="Q1140" s="105">
        <v>0</v>
      </c>
      <c r="R1140" s="105"/>
      <c r="S1140" s="105"/>
      <c r="T1140" s="105">
        <v>3212.9999999999995</v>
      </c>
      <c r="U1140" s="111"/>
      <c r="V1140" s="111" t="s">
        <v>1136</v>
      </c>
      <c r="W1140" s="111"/>
      <c r="X1140" s="111"/>
      <c r="Y1140" s="111"/>
    </row>
    <row r="1141" spans="1:25" x14ac:dyDescent="0.25">
      <c r="A1141" s="104">
        <v>8</v>
      </c>
      <c r="B1141" s="193" t="s">
        <v>15</v>
      </c>
      <c r="C1141" s="13"/>
      <c r="D1141" s="105">
        <v>1297739.4975908403</v>
      </c>
      <c r="E1141" s="105"/>
      <c r="F1141" s="105">
        <v>1216001.9414173376</v>
      </c>
      <c r="G1141" s="105"/>
      <c r="H1141" s="105">
        <v>55575.180777735557</v>
      </c>
      <c r="I1141" s="105">
        <v>26162.375395767216</v>
      </c>
      <c r="J1141" s="105"/>
      <c r="K1141" s="105"/>
      <c r="L1141" s="105">
        <v>3.8951224745774438</v>
      </c>
      <c r="M1141" s="105"/>
      <c r="N1141" s="105">
        <v>26158.48027329264</v>
      </c>
      <c r="O1141" s="105">
        <v>13266.85013631011</v>
      </c>
      <c r="P1141" s="105">
        <v>12891.630136982532</v>
      </c>
      <c r="Q1141" s="105">
        <v>0</v>
      </c>
      <c r="R1141" s="105"/>
      <c r="S1141" s="105"/>
      <c r="T1141" s="105">
        <v>1297739.4975908401</v>
      </c>
      <c r="U1141" s="111"/>
      <c r="V1141" s="111" t="s">
        <v>1137</v>
      </c>
      <c r="W1141" s="111"/>
    </row>
    <row r="1142" spans="1:25" x14ac:dyDescent="0.25">
      <c r="A1142" s="104"/>
      <c r="B1142" s="193"/>
      <c r="C1142" s="13"/>
      <c r="D1142" s="105"/>
      <c r="E1142" s="105"/>
      <c r="F1142" s="105"/>
      <c r="G1142" s="105"/>
      <c r="H1142" s="105"/>
      <c r="I1142" s="105"/>
      <c r="J1142" s="105"/>
      <c r="K1142" s="105"/>
      <c r="L1142" s="105"/>
      <c r="M1142" s="105"/>
      <c r="N1142" s="105"/>
      <c r="O1142" s="105"/>
      <c r="P1142" s="105"/>
      <c r="Q1142" s="105"/>
      <c r="R1142" s="105"/>
      <c r="S1142" s="105"/>
      <c r="T1142" s="105"/>
      <c r="V1142" s="108"/>
      <c r="W1142" s="111"/>
    </row>
    <row r="1143" spans="1:25" x14ac:dyDescent="0.25">
      <c r="A1143" s="13"/>
      <c r="B1143" s="193" t="s">
        <v>16</v>
      </c>
      <c r="C1143" s="13"/>
      <c r="D1143" s="105"/>
      <c r="E1143" s="105"/>
      <c r="F1143" s="105"/>
      <c r="G1143" s="105"/>
      <c r="H1143" s="105"/>
      <c r="I1143" s="105"/>
      <c r="J1143" s="105"/>
      <c r="K1143" s="105"/>
      <c r="L1143" s="105"/>
      <c r="M1143" s="105"/>
      <c r="N1143" s="105"/>
      <c r="O1143" s="105"/>
      <c r="P1143" s="105"/>
      <c r="Q1143" s="105"/>
      <c r="R1143" s="105"/>
      <c r="S1143" s="105"/>
      <c r="T1143" s="105"/>
      <c r="V1143" s="108"/>
      <c r="W1143" s="111"/>
    </row>
    <row r="1144" spans="1:25" x14ac:dyDescent="0.25">
      <c r="A1144" s="104">
        <v>9</v>
      </c>
      <c r="B1144" s="193" t="s">
        <v>9</v>
      </c>
      <c r="C1144" s="194" t="s">
        <v>1400</v>
      </c>
      <c r="D1144" s="105">
        <v>41764516.484556049</v>
      </c>
      <c r="E1144" s="105"/>
      <c r="F1144" s="105">
        <v>39150727.271027066</v>
      </c>
      <c r="G1144" s="105"/>
      <c r="H1144" s="105">
        <v>1792759.9829974254</v>
      </c>
      <c r="I1144" s="105">
        <v>821029.23053155665</v>
      </c>
      <c r="J1144" s="105"/>
      <c r="K1144" s="105"/>
      <c r="L1144" s="105">
        <v>125.66838053228177</v>
      </c>
      <c r="M1144" s="105"/>
      <c r="N1144" s="105">
        <v>820903.56215102435</v>
      </c>
      <c r="O1144" s="105">
        <v>416339.34470344963</v>
      </c>
      <c r="P1144" s="105">
        <v>404564.21744757472</v>
      </c>
      <c r="Q1144" s="105">
        <v>0</v>
      </c>
      <c r="R1144" s="105"/>
      <c r="S1144" s="105"/>
      <c r="T1144" s="105">
        <v>41764516.484556049</v>
      </c>
      <c r="W1144" s="111"/>
    </row>
    <row r="1145" spans="1:25" x14ac:dyDescent="0.25">
      <c r="A1145" s="104">
        <v>10</v>
      </c>
      <c r="B1145" s="193" t="s">
        <v>11</v>
      </c>
      <c r="C1145" s="194" t="s">
        <v>1239</v>
      </c>
      <c r="D1145" s="105">
        <v>93.999999999999943</v>
      </c>
      <c r="E1145" s="105"/>
      <c r="F1145" s="105">
        <v>49.364808219178059</v>
      </c>
      <c r="G1145" s="105"/>
      <c r="H1145" s="105">
        <v>30.616100456620991</v>
      </c>
      <c r="I1145" s="105">
        <v>14.019091324200907</v>
      </c>
      <c r="J1145" s="105"/>
      <c r="K1145" s="105"/>
      <c r="L1145" s="105">
        <v>0</v>
      </c>
      <c r="M1145" s="105"/>
      <c r="N1145" s="105">
        <v>14.019091324200907</v>
      </c>
      <c r="O1145" s="105">
        <v>7.1100913242009103</v>
      </c>
      <c r="P1145" s="105">
        <v>6.9089999999999963</v>
      </c>
      <c r="Q1145" s="105">
        <v>0</v>
      </c>
      <c r="R1145" s="105"/>
      <c r="S1145" s="105"/>
      <c r="T1145" s="105">
        <v>93.999999999999957</v>
      </c>
      <c r="U1145" s="111"/>
      <c r="V1145" s="111" t="s">
        <v>1136</v>
      </c>
      <c r="W1145" s="111"/>
      <c r="X1145" s="111"/>
      <c r="Y1145" s="111"/>
    </row>
    <row r="1146" spans="1:25" x14ac:dyDescent="0.25">
      <c r="A1146" s="104">
        <v>11</v>
      </c>
      <c r="B1146" s="193" t="s">
        <v>12</v>
      </c>
      <c r="C1146" s="194" t="s">
        <v>1245</v>
      </c>
      <c r="D1146" s="105">
        <v>184266.00000000006</v>
      </c>
      <c r="E1146" s="105"/>
      <c r="F1146" s="105">
        <v>143510.51003243701</v>
      </c>
      <c r="G1146" s="105"/>
      <c r="H1146" s="105">
        <v>0</v>
      </c>
      <c r="I1146" s="105">
        <v>40755.489967563044</v>
      </c>
      <c r="J1146" s="105"/>
      <c r="K1146" s="105"/>
      <c r="L1146" s="105">
        <v>0</v>
      </c>
      <c r="M1146" s="105"/>
      <c r="N1146" s="105">
        <v>40755.489967563044</v>
      </c>
      <c r="O1146" s="105">
        <v>20670.045506565279</v>
      </c>
      <c r="P1146" s="105">
        <v>20085.444460997765</v>
      </c>
      <c r="Q1146" s="105">
        <v>0</v>
      </c>
      <c r="R1146" s="105"/>
      <c r="S1146" s="105"/>
      <c r="T1146" s="105">
        <v>184266.00000000006</v>
      </c>
      <c r="U1146" s="111"/>
      <c r="V1146" s="111" t="s">
        <v>1136</v>
      </c>
      <c r="W1146" s="111"/>
      <c r="X1146" s="111"/>
      <c r="Y1146" s="111"/>
    </row>
    <row r="1147" spans="1:25" x14ac:dyDescent="0.25">
      <c r="A1147" s="104">
        <v>12</v>
      </c>
      <c r="B1147" s="193" t="s">
        <v>17</v>
      </c>
      <c r="C1147" s="13"/>
      <c r="D1147" s="105">
        <v>41948876.484556049</v>
      </c>
      <c r="E1147" s="105"/>
      <c r="F1147" s="105">
        <v>39294287.14586772</v>
      </c>
      <c r="G1147" s="105"/>
      <c r="H1147" s="105">
        <v>1792790.5990978819</v>
      </c>
      <c r="I1147" s="105">
        <v>861798.73959044379</v>
      </c>
      <c r="J1147" s="105"/>
      <c r="K1147" s="105"/>
      <c r="L1147" s="105">
        <v>125.66838053228177</v>
      </c>
      <c r="M1147" s="105"/>
      <c r="N1147" s="105">
        <v>861673.07120991149</v>
      </c>
      <c r="O1147" s="105">
        <v>437016.50030133908</v>
      </c>
      <c r="P1147" s="105">
        <v>424656.57090857247</v>
      </c>
      <c r="Q1147" s="105">
        <v>0</v>
      </c>
      <c r="R1147" s="105"/>
      <c r="S1147" s="105"/>
      <c r="T1147" s="105">
        <v>41948876.484556049</v>
      </c>
      <c r="U1147" s="111"/>
      <c r="V1147" s="111" t="s">
        <v>1137</v>
      </c>
      <c r="W1147" s="111"/>
    </row>
    <row r="1148" spans="1:25" x14ac:dyDescent="0.25">
      <c r="A1148" s="104"/>
      <c r="B1148" s="193"/>
      <c r="C1148" s="13"/>
      <c r="D1148" s="105"/>
      <c r="E1148" s="105"/>
      <c r="F1148" s="105"/>
      <c r="G1148" s="105"/>
      <c r="H1148" s="105"/>
      <c r="I1148" s="105"/>
      <c r="J1148" s="105"/>
      <c r="K1148" s="105"/>
      <c r="L1148" s="105"/>
      <c r="M1148" s="105"/>
      <c r="N1148" s="105"/>
      <c r="O1148" s="105"/>
      <c r="P1148" s="105"/>
      <c r="Q1148" s="105"/>
      <c r="R1148" s="105"/>
      <c r="S1148" s="105"/>
      <c r="T1148" s="105"/>
      <c r="V1148" s="108"/>
      <c r="W1148" s="111"/>
    </row>
    <row r="1149" spans="1:25" x14ac:dyDescent="0.25">
      <c r="A1149" s="104">
        <v>13</v>
      </c>
      <c r="B1149" s="193" t="s">
        <v>18</v>
      </c>
      <c r="C1149" s="13"/>
      <c r="D1149" s="105">
        <v>250291649.9209038</v>
      </c>
      <c r="E1149" s="105"/>
      <c r="F1149" s="105">
        <v>234328724.64887768</v>
      </c>
      <c r="G1149" s="105"/>
      <c r="H1149" s="105">
        <v>10815590.43090052</v>
      </c>
      <c r="I1149" s="105">
        <v>5147334.8411256094</v>
      </c>
      <c r="J1149" s="105"/>
      <c r="K1149" s="105"/>
      <c r="L1149" s="105">
        <v>749.31622526781746</v>
      </c>
      <c r="M1149" s="105"/>
      <c r="N1149" s="105">
        <v>5146585.5249003414</v>
      </c>
      <c r="O1149" s="105">
        <v>2610204.3451762521</v>
      </c>
      <c r="P1149" s="105">
        <v>2536381.1797240889</v>
      </c>
      <c r="Q1149" s="105">
        <v>0</v>
      </c>
      <c r="R1149" s="105"/>
      <c r="S1149" s="105"/>
      <c r="T1149" s="105"/>
      <c r="V1149" s="108"/>
      <c r="W1149" s="111"/>
    </row>
    <row r="1150" spans="1:25" x14ac:dyDescent="0.25">
      <c r="A1150" s="13"/>
      <c r="B1150" s="13"/>
      <c r="C1150" s="13"/>
      <c r="D1150" s="105"/>
      <c r="E1150" s="105"/>
      <c r="F1150" s="105"/>
      <c r="G1150" s="105"/>
      <c r="H1150" s="105"/>
      <c r="I1150" s="105"/>
      <c r="J1150" s="105"/>
      <c r="K1150" s="105"/>
      <c r="L1150" s="105"/>
      <c r="M1150" s="105"/>
      <c r="N1150" s="105"/>
      <c r="O1150" s="105"/>
      <c r="P1150" s="105"/>
      <c r="Q1150" s="105"/>
      <c r="R1150" s="105"/>
      <c r="S1150" s="105"/>
      <c r="T1150" s="105"/>
      <c r="W1150" s="111"/>
    </row>
    <row r="1151" spans="1:25" x14ac:dyDescent="0.25">
      <c r="A1151" s="13"/>
      <c r="B1151" s="193" t="s">
        <v>19</v>
      </c>
      <c r="C1151" s="13"/>
      <c r="D1151" s="105"/>
      <c r="E1151" s="105"/>
      <c r="F1151" s="105"/>
      <c r="G1151" s="105"/>
      <c r="H1151" s="105"/>
      <c r="I1151" s="105"/>
      <c r="J1151" s="105"/>
      <c r="K1151" s="105"/>
      <c r="L1151" s="105"/>
      <c r="M1151" s="105"/>
      <c r="N1151" s="105"/>
      <c r="O1151" s="105"/>
      <c r="P1151" s="105"/>
      <c r="Q1151" s="105"/>
      <c r="R1151" s="105"/>
      <c r="S1151" s="105"/>
      <c r="T1151" s="105"/>
      <c r="W1151" s="111"/>
    </row>
    <row r="1152" spans="1:25" x14ac:dyDescent="0.25">
      <c r="A1152" s="104">
        <v>14</v>
      </c>
      <c r="B1152" s="193" t="s">
        <v>1033</v>
      </c>
      <c r="C1152" s="194" t="s">
        <v>2028</v>
      </c>
      <c r="D1152" s="105">
        <v>25056141.37025103</v>
      </c>
      <c r="E1152" s="105"/>
      <c r="F1152" s="105">
        <v>23941155.528574456</v>
      </c>
      <c r="G1152" s="105"/>
      <c r="H1152" s="105">
        <v>1114909.1874242588</v>
      </c>
      <c r="I1152" s="105">
        <v>76.654252318271475</v>
      </c>
      <c r="J1152" s="105"/>
      <c r="K1152" s="105"/>
      <c r="L1152" s="105">
        <v>76.654252318271475</v>
      </c>
      <c r="M1152" s="105"/>
      <c r="N1152" s="105">
        <v>0</v>
      </c>
      <c r="O1152" s="105">
        <v>0</v>
      </c>
      <c r="P1152" s="105">
        <v>0</v>
      </c>
      <c r="Q1152" s="105">
        <v>0</v>
      </c>
      <c r="R1152" s="105"/>
      <c r="S1152" s="105"/>
      <c r="T1152" s="105">
        <v>25056141.370251033</v>
      </c>
      <c r="V1152" s="15" t="s">
        <v>1138</v>
      </c>
      <c r="W1152" s="111"/>
    </row>
    <row r="1153" spans="1:28" x14ac:dyDescent="0.25">
      <c r="A1153" s="104">
        <v>15</v>
      </c>
      <c r="B1153" s="193" t="s">
        <v>1036</v>
      </c>
      <c r="C1153" s="194" t="s">
        <v>1313</v>
      </c>
      <c r="D1153" s="105">
        <v>1521680.3648231993</v>
      </c>
      <c r="E1153" s="105"/>
      <c r="F1153" s="105">
        <v>184158.40107167442</v>
      </c>
      <c r="G1153" s="105"/>
      <c r="H1153" s="105">
        <v>1337521.3726287121</v>
      </c>
      <c r="I1153" s="105">
        <v>0.59112281271000333</v>
      </c>
      <c r="J1153" s="105"/>
      <c r="K1153" s="105"/>
      <c r="L1153" s="105">
        <v>0.59112281271000333</v>
      </c>
      <c r="M1153" s="105"/>
      <c r="N1153" s="105">
        <v>0</v>
      </c>
      <c r="O1153" s="105">
        <v>0</v>
      </c>
      <c r="P1153" s="105">
        <v>0</v>
      </c>
      <c r="Q1153" s="105">
        <v>0</v>
      </c>
      <c r="R1153" s="105"/>
      <c r="S1153" s="105"/>
      <c r="T1153" s="105">
        <v>1521680.3648231996</v>
      </c>
      <c r="U1153" s="111"/>
      <c r="V1153" s="108" t="s">
        <v>1137</v>
      </c>
      <c r="W1153" s="111"/>
      <c r="X1153" s="111"/>
      <c r="Y1153" s="111"/>
      <c r="Z1153" s="111"/>
      <c r="AA1153" s="111"/>
    </row>
    <row r="1154" spans="1:28" x14ac:dyDescent="0.25">
      <c r="A1154" s="104">
        <v>17</v>
      </c>
      <c r="B1154" s="193" t="s">
        <v>1024</v>
      </c>
      <c r="C1154" s="194" t="s">
        <v>1239</v>
      </c>
      <c r="D1154" s="105">
        <v>63243.999999999942</v>
      </c>
      <c r="E1154" s="105"/>
      <c r="F1154" s="105">
        <v>33213.063095890378</v>
      </c>
      <c r="G1154" s="105"/>
      <c r="H1154" s="105">
        <v>20598.772949771672</v>
      </c>
      <c r="I1154" s="105">
        <v>9432.1639543378915</v>
      </c>
      <c r="J1154" s="105"/>
      <c r="K1154" s="105"/>
      <c r="L1154" s="105">
        <v>0</v>
      </c>
      <c r="M1154" s="105"/>
      <c r="N1154" s="105">
        <v>9432.1639543378915</v>
      </c>
      <c r="O1154" s="105">
        <v>4783.7299543378949</v>
      </c>
      <c r="P1154" s="105">
        <v>4648.4339999999956</v>
      </c>
      <c r="Q1154" s="105">
        <v>0</v>
      </c>
      <c r="R1154" s="105"/>
      <c r="S1154" s="105"/>
      <c r="T1154" s="105">
        <v>63243.999999999942</v>
      </c>
      <c r="U1154" s="111"/>
      <c r="V1154" s="108" t="s">
        <v>1136</v>
      </c>
      <c r="W1154" s="111"/>
    </row>
    <row r="1155" spans="1:28" x14ac:dyDescent="0.25">
      <c r="A1155" s="104">
        <v>18</v>
      </c>
      <c r="B1155" s="193" t="s">
        <v>1025</v>
      </c>
      <c r="C1155" s="194" t="s">
        <v>1245</v>
      </c>
      <c r="D1155" s="105">
        <v>32052</v>
      </c>
      <c r="E1155" s="105"/>
      <c r="F1155" s="105">
        <v>24962.819334872791</v>
      </c>
      <c r="G1155" s="105"/>
      <c r="H1155" s="105">
        <v>0</v>
      </c>
      <c r="I1155" s="105">
        <v>7089.1806651272091</v>
      </c>
      <c r="J1155" s="105"/>
      <c r="K1155" s="105"/>
      <c r="L1155" s="105">
        <v>0</v>
      </c>
      <c r="M1155" s="105"/>
      <c r="N1155" s="105">
        <v>7089.1806651272091</v>
      </c>
      <c r="O1155" s="105">
        <v>3595.4343100541068</v>
      </c>
      <c r="P1155" s="105">
        <v>3493.7463550731018</v>
      </c>
      <c r="Q1155" s="105">
        <v>0</v>
      </c>
      <c r="R1155" s="105"/>
      <c r="S1155" s="105"/>
      <c r="T1155" s="105">
        <v>32052</v>
      </c>
      <c r="U1155" s="111"/>
      <c r="V1155" s="111" t="s">
        <v>1136</v>
      </c>
      <c r="W1155" s="111"/>
      <c r="X1155" s="111"/>
      <c r="Y1155" s="111"/>
    </row>
    <row r="1156" spans="1:28" x14ac:dyDescent="0.25">
      <c r="A1156" s="104">
        <v>19</v>
      </c>
      <c r="B1156" s="193" t="s">
        <v>20</v>
      </c>
      <c r="C1156" s="13"/>
      <c r="D1156" s="105">
        <v>26673117.73507423</v>
      </c>
      <c r="E1156" s="105"/>
      <c r="F1156" s="105">
        <v>24183489.812076893</v>
      </c>
      <c r="G1156" s="105"/>
      <c r="H1156" s="105">
        <v>2473029.3330027424</v>
      </c>
      <c r="I1156" s="105">
        <v>16598.589994596081</v>
      </c>
      <c r="J1156" s="105"/>
      <c r="K1156" s="105"/>
      <c r="L1156" s="105">
        <v>77.245375130981472</v>
      </c>
      <c r="M1156" s="105"/>
      <c r="N1156" s="105">
        <v>16521.344619465101</v>
      </c>
      <c r="O1156" s="105">
        <v>8379.1642643920022</v>
      </c>
      <c r="P1156" s="105">
        <v>8142.1803550730974</v>
      </c>
      <c r="Q1156" s="105">
        <v>0</v>
      </c>
      <c r="R1156" s="105"/>
      <c r="S1156" s="105"/>
      <c r="T1156" s="105">
        <v>26673117.735074233</v>
      </c>
      <c r="U1156" s="111"/>
      <c r="V1156" s="111" t="s">
        <v>1137</v>
      </c>
      <c r="W1156" s="111"/>
    </row>
    <row r="1157" spans="1:28" x14ac:dyDescent="0.25">
      <c r="A1157" s="13"/>
      <c r="B1157" s="13"/>
      <c r="C1157" s="13"/>
      <c r="D1157" s="105"/>
      <c r="E1157" s="105"/>
      <c r="F1157" s="105"/>
      <c r="G1157" s="105"/>
      <c r="H1157" s="105"/>
      <c r="I1157" s="105"/>
      <c r="J1157" s="105"/>
      <c r="K1157" s="105"/>
      <c r="L1157" s="105"/>
      <c r="M1157" s="105"/>
      <c r="N1157" s="105"/>
      <c r="O1157" s="105"/>
      <c r="P1157" s="105"/>
      <c r="Q1157" s="105"/>
      <c r="R1157" s="105"/>
      <c r="S1157" s="105"/>
      <c r="T1157" s="105"/>
      <c r="V1157" s="108"/>
      <c r="W1157" s="111"/>
    </row>
    <row r="1158" spans="1:28" x14ac:dyDescent="0.25">
      <c r="A1158" s="13"/>
      <c r="B1158" s="193" t="s">
        <v>783</v>
      </c>
      <c r="C1158" s="13"/>
      <c r="D1158" s="105"/>
      <c r="E1158" s="105"/>
      <c r="F1158" s="105"/>
      <c r="G1158" s="105"/>
      <c r="H1158" s="105"/>
      <c r="I1158" s="105"/>
      <c r="J1158" s="105"/>
      <c r="K1158" s="105"/>
      <c r="L1158" s="105"/>
      <c r="M1158" s="105"/>
      <c r="N1158" s="105"/>
      <c r="O1158" s="105"/>
      <c r="P1158" s="105"/>
      <c r="Q1158" s="105"/>
      <c r="R1158" s="105"/>
      <c r="S1158" s="105"/>
      <c r="T1158" s="105"/>
      <c r="W1158" s="111"/>
    </row>
    <row r="1159" spans="1:28" x14ac:dyDescent="0.25">
      <c r="A1159" s="104">
        <v>20</v>
      </c>
      <c r="B1159" s="196" t="s">
        <v>1984</v>
      </c>
      <c r="C1159" s="194" t="s">
        <v>895</v>
      </c>
      <c r="D1159" s="105">
        <v>47584250.54141815</v>
      </c>
      <c r="E1159" s="105"/>
      <c r="F1159" s="105">
        <v>47494087.914362222</v>
      </c>
      <c r="G1159" s="105"/>
      <c r="H1159" s="105">
        <v>0</v>
      </c>
      <c r="I1159" s="105">
        <v>90162.627055926132</v>
      </c>
      <c r="J1159" s="105"/>
      <c r="K1159" s="105"/>
      <c r="L1159" s="105">
        <v>0</v>
      </c>
      <c r="M1159" s="105"/>
      <c r="N1159" s="105">
        <v>90162.627055926132</v>
      </c>
      <c r="O1159" s="105">
        <v>89502.034072181224</v>
      </c>
      <c r="P1159" s="105">
        <v>660.5929837449055</v>
      </c>
      <c r="Q1159" s="105">
        <v>0</v>
      </c>
      <c r="R1159" s="105"/>
      <c r="S1159" s="105"/>
      <c r="T1159" s="105">
        <v>47584250.54141815</v>
      </c>
      <c r="V1159" s="15" t="s">
        <v>1137</v>
      </c>
      <c r="W1159" s="111"/>
    </row>
    <row r="1160" spans="1:28" x14ac:dyDescent="0.25">
      <c r="A1160" s="104">
        <v>21</v>
      </c>
      <c r="B1160" s="196" t="s">
        <v>1985</v>
      </c>
      <c r="C1160" s="194" t="s">
        <v>28</v>
      </c>
      <c r="D1160" s="105">
        <v>2478293.0258888593</v>
      </c>
      <c r="E1160" s="105"/>
      <c r="F1160" s="105">
        <v>0</v>
      </c>
      <c r="G1160" s="105"/>
      <c r="H1160" s="105">
        <v>2478293.0258888593</v>
      </c>
      <c r="I1160" s="105">
        <v>0</v>
      </c>
      <c r="J1160" s="105"/>
      <c r="K1160" s="105"/>
      <c r="L1160" s="105">
        <v>0</v>
      </c>
      <c r="M1160" s="105"/>
      <c r="N1160" s="105">
        <v>0</v>
      </c>
      <c r="O1160" s="105">
        <v>0</v>
      </c>
      <c r="P1160" s="105">
        <v>0</v>
      </c>
      <c r="Q1160" s="105">
        <v>0</v>
      </c>
      <c r="R1160" s="105"/>
      <c r="S1160" s="105"/>
      <c r="T1160" s="105">
        <v>2478293.0258888593</v>
      </c>
      <c r="U1160" s="111"/>
      <c r="V1160" s="108" t="s">
        <v>1137</v>
      </c>
      <c r="W1160" s="111"/>
    </row>
    <row r="1161" spans="1:28" x14ac:dyDescent="0.25">
      <c r="A1161" s="104">
        <v>22</v>
      </c>
      <c r="B1161" s="196" t="s">
        <v>1986</v>
      </c>
      <c r="C1161" s="194" t="s">
        <v>30</v>
      </c>
      <c r="D1161" s="105">
        <v>4271.7860867520003</v>
      </c>
      <c r="E1161" s="105"/>
      <c r="F1161" s="105">
        <v>0</v>
      </c>
      <c r="G1161" s="105"/>
      <c r="H1161" s="105">
        <v>0</v>
      </c>
      <c r="I1161" s="105">
        <v>4271.7860867520003</v>
      </c>
      <c r="J1161" s="105"/>
      <c r="K1161" s="105"/>
      <c r="L1161" s="105">
        <v>4271.7860867520003</v>
      </c>
      <c r="M1161" s="105"/>
      <c r="N1161" s="105">
        <v>0</v>
      </c>
      <c r="O1161" s="105">
        <v>0</v>
      </c>
      <c r="P1161" s="105">
        <v>0</v>
      </c>
      <c r="Q1161" s="105">
        <v>0</v>
      </c>
      <c r="R1161" s="105"/>
      <c r="S1161" s="105"/>
      <c r="T1161" s="105">
        <v>4271.7860867520003</v>
      </c>
      <c r="U1161" s="111"/>
      <c r="V1161" s="108" t="s">
        <v>1137</v>
      </c>
      <c r="W1161" s="111"/>
      <c r="Y1161" s="55"/>
      <c r="Z1161" s="55"/>
      <c r="AA1161" s="55"/>
      <c r="AB1161" s="55"/>
    </row>
    <row r="1162" spans="1:28" x14ac:dyDescent="0.25">
      <c r="A1162" s="104">
        <v>23</v>
      </c>
      <c r="B1162" s="193" t="s">
        <v>21</v>
      </c>
      <c r="C1162" s="103"/>
      <c r="D1162" s="105">
        <v>50066815.353393763</v>
      </c>
      <c r="E1162" s="105"/>
      <c r="F1162" s="105">
        <v>47494087.914362222</v>
      </c>
      <c r="G1162" s="105"/>
      <c r="H1162" s="105">
        <v>2478293.0258888593</v>
      </c>
      <c r="I1162" s="105">
        <v>94434.413142678139</v>
      </c>
      <c r="J1162" s="105"/>
      <c r="K1162" s="105"/>
      <c r="L1162" s="105">
        <v>4271.7860867520003</v>
      </c>
      <c r="M1162" s="105"/>
      <c r="N1162" s="105">
        <v>90162.627055926132</v>
      </c>
      <c r="O1162" s="105">
        <v>89502.034072181224</v>
      </c>
      <c r="P1162" s="105">
        <v>660.5929837449055</v>
      </c>
      <c r="Q1162" s="105">
        <v>0</v>
      </c>
      <c r="R1162" s="105"/>
      <c r="S1162" s="105"/>
      <c r="T1162" s="105">
        <v>50066815.353393763</v>
      </c>
      <c r="U1162" s="111"/>
      <c r="V1162" s="108" t="s">
        <v>1137</v>
      </c>
      <c r="W1162" s="111"/>
      <c r="X1162" s="111"/>
      <c r="Y1162" s="55"/>
      <c r="Z1162" s="55"/>
      <c r="AA1162" s="55"/>
      <c r="AB1162" s="55"/>
    </row>
    <row r="1163" spans="1:28" x14ac:dyDescent="0.25">
      <c r="A1163" s="13"/>
      <c r="B1163" s="13"/>
      <c r="C1163" s="103"/>
      <c r="D1163" s="105"/>
      <c r="E1163" s="105"/>
      <c r="F1163" s="105"/>
      <c r="G1163" s="105"/>
      <c r="H1163" s="105"/>
      <c r="I1163" s="105"/>
      <c r="J1163" s="105"/>
      <c r="K1163" s="105"/>
      <c r="L1163" s="105"/>
      <c r="M1163" s="105"/>
      <c r="N1163" s="105"/>
      <c r="O1163" s="105"/>
      <c r="P1163" s="105"/>
      <c r="Q1163" s="105"/>
      <c r="R1163" s="105"/>
      <c r="S1163" s="105"/>
      <c r="T1163" s="105"/>
      <c r="V1163" s="108"/>
      <c r="W1163" s="111"/>
      <c r="Y1163" s="55"/>
      <c r="Z1163" s="154"/>
      <c r="AA1163" s="55"/>
      <c r="AB1163" s="55"/>
    </row>
    <row r="1164" spans="1:28" x14ac:dyDescent="0.25">
      <c r="A1164" s="104">
        <v>24</v>
      </c>
      <c r="B1164" s="193" t="s">
        <v>22</v>
      </c>
      <c r="C1164" s="194" t="s">
        <v>1412</v>
      </c>
      <c r="D1164" s="105">
        <v>13242025.228248553</v>
      </c>
      <c r="E1164" s="105"/>
      <c r="F1164" s="105">
        <v>12484170.978525421</v>
      </c>
      <c r="G1164" s="105"/>
      <c r="H1164" s="105">
        <v>604795.1551330965</v>
      </c>
      <c r="I1164" s="105">
        <v>153059.09459003547</v>
      </c>
      <c r="J1164" s="105"/>
      <c r="K1164" s="105"/>
      <c r="L1164" s="105">
        <v>883.06838478277859</v>
      </c>
      <c r="M1164" s="105"/>
      <c r="N1164" s="105">
        <v>152176.02620525268</v>
      </c>
      <c r="O1164" s="105">
        <v>79319.295482636633</v>
      </c>
      <c r="P1164" s="105">
        <v>72856.730722616063</v>
      </c>
      <c r="Q1164" s="105">
        <v>8.6538702774237587E-13</v>
      </c>
      <c r="R1164" s="105"/>
      <c r="S1164" s="105"/>
      <c r="T1164" s="105">
        <v>13242025.228248551</v>
      </c>
      <c r="V1164" s="15" t="s">
        <v>1137</v>
      </c>
      <c r="W1164" s="111"/>
      <c r="Y1164" s="55"/>
      <c r="Z1164" s="154"/>
      <c r="AA1164" s="55"/>
      <c r="AB1164" s="55"/>
    </row>
    <row r="1165" spans="1:28" x14ac:dyDescent="0.25">
      <c r="A1165" s="13"/>
      <c r="B1165" s="13"/>
      <c r="C1165" s="13"/>
      <c r="D1165" s="105"/>
      <c r="E1165" s="105"/>
      <c r="F1165" s="105"/>
      <c r="G1165" s="105"/>
      <c r="H1165" s="105"/>
      <c r="I1165" s="105"/>
      <c r="J1165" s="105"/>
      <c r="K1165" s="105"/>
      <c r="L1165" s="105"/>
      <c r="M1165" s="105"/>
      <c r="N1165" s="105"/>
      <c r="O1165" s="105"/>
      <c r="P1165" s="105"/>
      <c r="Q1165" s="105"/>
      <c r="R1165" s="105"/>
      <c r="S1165" s="105"/>
      <c r="T1165" s="105"/>
      <c r="U1165" s="111"/>
      <c r="V1165" s="108"/>
      <c r="W1165" s="111"/>
      <c r="X1165" s="111"/>
      <c r="Y1165" s="55"/>
      <c r="Z1165" s="154"/>
      <c r="AA1165" s="55"/>
      <c r="AB1165" s="55"/>
    </row>
    <row r="1166" spans="1:28" x14ac:dyDescent="0.25">
      <c r="A1166" s="104">
        <v>25</v>
      </c>
      <c r="B1166" s="196" t="s">
        <v>24</v>
      </c>
      <c r="C1166" s="197" t="s">
        <v>1835</v>
      </c>
      <c r="D1166" s="105">
        <v>18413300.904799987</v>
      </c>
      <c r="E1166" s="105"/>
      <c r="F1166" s="105">
        <v>17216465.511352856</v>
      </c>
      <c r="G1166" s="105"/>
      <c r="H1166" s="105">
        <v>929118.90012542892</v>
      </c>
      <c r="I1166" s="105">
        <v>267716.49332170276</v>
      </c>
      <c r="J1166" s="105"/>
      <c r="K1166" s="105"/>
      <c r="L1166" s="105">
        <v>1299.9820274525271</v>
      </c>
      <c r="M1166" s="105"/>
      <c r="N1166" s="105">
        <v>266416.5112942502</v>
      </c>
      <c r="O1166" s="105">
        <v>138469.14490650335</v>
      </c>
      <c r="P1166" s="105">
        <v>127947.36638774684</v>
      </c>
      <c r="Q1166" s="105">
        <v>2.7536097966673739E-14</v>
      </c>
      <c r="R1166" s="105"/>
      <c r="S1166" s="105"/>
      <c r="T1166" s="105">
        <v>18413300.90479999</v>
      </c>
      <c r="V1166" s="15" t="s">
        <v>1137</v>
      </c>
      <c r="W1166" s="111"/>
      <c r="Y1166" s="55"/>
      <c r="Z1166" s="154"/>
      <c r="AA1166" s="55"/>
      <c r="AB1166" s="55"/>
    </row>
    <row r="1167" spans="1:28" x14ac:dyDescent="0.25">
      <c r="A1167" s="13"/>
      <c r="B1167" s="13"/>
      <c r="C1167" s="13"/>
      <c r="D1167" s="105"/>
      <c r="E1167" s="105"/>
      <c r="F1167" s="105"/>
      <c r="G1167" s="105"/>
      <c r="H1167" s="105"/>
      <c r="I1167" s="105"/>
      <c r="J1167" s="105"/>
      <c r="K1167" s="105"/>
      <c r="L1167" s="105"/>
      <c r="M1167" s="105"/>
      <c r="N1167" s="105"/>
      <c r="O1167" s="105"/>
      <c r="P1167" s="105"/>
      <c r="Q1167" s="105"/>
      <c r="R1167" s="105"/>
      <c r="S1167" s="105"/>
      <c r="T1167" s="105"/>
      <c r="U1167" s="111"/>
      <c r="V1167" s="108"/>
      <c r="W1167" s="111"/>
      <c r="X1167" s="111"/>
      <c r="Y1167" s="55"/>
      <c r="Z1167" s="55"/>
      <c r="AA1167" s="55"/>
      <c r="AB1167" s="55"/>
    </row>
    <row r="1168" spans="1:28" x14ac:dyDescent="0.25">
      <c r="A1168" s="104">
        <v>26</v>
      </c>
      <c r="B1168" s="196" t="s">
        <v>23</v>
      </c>
      <c r="C1168" s="197" t="s">
        <v>1834</v>
      </c>
      <c r="D1168" s="105">
        <v>2029.8535296</v>
      </c>
      <c r="E1168" s="105"/>
      <c r="F1168" s="105">
        <v>2029.8535296</v>
      </c>
      <c r="G1168" s="105"/>
      <c r="H1168" s="105">
        <v>0</v>
      </c>
      <c r="I1168" s="105">
        <v>0</v>
      </c>
      <c r="J1168" s="105"/>
      <c r="K1168" s="105"/>
      <c r="L1168" s="105">
        <v>0</v>
      </c>
      <c r="M1168" s="105"/>
      <c r="N1168" s="105">
        <v>0</v>
      </c>
      <c r="O1168" s="105">
        <v>0</v>
      </c>
      <c r="P1168" s="105">
        <v>0</v>
      </c>
      <c r="Q1168" s="105">
        <v>0</v>
      </c>
      <c r="R1168" s="105"/>
      <c r="S1168" s="105"/>
      <c r="T1168" s="105">
        <v>2029.8535296</v>
      </c>
      <c r="V1168" s="15" t="s">
        <v>1137</v>
      </c>
      <c r="W1168" s="111"/>
      <c r="Y1168" s="55"/>
      <c r="Z1168" s="55"/>
      <c r="AA1168" s="55"/>
      <c r="AB1168" s="55"/>
    </row>
    <row r="1169" spans="1:33" x14ac:dyDescent="0.25">
      <c r="A1169" s="13"/>
      <c r="B1169" s="13"/>
      <c r="C1169" s="103"/>
      <c r="D1169" s="105"/>
      <c r="E1169" s="105"/>
      <c r="F1169" s="105"/>
      <c r="G1169" s="105"/>
      <c r="H1169" s="105"/>
      <c r="I1169" s="105"/>
      <c r="J1169" s="105"/>
      <c r="K1169" s="105"/>
      <c r="L1169" s="105"/>
      <c r="M1169" s="105"/>
      <c r="N1169" s="105"/>
      <c r="O1169" s="105"/>
      <c r="P1169" s="105"/>
      <c r="Q1169" s="105"/>
      <c r="R1169" s="105"/>
      <c r="S1169" s="105"/>
      <c r="T1169" s="105"/>
      <c r="U1169" s="111"/>
      <c r="V1169" s="108"/>
      <c r="W1169" s="111"/>
      <c r="X1169" s="111"/>
      <c r="Y1169" s="111" t="s">
        <v>2179</v>
      </c>
    </row>
    <row r="1170" spans="1:33" x14ac:dyDescent="0.25">
      <c r="A1170" s="104">
        <v>27</v>
      </c>
      <c r="B1170" s="193" t="s">
        <v>774</v>
      </c>
      <c r="C1170" s="103"/>
      <c r="D1170" s="105">
        <v>358688938.99594986</v>
      </c>
      <c r="E1170" s="105"/>
      <c r="F1170" s="105">
        <v>335708968.71872461</v>
      </c>
      <c r="G1170" s="105"/>
      <c r="H1170" s="105">
        <v>17300826.845050648</v>
      </c>
      <c r="I1170" s="105">
        <v>5679143.4321746202</v>
      </c>
      <c r="J1170" s="105"/>
      <c r="K1170" s="105"/>
      <c r="L1170" s="105">
        <v>7281.3980993861051</v>
      </c>
      <c r="M1170" s="105"/>
      <c r="N1170" s="105">
        <v>5671862.0340752341</v>
      </c>
      <c r="O1170" s="105">
        <v>2925873.983901965</v>
      </c>
      <c r="P1170" s="105">
        <v>2745988.0501732696</v>
      </c>
      <c r="Q1170" s="105">
        <v>2.7536097966673739E-14</v>
      </c>
      <c r="R1170" s="105"/>
      <c r="S1170" s="105"/>
      <c r="T1170" s="105"/>
      <c r="U1170" s="111"/>
      <c r="W1170" s="111"/>
      <c r="Y1170" s="16">
        <v>358688938.99594933</v>
      </c>
      <c r="Z1170" s="16"/>
      <c r="AA1170" s="16">
        <v>358688938.99594933</v>
      </c>
      <c r="AB1170" s="16"/>
    </row>
    <row r="1171" spans="1:33" x14ac:dyDescent="0.25">
      <c r="A1171" s="104"/>
      <c r="B1171" s="193"/>
      <c r="C1171" s="103"/>
      <c r="D1171" s="105"/>
      <c r="E1171" s="105"/>
      <c r="F1171" s="105"/>
      <c r="G1171" s="105"/>
      <c r="H1171" s="105"/>
      <c r="I1171" s="105"/>
      <c r="J1171" s="105"/>
      <c r="K1171" s="105"/>
      <c r="L1171" s="105"/>
      <c r="M1171" s="105"/>
      <c r="N1171" s="105"/>
      <c r="O1171" s="105"/>
      <c r="P1171" s="105"/>
      <c r="Q1171" s="105"/>
      <c r="R1171" s="105"/>
      <c r="S1171" s="105"/>
      <c r="T1171" s="105"/>
      <c r="U1171" s="111"/>
      <c r="W1171" s="111"/>
      <c r="Y1171" s="54"/>
      <c r="Z1171" s="16"/>
      <c r="AA1171" s="16"/>
      <c r="AB1171" s="121">
        <v>-4.76837158203125E-7</v>
      </c>
      <c r="AC1171" s="108"/>
    </row>
    <row r="1172" spans="1:33" x14ac:dyDescent="0.25">
      <c r="A1172" s="104"/>
      <c r="B1172" s="193"/>
      <c r="C1172" s="103"/>
      <c r="D1172" s="105"/>
      <c r="E1172" s="105"/>
      <c r="F1172" s="105"/>
      <c r="G1172" s="105"/>
      <c r="H1172" s="105"/>
      <c r="I1172" s="105"/>
      <c r="J1172" s="105"/>
      <c r="K1172" s="105"/>
      <c r="L1172" s="105"/>
      <c r="M1172" s="105"/>
      <c r="N1172" s="105"/>
      <c r="O1172" s="105"/>
      <c r="P1172" s="105"/>
      <c r="Q1172" s="105"/>
      <c r="R1172" s="105"/>
      <c r="S1172" s="105"/>
      <c r="T1172" s="105"/>
      <c r="U1172" s="111"/>
      <c r="W1172" s="111"/>
    </row>
    <row r="1173" spans="1:33" x14ac:dyDescent="0.25">
      <c r="A1173" s="104"/>
      <c r="B1173" s="205" t="s">
        <v>2087</v>
      </c>
      <c r="C1173" s="103"/>
      <c r="D1173" s="105"/>
      <c r="E1173" s="105"/>
      <c r="F1173" s="105"/>
      <c r="G1173" s="105"/>
      <c r="H1173" s="105"/>
      <c r="I1173" s="105"/>
      <c r="J1173" s="105"/>
      <c r="K1173" s="105"/>
      <c r="L1173" s="105"/>
      <c r="M1173" s="105"/>
      <c r="N1173" s="105"/>
      <c r="O1173" s="105"/>
      <c r="P1173" s="105"/>
      <c r="Q1173" s="105"/>
      <c r="R1173" s="105"/>
      <c r="S1173" s="105"/>
      <c r="T1173" s="105"/>
      <c r="U1173" s="111"/>
      <c r="W1173" s="111"/>
    </row>
    <row r="1174" spans="1:33" x14ac:dyDescent="0.25">
      <c r="A1174" s="104"/>
      <c r="B1174" s="205"/>
      <c r="C1174" s="103"/>
      <c r="D1174" s="105"/>
      <c r="E1174" s="105"/>
      <c r="F1174" s="105"/>
      <c r="G1174" s="105"/>
      <c r="H1174" s="105"/>
      <c r="I1174" s="105"/>
      <c r="J1174" s="105"/>
      <c r="K1174" s="105"/>
      <c r="L1174" s="105"/>
      <c r="M1174" s="105"/>
      <c r="N1174" s="105"/>
      <c r="O1174" s="105"/>
      <c r="P1174" s="105"/>
      <c r="Q1174" s="105"/>
      <c r="R1174" s="105"/>
      <c r="S1174" s="105"/>
      <c r="T1174" s="105"/>
      <c r="U1174" s="111"/>
      <c r="W1174" s="111"/>
    </row>
    <row r="1175" spans="1:33" x14ac:dyDescent="0.25">
      <c r="A1175" s="104"/>
      <c r="B1175" s="193" t="s">
        <v>2088</v>
      </c>
      <c r="C1175" s="103"/>
      <c r="D1175" s="105"/>
      <c r="E1175" s="105"/>
      <c r="F1175" s="105"/>
      <c r="G1175" s="105"/>
      <c r="H1175" s="105"/>
      <c r="I1175" s="105"/>
      <c r="J1175" s="105"/>
      <c r="K1175" s="105"/>
      <c r="L1175" s="105"/>
      <c r="M1175" s="105"/>
      <c r="N1175" s="105"/>
      <c r="O1175" s="105"/>
      <c r="P1175" s="105"/>
      <c r="Q1175" s="105"/>
      <c r="R1175" s="105"/>
      <c r="S1175" s="105"/>
      <c r="T1175" s="105"/>
      <c r="U1175" s="111"/>
      <c r="W1175" s="111"/>
      <c r="AB1175" s="131"/>
    </row>
    <row r="1176" spans="1:33" x14ac:dyDescent="0.25">
      <c r="A1176" s="104"/>
      <c r="B1176" s="193"/>
      <c r="C1176" s="103"/>
      <c r="D1176" s="105"/>
      <c r="E1176" s="105"/>
      <c r="F1176" s="105"/>
      <c r="G1176" s="105"/>
      <c r="H1176" s="105"/>
      <c r="I1176" s="105"/>
      <c r="J1176" s="105"/>
      <c r="K1176" s="105"/>
      <c r="L1176" s="105"/>
      <c r="M1176" s="105"/>
      <c r="N1176" s="105"/>
      <c r="O1176" s="105"/>
      <c r="P1176" s="105"/>
      <c r="Q1176" s="105"/>
      <c r="R1176" s="105"/>
      <c r="S1176" s="105"/>
      <c r="T1176" s="105"/>
      <c r="U1176" s="111"/>
      <c r="W1176" s="111"/>
    </row>
    <row r="1177" spans="1:33" x14ac:dyDescent="0.25">
      <c r="A1177" s="13"/>
      <c r="B1177" s="193" t="s">
        <v>7</v>
      </c>
      <c r="C1177" s="103"/>
      <c r="D1177" s="105"/>
      <c r="E1177" s="105"/>
      <c r="F1177" s="105"/>
      <c r="G1177" s="105"/>
      <c r="H1177" s="105"/>
      <c r="I1177" s="105"/>
      <c r="J1177" s="105"/>
      <c r="K1177" s="105"/>
      <c r="L1177" s="105"/>
      <c r="M1177" s="105"/>
      <c r="N1177" s="105"/>
      <c r="O1177" s="105"/>
      <c r="P1177" s="105"/>
      <c r="Q1177" s="105"/>
      <c r="R1177" s="105"/>
      <c r="S1177" s="105"/>
      <c r="T1177" s="105"/>
      <c r="U1177" s="111"/>
      <c r="W1177" s="111"/>
      <c r="Y1177" s="15" t="s">
        <v>2114</v>
      </c>
      <c r="Z1177" s="15" t="s">
        <v>2151</v>
      </c>
      <c r="AA1177" s="15" t="s">
        <v>2152</v>
      </c>
    </row>
    <row r="1178" spans="1:33" x14ac:dyDescent="0.25">
      <c r="A1178" s="13">
        <v>1</v>
      </c>
      <c r="B1178" s="193" t="s">
        <v>8</v>
      </c>
      <c r="C1178" s="194" t="s">
        <v>1983</v>
      </c>
      <c r="D1178" s="105">
        <v>9627285.11531399</v>
      </c>
      <c r="E1178" s="105"/>
      <c r="F1178" s="105">
        <v>8493973.3153139893</v>
      </c>
      <c r="G1178" s="105"/>
      <c r="H1178" s="105">
        <v>1133311.8</v>
      </c>
      <c r="I1178" s="105">
        <v>0</v>
      </c>
      <c r="J1178" s="105"/>
      <c r="K1178" s="105"/>
      <c r="L1178" s="105">
        <v>0</v>
      </c>
      <c r="M1178" s="105"/>
      <c r="N1178" s="105">
        <v>0</v>
      </c>
      <c r="O1178" s="105">
        <v>0</v>
      </c>
      <c r="P1178" s="105">
        <v>0</v>
      </c>
      <c r="Q1178" s="105"/>
      <c r="R1178" s="105"/>
      <c r="S1178" s="105"/>
      <c r="T1178" s="105">
        <v>0</v>
      </c>
      <c r="U1178" s="111"/>
      <c r="V1178" s="15" t="s">
        <v>2115</v>
      </c>
      <c r="W1178" s="111"/>
      <c r="X1178" s="15">
        <v>0</v>
      </c>
      <c r="Y1178" s="152">
        <v>9627285.1153139807</v>
      </c>
      <c r="Z1178" s="118">
        <v>8493973.3153139893</v>
      </c>
      <c r="AA1178" s="118">
        <v>1133311.8</v>
      </c>
      <c r="AB1178" s="16" t="s">
        <v>2174</v>
      </c>
      <c r="AC1178" s="16" t="s">
        <v>1219</v>
      </c>
      <c r="AD1178" s="16" t="s">
        <v>62</v>
      </c>
      <c r="AE1178" s="15" t="s">
        <v>1976</v>
      </c>
      <c r="AF1178" s="15" t="s">
        <v>424</v>
      </c>
    </row>
    <row r="1179" spans="1:33" x14ac:dyDescent="0.25">
      <c r="A1179" s="13">
        <v>2</v>
      </c>
      <c r="B1179" s="193" t="s">
        <v>14</v>
      </c>
      <c r="C1179" s="194" t="s">
        <v>1398</v>
      </c>
      <c r="D1179" s="105">
        <v>0</v>
      </c>
      <c r="E1179" s="105"/>
      <c r="F1179" s="105">
        <v>0</v>
      </c>
      <c r="G1179" s="105"/>
      <c r="H1179" s="105">
        <v>0</v>
      </c>
      <c r="I1179" s="105">
        <v>0</v>
      </c>
      <c r="J1179" s="105"/>
      <c r="K1179" s="105"/>
      <c r="L1179" s="105">
        <v>0</v>
      </c>
      <c r="M1179" s="105"/>
      <c r="N1179" s="105">
        <v>0</v>
      </c>
      <c r="O1179" s="105">
        <v>0</v>
      </c>
      <c r="P1179" s="105">
        <v>0</v>
      </c>
      <c r="Q1179" s="105">
        <v>0</v>
      </c>
      <c r="R1179" s="105"/>
      <c r="S1179" s="105"/>
      <c r="T1179" s="105">
        <v>0</v>
      </c>
      <c r="U1179" s="111"/>
      <c r="W1179" s="111"/>
      <c r="X1179" s="90"/>
      <c r="Y1179" s="118"/>
      <c r="Z1179" s="118"/>
      <c r="AA1179" s="16"/>
      <c r="AB1179" s="16">
        <v>0</v>
      </c>
      <c r="AC1179" s="16">
        <v>0</v>
      </c>
      <c r="AD1179" s="16">
        <v>9626787.95659611</v>
      </c>
      <c r="AE1179" s="15">
        <v>0</v>
      </c>
      <c r="AF1179" s="15">
        <v>0</v>
      </c>
      <c r="AG1179" s="15" t="s">
        <v>2101</v>
      </c>
    </row>
    <row r="1180" spans="1:33" x14ac:dyDescent="0.25">
      <c r="A1180" s="13">
        <v>3</v>
      </c>
      <c r="B1180" s="193" t="s">
        <v>16</v>
      </c>
      <c r="C1180" s="194" t="s">
        <v>1400</v>
      </c>
      <c r="D1180" s="105">
        <v>0</v>
      </c>
      <c r="E1180" s="105"/>
      <c r="F1180" s="105">
        <v>0</v>
      </c>
      <c r="G1180" s="105"/>
      <c r="H1180" s="105">
        <v>0</v>
      </c>
      <c r="I1180" s="105">
        <v>0</v>
      </c>
      <c r="J1180" s="105"/>
      <c r="K1180" s="105"/>
      <c r="L1180" s="105">
        <v>0</v>
      </c>
      <c r="M1180" s="105"/>
      <c r="N1180" s="105">
        <v>0</v>
      </c>
      <c r="O1180" s="105">
        <v>0</v>
      </c>
      <c r="P1180" s="105">
        <v>0</v>
      </c>
      <c r="Q1180" s="105">
        <v>0</v>
      </c>
      <c r="R1180" s="105"/>
      <c r="S1180" s="105"/>
      <c r="T1180" s="105">
        <v>0</v>
      </c>
      <c r="U1180" s="111"/>
      <c r="W1180" s="111"/>
    </row>
    <row r="1181" spans="1:33" x14ac:dyDescent="0.25">
      <c r="A1181" s="13"/>
      <c r="B1181" s="193"/>
      <c r="C1181" s="194"/>
      <c r="D1181" s="105"/>
      <c r="E1181" s="105"/>
      <c r="F1181" s="105"/>
      <c r="G1181" s="105"/>
      <c r="H1181" s="105"/>
      <c r="I1181" s="105"/>
      <c r="J1181" s="105"/>
      <c r="K1181" s="105"/>
      <c r="L1181" s="105"/>
      <c r="M1181" s="105"/>
      <c r="N1181" s="105"/>
      <c r="O1181" s="105"/>
      <c r="P1181" s="105"/>
      <c r="Q1181" s="105"/>
      <c r="R1181" s="105"/>
      <c r="S1181" s="105"/>
      <c r="T1181" s="105"/>
      <c r="U1181" s="111"/>
      <c r="W1181" s="111"/>
    </row>
    <row r="1182" spans="1:33" x14ac:dyDescent="0.25">
      <c r="A1182" s="13">
        <v>4</v>
      </c>
      <c r="B1182" s="193" t="s">
        <v>18</v>
      </c>
      <c r="C1182" s="13"/>
      <c r="D1182" s="105">
        <v>9627285.11531399</v>
      </c>
      <c r="E1182" s="105"/>
      <c r="F1182" s="105">
        <v>8493973.3153139893</v>
      </c>
      <c r="G1182" s="105"/>
      <c r="H1182" s="105">
        <v>1133311.8</v>
      </c>
      <c r="I1182" s="105">
        <v>0</v>
      </c>
      <c r="J1182" s="105"/>
      <c r="K1182" s="105"/>
      <c r="L1182" s="105">
        <v>0</v>
      </c>
      <c r="M1182" s="105"/>
      <c r="N1182" s="105">
        <v>0</v>
      </c>
      <c r="O1182" s="105">
        <v>0</v>
      </c>
      <c r="P1182" s="105">
        <v>0</v>
      </c>
      <c r="Q1182" s="105">
        <v>0</v>
      </c>
      <c r="R1182" s="105"/>
      <c r="S1182" s="105"/>
      <c r="T1182" s="105"/>
      <c r="U1182" s="111"/>
      <c r="W1182" s="111"/>
    </row>
    <row r="1183" spans="1:33" x14ac:dyDescent="0.25">
      <c r="A1183" s="13"/>
      <c r="B1183" s="193"/>
      <c r="C1183" s="13"/>
      <c r="D1183" s="105"/>
      <c r="E1183" s="105"/>
      <c r="F1183" s="105"/>
      <c r="G1183" s="105"/>
      <c r="H1183" s="105"/>
      <c r="I1183" s="105"/>
      <c r="J1183" s="105"/>
      <c r="K1183" s="105"/>
      <c r="L1183" s="105"/>
      <c r="M1183" s="105"/>
      <c r="N1183" s="105"/>
      <c r="O1183" s="105"/>
      <c r="P1183" s="105"/>
      <c r="Q1183" s="105"/>
      <c r="R1183" s="105"/>
      <c r="S1183" s="105"/>
      <c r="T1183" s="105"/>
      <c r="U1183" s="111"/>
      <c r="W1183" s="111"/>
    </row>
    <row r="1184" spans="1:33" x14ac:dyDescent="0.25">
      <c r="A1184" s="13"/>
      <c r="B1184" s="193" t="s">
        <v>19</v>
      </c>
      <c r="C1184" s="13"/>
      <c r="D1184" s="105"/>
      <c r="E1184" s="105"/>
      <c r="F1184" s="105"/>
      <c r="G1184" s="105"/>
      <c r="H1184" s="105"/>
      <c r="I1184" s="105"/>
      <c r="J1184" s="105"/>
      <c r="K1184" s="105"/>
      <c r="L1184" s="105"/>
      <c r="M1184" s="105"/>
      <c r="N1184" s="105"/>
      <c r="O1184" s="105"/>
      <c r="P1184" s="105"/>
      <c r="Q1184" s="105"/>
      <c r="R1184" s="105"/>
      <c r="S1184" s="105"/>
      <c r="T1184" s="105"/>
      <c r="U1184" s="111"/>
      <c r="W1184" s="111"/>
    </row>
    <row r="1185" spans="1:26" x14ac:dyDescent="0.25">
      <c r="A1185" s="13">
        <v>5</v>
      </c>
      <c r="B1185" s="193" t="s">
        <v>1033</v>
      </c>
      <c r="C1185" s="194" t="s">
        <v>2028</v>
      </c>
      <c r="D1185" s="105">
        <v>0</v>
      </c>
      <c r="E1185" s="105"/>
      <c r="F1185" s="105">
        <v>0</v>
      </c>
      <c r="G1185" s="105"/>
      <c r="H1185" s="105">
        <v>0</v>
      </c>
      <c r="I1185" s="105">
        <v>0</v>
      </c>
      <c r="J1185" s="105"/>
      <c r="K1185" s="105"/>
      <c r="L1185" s="105">
        <v>0</v>
      </c>
      <c r="M1185" s="105"/>
      <c r="N1185" s="105">
        <v>0</v>
      </c>
      <c r="O1185" s="105">
        <v>0</v>
      </c>
      <c r="P1185" s="105">
        <v>0</v>
      </c>
      <c r="Q1185" s="105">
        <v>0</v>
      </c>
      <c r="R1185" s="105"/>
      <c r="S1185" s="105"/>
      <c r="T1185" s="105">
        <v>0</v>
      </c>
      <c r="U1185" s="111"/>
      <c r="V1185" s="15" t="s">
        <v>2115</v>
      </c>
      <c r="W1185" s="111"/>
    </row>
    <row r="1186" spans="1:26" x14ac:dyDescent="0.25">
      <c r="A1186" s="13">
        <v>6</v>
      </c>
      <c r="B1186" s="193" t="s">
        <v>1036</v>
      </c>
      <c r="C1186" s="194" t="s">
        <v>1313</v>
      </c>
      <c r="D1186" s="105">
        <v>0</v>
      </c>
      <c r="E1186" s="105"/>
      <c r="F1186" s="105">
        <v>0</v>
      </c>
      <c r="G1186" s="105"/>
      <c r="H1186" s="105">
        <v>0</v>
      </c>
      <c r="I1186" s="105">
        <v>0</v>
      </c>
      <c r="J1186" s="105"/>
      <c r="K1186" s="105"/>
      <c r="L1186" s="105">
        <v>0</v>
      </c>
      <c r="M1186" s="105"/>
      <c r="N1186" s="105">
        <v>0</v>
      </c>
      <c r="O1186" s="105">
        <v>0</v>
      </c>
      <c r="P1186" s="105">
        <v>0</v>
      </c>
      <c r="Q1186" s="105">
        <v>0</v>
      </c>
      <c r="R1186" s="105"/>
      <c r="S1186" s="105"/>
      <c r="T1186" s="105"/>
      <c r="U1186" s="111"/>
      <c r="W1186" s="111"/>
      <c r="Y1186" s="111"/>
      <c r="Z1186" s="111"/>
    </row>
    <row r="1187" spans="1:26" x14ac:dyDescent="0.25">
      <c r="A1187" s="13"/>
      <c r="B1187" s="193"/>
      <c r="C1187" s="103"/>
      <c r="D1187" s="105"/>
      <c r="E1187" s="105"/>
      <c r="F1187" s="105"/>
      <c r="G1187" s="105"/>
      <c r="H1187" s="105"/>
      <c r="I1187" s="105"/>
      <c r="J1187" s="105"/>
      <c r="K1187" s="105"/>
      <c r="L1187" s="105"/>
      <c r="M1187" s="105"/>
      <c r="N1187" s="105"/>
      <c r="O1187" s="105"/>
      <c r="P1187" s="105"/>
      <c r="Q1187" s="105"/>
      <c r="R1187" s="105"/>
      <c r="S1187" s="105"/>
      <c r="T1187" s="105"/>
      <c r="U1187" s="111"/>
      <c r="W1187" s="111"/>
    </row>
    <row r="1188" spans="1:26" x14ac:dyDescent="0.25">
      <c r="A1188" s="13">
        <v>7</v>
      </c>
      <c r="B1188" s="193" t="s">
        <v>20</v>
      </c>
      <c r="C1188" s="103"/>
      <c r="D1188" s="105">
        <v>0</v>
      </c>
      <c r="E1188" s="105"/>
      <c r="F1188" s="105">
        <v>0</v>
      </c>
      <c r="G1188" s="105"/>
      <c r="H1188" s="105">
        <v>0</v>
      </c>
      <c r="I1188" s="105">
        <v>0</v>
      </c>
      <c r="J1188" s="105"/>
      <c r="K1188" s="105"/>
      <c r="L1188" s="105">
        <v>0</v>
      </c>
      <c r="M1188" s="105"/>
      <c r="N1188" s="105">
        <v>0</v>
      </c>
      <c r="O1188" s="105">
        <v>0</v>
      </c>
      <c r="P1188" s="105">
        <v>0</v>
      </c>
      <c r="Q1188" s="105">
        <v>0</v>
      </c>
      <c r="R1188" s="105"/>
      <c r="S1188" s="105"/>
      <c r="T1188" s="105"/>
      <c r="U1188" s="111"/>
      <c r="W1188" s="111"/>
    </row>
    <row r="1189" spans="1:26" x14ac:dyDescent="0.25">
      <c r="A1189" s="13"/>
      <c r="B1189" s="193"/>
      <c r="C1189" s="103"/>
      <c r="D1189" s="105"/>
      <c r="E1189" s="105"/>
      <c r="F1189" s="105"/>
      <c r="G1189" s="105"/>
      <c r="H1189" s="105"/>
      <c r="I1189" s="105"/>
      <c r="J1189" s="105"/>
      <c r="K1189" s="105"/>
      <c r="L1189" s="105"/>
      <c r="M1189" s="105"/>
      <c r="N1189" s="105"/>
      <c r="O1189" s="105"/>
      <c r="P1189" s="105"/>
      <c r="Q1189" s="105"/>
      <c r="R1189" s="105"/>
      <c r="S1189" s="105"/>
      <c r="T1189" s="105"/>
      <c r="U1189" s="111"/>
      <c r="W1189" s="111"/>
    </row>
    <row r="1190" spans="1:26" x14ac:dyDescent="0.25">
      <c r="A1190" s="13"/>
      <c r="B1190" s="193" t="s">
        <v>783</v>
      </c>
      <c r="C1190" s="13"/>
      <c r="D1190" s="105"/>
      <c r="E1190" s="105"/>
      <c r="F1190" s="105"/>
      <c r="G1190" s="105"/>
      <c r="H1190" s="105"/>
      <c r="I1190" s="105"/>
      <c r="J1190" s="105"/>
      <c r="K1190" s="105"/>
      <c r="L1190" s="105"/>
      <c r="M1190" s="105"/>
      <c r="N1190" s="105"/>
      <c r="O1190" s="105"/>
      <c r="P1190" s="105"/>
      <c r="Q1190" s="105"/>
      <c r="R1190" s="105"/>
      <c r="S1190" s="105"/>
      <c r="T1190" s="105"/>
      <c r="U1190" s="111"/>
      <c r="W1190" s="111"/>
    </row>
    <row r="1191" spans="1:26" x14ac:dyDescent="0.25">
      <c r="A1191" s="13">
        <v>8</v>
      </c>
      <c r="B1191" s="193" t="s">
        <v>775</v>
      </c>
      <c r="C1191" s="194" t="s">
        <v>895</v>
      </c>
      <c r="D1191" s="105">
        <v>0</v>
      </c>
      <c r="E1191" s="105"/>
      <c r="F1191" s="105">
        <v>0</v>
      </c>
      <c r="G1191" s="105"/>
      <c r="H1191" s="105">
        <v>0</v>
      </c>
      <c r="I1191" s="105">
        <v>0</v>
      </c>
      <c r="J1191" s="105"/>
      <c r="K1191" s="105"/>
      <c r="L1191" s="105">
        <v>0</v>
      </c>
      <c r="M1191" s="105"/>
      <c r="N1191" s="105">
        <v>0</v>
      </c>
      <c r="O1191" s="105">
        <v>0</v>
      </c>
      <c r="P1191" s="105">
        <v>0</v>
      </c>
      <c r="Q1191" s="105">
        <v>0</v>
      </c>
      <c r="R1191" s="105"/>
      <c r="S1191" s="105"/>
      <c r="T1191" s="105">
        <v>0</v>
      </c>
      <c r="U1191" s="111"/>
      <c r="V1191" s="15" t="s">
        <v>2115</v>
      </c>
      <c r="W1191" s="111"/>
    </row>
    <row r="1192" spans="1:26" x14ac:dyDescent="0.25">
      <c r="A1192" s="13">
        <v>9</v>
      </c>
      <c r="B1192" s="193" t="s">
        <v>776</v>
      </c>
      <c r="C1192" s="194" t="s">
        <v>28</v>
      </c>
      <c r="D1192" s="105">
        <v>0</v>
      </c>
      <c r="E1192" s="105"/>
      <c r="F1192" s="105">
        <v>0</v>
      </c>
      <c r="G1192" s="105"/>
      <c r="H1192" s="105">
        <v>0</v>
      </c>
      <c r="I1192" s="105">
        <v>0</v>
      </c>
      <c r="J1192" s="105"/>
      <c r="K1192" s="105"/>
      <c r="L1192" s="105">
        <v>0</v>
      </c>
      <c r="M1192" s="105"/>
      <c r="N1192" s="105">
        <v>0</v>
      </c>
      <c r="O1192" s="105">
        <v>0</v>
      </c>
      <c r="P1192" s="105">
        <v>0</v>
      </c>
      <c r="Q1192" s="105">
        <v>0</v>
      </c>
      <c r="R1192" s="105"/>
      <c r="S1192" s="105"/>
      <c r="T1192" s="105"/>
      <c r="U1192" s="111"/>
      <c r="W1192" s="111"/>
      <c r="Y1192" s="111"/>
      <c r="Z1192" s="111"/>
    </row>
    <row r="1193" spans="1:26" x14ac:dyDescent="0.25">
      <c r="A1193" s="13"/>
      <c r="B1193" s="193"/>
      <c r="C1193" s="103"/>
      <c r="D1193" s="105"/>
      <c r="E1193" s="105"/>
      <c r="F1193" s="105"/>
      <c r="G1193" s="105"/>
      <c r="H1193" s="105"/>
      <c r="I1193" s="105"/>
      <c r="J1193" s="105"/>
      <c r="K1193" s="105"/>
      <c r="L1193" s="105"/>
      <c r="M1193" s="105"/>
      <c r="N1193" s="105"/>
      <c r="O1193" s="105"/>
      <c r="P1193" s="105"/>
      <c r="Q1193" s="105"/>
      <c r="R1193" s="105"/>
      <c r="S1193" s="105"/>
      <c r="T1193" s="105"/>
      <c r="U1193" s="111"/>
      <c r="W1193" s="111"/>
    </row>
    <row r="1194" spans="1:26" x14ac:dyDescent="0.25">
      <c r="A1194" s="13">
        <v>10</v>
      </c>
      <c r="B1194" s="193" t="s">
        <v>21</v>
      </c>
      <c r="C1194" s="103"/>
      <c r="D1194" s="105">
        <v>0</v>
      </c>
      <c r="E1194" s="105"/>
      <c r="F1194" s="105">
        <v>0</v>
      </c>
      <c r="G1194" s="105"/>
      <c r="H1194" s="105">
        <v>0</v>
      </c>
      <c r="I1194" s="105">
        <v>0</v>
      </c>
      <c r="J1194" s="105"/>
      <c r="K1194" s="105"/>
      <c r="L1194" s="105">
        <v>0</v>
      </c>
      <c r="M1194" s="105"/>
      <c r="N1194" s="105">
        <v>0</v>
      </c>
      <c r="O1194" s="105">
        <v>0</v>
      </c>
      <c r="P1194" s="105">
        <v>0</v>
      </c>
      <c r="Q1194" s="105">
        <v>0</v>
      </c>
      <c r="R1194" s="105"/>
      <c r="S1194" s="105"/>
      <c r="T1194" s="105"/>
      <c r="U1194" s="111"/>
      <c r="W1194" s="111"/>
    </row>
    <row r="1195" spans="1:26" x14ac:dyDescent="0.25">
      <c r="A1195" s="13"/>
      <c r="B1195" s="193"/>
      <c r="C1195" s="103"/>
      <c r="D1195" s="105"/>
      <c r="E1195" s="105"/>
      <c r="F1195" s="105"/>
      <c r="G1195" s="105"/>
      <c r="H1195" s="105"/>
      <c r="I1195" s="105"/>
      <c r="J1195" s="105"/>
      <c r="K1195" s="105"/>
      <c r="L1195" s="105"/>
      <c r="M1195" s="105"/>
      <c r="N1195" s="105"/>
      <c r="O1195" s="105"/>
      <c r="P1195" s="105"/>
      <c r="Q1195" s="105"/>
      <c r="R1195" s="105"/>
      <c r="S1195" s="105"/>
      <c r="T1195" s="105"/>
      <c r="U1195" s="111"/>
      <c r="W1195" s="111"/>
    </row>
    <row r="1196" spans="1:26" x14ac:dyDescent="0.25">
      <c r="A1196" s="13">
        <v>11</v>
      </c>
      <c r="B1196" s="193" t="s">
        <v>2089</v>
      </c>
      <c r="C1196" s="103"/>
      <c r="D1196" s="105">
        <v>9627285.11531399</v>
      </c>
      <c r="E1196" s="105"/>
      <c r="F1196" s="105">
        <v>8493973.3153139893</v>
      </c>
      <c r="G1196" s="105"/>
      <c r="H1196" s="105">
        <v>1133311.8</v>
      </c>
      <c r="I1196" s="105">
        <v>0</v>
      </c>
      <c r="J1196" s="105"/>
      <c r="K1196" s="105"/>
      <c r="L1196" s="105">
        <v>0</v>
      </c>
      <c r="M1196" s="105"/>
      <c r="N1196" s="105">
        <v>0</v>
      </c>
      <c r="O1196" s="105">
        <v>0</v>
      </c>
      <c r="P1196" s="105">
        <v>0</v>
      </c>
      <c r="Q1196" s="105">
        <v>0</v>
      </c>
      <c r="R1196" s="105"/>
      <c r="S1196" s="105"/>
      <c r="T1196" s="105"/>
      <c r="U1196" s="111"/>
      <c r="W1196" s="111"/>
    </row>
    <row r="1197" spans="1:26" x14ac:dyDescent="0.25">
      <c r="A1197" s="13"/>
      <c r="B1197" s="193"/>
      <c r="C1197" s="103"/>
      <c r="D1197" s="105"/>
      <c r="E1197" s="105"/>
      <c r="F1197" s="105"/>
      <c r="G1197" s="105"/>
      <c r="H1197" s="105"/>
      <c r="I1197" s="105"/>
      <c r="J1197" s="105"/>
      <c r="K1197" s="105"/>
      <c r="L1197" s="105"/>
      <c r="M1197" s="105"/>
      <c r="N1197" s="105"/>
      <c r="O1197" s="105"/>
      <c r="P1197" s="105"/>
      <c r="Q1197" s="105"/>
      <c r="R1197" s="105"/>
      <c r="S1197" s="105"/>
      <c r="T1197" s="105"/>
      <c r="U1197" s="111"/>
      <c r="W1197" s="111"/>
    </row>
    <row r="1198" spans="1:26" x14ac:dyDescent="0.25">
      <c r="A1198" s="104"/>
      <c r="B1198" s="193" t="s">
        <v>777</v>
      </c>
      <c r="C1198" s="103"/>
      <c r="D1198" s="105"/>
      <c r="E1198" s="105"/>
      <c r="F1198" s="105"/>
      <c r="G1198" s="105"/>
      <c r="H1198" s="105"/>
      <c r="I1198" s="105"/>
      <c r="J1198" s="105"/>
      <c r="K1198" s="105"/>
      <c r="L1198" s="105"/>
      <c r="M1198" s="105"/>
      <c r="N1198" s="105"/>
      <c r="O1198" s="105"/>
      <c r="P1198" s="105"/>
      <c r="Q1198" s="105"/>
      <c r="R1198" s="105"/>
      <c r="S1198" s="105"/>
      <c r="T1198" s="105"/>
      <c r="U1198" s="111"/>
      <c r="W1198" s="111"/>
    </row>
    <row r="1199" spans="1:26" x14ac:dyDescent="0.25">
      <c r="A1199" s="104"/>
      <c r="B1199" s="193"/>
      <c r="C1199" s="103"/>
      <c r="D1199" s="105"/>
      <c r="E1199" s="105"/>
      <c r="F1199" s="105"/>
      <c r="G1199" s="105"/>
      <c r="H1199" s="105"/>
      <c r="I1199" s="105"/>
      <c r="J1199" s="105"/>
      <c r="K1199" s="105"/>
      <c r="L1199" s="105"/>
      <c r="M1199" s="105"/>
      <c r="N1199" s="105"/>
      <c r="O1199" s="105"/>
      <c r="P1199" s="105"/>
      <c r="Q1199" s="105"/>
      <c r="R1199" s="105"/>
      <c r="S1199" s="105"/>
      <c r="T1199" s="105"/>
      <c r="U1199" s="111"/>
      <c r="W1199" s="111"/>
    </row>
    <row r="1200" spans="1:26" x14ac:dyDescent="0.25">
      <c r="A1200" s="13"/>
      <c r="B1200" s="193" t="s">
        <v>7</v>
      </c>
      <c r="C1200" s="103"/>
      <c r="D1200" s="105"/>
      <c r="E1200" s="105"/>
      <c r="F1200" s="105"/>
      <c r="G1200" s="105"/>
      <c r="H1200" s="105"/>
      <c r="I1200" s="105"/>
      <c r="J1200" s="105"/>
      <c r="K1200" s="105"/>
      <c r="L1200" s="105"/>
      <c r="M1200" s="105"/>
      <c r="N1200" s="105"/>
      <c r="O1200" s="105"/>
      <c r="P1200" s="105"/>
      <c r="Q1200" s="105"/>
      <c r="R1200" s="105"/>
      <c r="S1200" s="105"/>
      <c r="T1200" s="105"/>
      <c r="U1200" s="111"/>
      <c r="W1200" s="111"/>
    </row>
    <row r="1201" spans="1:26" x14ac:dyDescent="0.25">
      <c r="A1201" s="13">
        <v>12</v>
      </c>
      <c r="B1201" s="193" t="s">
        <v>8</v>
      </c>
      <c r="C1201" s="194" t="s">
        <v>1394</v>
      </c>
      <c r="D1201" s="105">
        <v>0</v>
      </c>
      <c r="E1201" s="105"/>
      <c r="F1201" s="105">
        <v>0</v>
      </c>
      <c r="G1201" s="105"/>
      <c r="H1201" s="105">
        <v>0</v>
      </c>
      <c r="I1201" s="105">
        <v>0</v>
      </c>
      <c r="J1201" s="105"/>
      <c r="K1201" s="105"/>
      <c r="L1201" s="105">
        <v>0</v>
      </c>
      <c r="M1201" s="105"/>
      <c r="N1201" s="105">
        <v>0</v>
      </c>
      <c r="O1201" s="105">
        <v>0</v>
      </c>
      <c r="P1201" s="105">
        <v>0</v>
      </c>
      <c r="Q1201" s="105">
        <v>0</v>
      </c>
      <c r="R1201" s="105"/>
      <c r="S1201" s="105"/>
      <c r="T1201" s="105">
        <v>0</v>
      </c>
      <c r="U1201" s="111"/>
      <c r="V1201" s="15" t="s">
        <v>2116</v>
      </c>
      <c r="W1201" s="111"/>
    </row>
    <row r="1202" spans="1:26" x14ac:dyDescent="0.25">
      <c r="A1202" s="13">
        <v>13</v>
      </c>
      <c r="B1202" s="193" t="s">
        <v>14</v>
      </c>
      <c r="C1202" s="194" t="s">
        <v>1398</v>
      </c>
      <c r="D1202" s="105">
        <v>0</v>
      </c>
      <c r="E1202" s="105"/>
      <c r="F1202" s="105">
        <v>0</v>
      </c>
      <c r="G1202" s="105"/>
      <c r="H1202" s="105">
        <v>0</v>
      </c>
      <c r="I1202" s="105">
        <v>0</v>
      </c>
      <c r="J1202" s="105"/>
      <c r="K1202" s="105"/>
      <c r="L1202" s="105">
        <v>0</v>
      </c>
      <c r="M1202" s="105"/>
      <c r="N1202" s="105">
        <v>0</v>
      </c>
      <c r="O1202" s="105">
        <v>0</v>
      </c>
      <c r="P1202" s="105">
        <v>0</v>
      </c>
      <c r="Q1202" s="105">
        <v>0</v>
      </c>
      <c r="R1202" s="105"/>
      <c r="S1202" s="105"/>
      <c r="T1202" s="105">
        <v>0</v>
      </c>
      <c r="U1202" s="111"/>
      <c r="V1202" s="108"/>
      <c r="W1202" s="111"/>
    </row>
    <row r="1203" spans="1:26" x14ac:dyDescent="0.25">
      <c r="A1203" s="13">
        <v>14</v>
      </c>
      <c r="B1203" s="193" t="s">
        <v>16</v>
      </c>
      <c r="C1203" s="194" t="s">
        <v>1400</v>
      </c>
      <c r="D1203" s="105">
        <v>0</v>
      </c>
      <c r="E1203" s="105"/>
      <c r="F1203" s="105">
        <v>0</v>
      </c>
      <c r="G1203" s="105"/>
      <c r="H1203" s="105">
        <v>0</v>
      </c>
      <c r="I1203" s="105">
        <v>0</v>
      </c>
      <c r="J1203" s="105"/>
      <c r="K1203" s="105"/>
      <c r="L1203" s="105">
        <v>0</v>
      </c>
      <c r="M1203" s="105"/>
      <c r="N1203" s="105">
        <v>0</v>
      </c>
      <c r="O1203" s="105">
        <v>0</v>
      </c>
      <c r="P1203" s="105">
        <v>0</v>
      </c>
      <c r="Q1203" s="105">
        <v>0</v>
      </c>
      <c r="R1203" s="105"/>
      <c r="S1203" s="105"/>
      <c r="T1203" s="105">
        <v>0</v>
      </c>
      <c r="U1203" s="111"/>
      <c r="W1203" s="111"/>
    </row>
    <row r="1204" spans="1:26" x14ac:dyDescent="0.25">
      <c r="A1204" s="13"/>
      <c r="B1204" s="193"/>
      <c r="C1204" s="194"/>
      <c r="D1204" s="105"/>
      <c r="E1204" s="105"/>
      <c r="F1204" s="105"/>
      <c r="G1204" s="105"/>
      <c r="H1204" s="105"/>
      <c r="I1204" s="105"/>
      <c r="J1204" s="105"/>
      <c r="K1204" s="105"/>
      <c r="L1204" s="105"/>
      <c r="M1204" s="105"/>
      <c r="N1204" s="105"/>
      <c r="O1204" s="105"/>
      <c r="P1204" s="105"/>
      <c r="Q1204" s="105"/>
      <c r="R1204" s="105"/>
      <c r="S1204" s="105"/>
      <c r="T1204" s="105"/>
      <c r="U1204" s="111"/>
      <c r="W1204" s="111"/>
    </row>
    <row r="1205" spans="1:26" x14ac:dyDescent="0.25">
      <c r="A1205" s="13">
        <v>15</v>
      </c>
      <c r="B1205" s="193" t="s">
        <v>18</v>
      </c>
      <c r="C1205" s="13"/>
      <c r="D1205" s="105">
        <v>0</v>
      </c>
      <c r="E1205" s="105"/>
      <c r="F1205" s="105">
        <v>0</v>
      </c>
      <c r="G1205" s="105"/>
      <c r="H1205" s="105">
        <v>0</v>
      </c>
      <c r="I1205" s="105">
        <v>0</v>
      </c>
      <c r="J1205" s="105"/>
      <c r="K1205" s="105"/>
      <c r="L1205" s="105">
        <v>0</v>
      </c>
      <c r="M1205" s="105"/>
      <c r="N1205" s="105">
        <v>0</v>
      </c>
      <c r="O1205" s="105">
        <v>0</v>
      </c>
      <c r="P1205" s="105">
        <v>0</v>
      </c>
      <c r="Q1205" s="105">
        <v>0</v>
      </c>
      <c r="R1205" s="105"/>
      <c r="S1205" s="105"/>
      <c r="T1205" s="105"/>
      <c r="U1205" s="111"/>
      <c r="W1205" s="111"/>
    </row>
    <row r="1206" spans="1:26" x14ac:dyDescent="0.25">
      <c r="A1206" s="13"/>
      <c r="B1206" s="193"/>
      <c r="C1206" s="13"/>
      <c r="D1206" s="105"/>
      <c r="E1206" s="105"/>
      <c r="F1206" s="105"/>
      <c r="G1206" s="105"/>
      <c r="H1206" s="105"/>
      <c r="I1206" s="105"/>
      <c r="J1206" s="105"/>
      <c r="K1206" s="105"/>
      <c r="L1206" s="105"/>
      <c r="M1206" s="105"/>
      <c r="N1206" s="105"/>
      <c r="O1206" s="105"/>
      <c r="P1206" s="105"/>
      <c r="Q1206" s="105"/>
      <c r="R1206" s="105"/>
      <c r="S1206" s="105"/>
      <c r="T1206" s="105"/>
      <c r="U1206" s="111"/>
      <c r="W1206" s="111"/>
    </row>
    <row r="1207" spans="1:26" x14ac:dyDescent="0.25">
      <c r="A1207" s="13"/>
      <c r="B1207" s="193" t="s">
        <v>19</v>
      </c>
      <c r="C1207" s="13"/>
      <c r="D1207" s="105"/>
      <c r="E1207" s="105"/>
      <c r="F1207" s="105"/>
      <c r="G1207" s="105"/>
      <c r="H1207" s="105"/>
      <c r="I1207" s="105"/>
      <c r="J1207" s="105"/>
      <c r="K1207" s="105"/>
      <c r="L1207" s="105"/>
      <c r="M1207" s="105"/>
      <c r="N1207" s="105"/>
      <c r="O1207" s="105"/>
      <c r="P1207" s="105"/>
      <c r="Q1207" s="105"/>
      <c r="R1207" s="105"/>
      <c r="S1207" s="105"/>
      <c r="T1207" s="105"/>
      <c r="U1207" s="111"/>
      <c r="W1207" s="111"/>
    </row>
    <row r="1208" spans="1:26" x14ac:dyDescent="0.25">
      <c r="A1208" s="13">
        <v>16</v>
      </c>
      <c r="B1208" s="193" t="s">
        <v>1033</v>
      </c>
      <c r="C1208" s="194" t="s">
        <v>2028</v>
      </c>
      <c r="D1208" s="105">
        <v>0</v>
      </c>
      <c r="E1208" s="105"/>
      <c r="F1208" s="105">
        <v>0</v>
      </c>
      <c r="G1208" s="105"/>
      <c r="H1208" s="105">
        <v>0</v>
      </c>
      <c r="I1208" s="105">
        <v>0</v>
      </c>
      <c r="J1208" s="105"/>
      <c r="K1208" s="105"/>
      <c r="L1208" s="105">
        <v>0</v>
      </c>
      <c r="M1208" s="105"/>
      <c r="N1208" s="105">
        <v>0</v>
      </c>
      <c r="O1208" s="105">
        <v>0</v>
      </c>
      <c r="P1208" s="105">
        <v>0</v>
      </c>
      <c r="Q1208" s="105">
        <v>0</v>
      </c>
      <c r="R1208" s="105"/>
      <c r="S1208" s="105"/>
      <c r="T1208" s="105">
        <v>0</v>
      </c>
      <c r="U1208" s="111"/>
      <c r="V1208" s="15" t="s">
        <v>2116</v>
      </c>
      <c r="W1208" s="111"/>
    </row>
    <row r="1209" spans="1:26" x14ac:dyDescent="0.25">
      <c r="A1209" s="13">
        <v>17</v>
      </c>
      <c r="B1209" s="193" t="s">
        <v>1036</v>
      </c>
      <c r="C1209" s="194" t="s">
        <v>1313</v>
      </c>
      <c r="D1209" s="105">
        <v>0</v>
      </c>
      <c r="E1209" s="105"/>
      <c r="F1209" s="105">
        <v>0</v>
      </c>
      <c r="G1209" s="105"/>
      <c r="H1209" s="105">
        <v>0</v>
      </c>
      <c r="I1209" s="105">
        <v>0</v>
      </c>
      <c r="J1209" s="105"/>
      <c r="K1209" s="105"/>
      <c r="L1209" s="105">
        <v>0</v>
      </c>
      <c r="M1209" s="105"/>
      <c r="N1209" s="105">
        <v>0</v>
      </c>
      <c r="O1209" s="105">
        <v>0</v>
      </c>
      <c r="P1209" s="105">
        <v>0</v>
      </c>
      <c r="Q1209" s="105">
        <v>0</v>
      </c>
      <c r="R1209" s="105"/>
      <c r="S1209" s="105"/>
      <c r="T1209" s="105"/>
      <c r="U1209" s="111"/>
      <c r="V1209" s="108"/>
      <c r="W1209" s="111"/>
    </row>
    <row r="1210" spans="1:26" x14ac:dyDescent="0.25">
      <c r="A1210" s="13"/>
      <c r="B1210" s="193"/>
      <c r="C1210" s="103"/>
      <c r="D1210" s="105"/>
      <c r="E1210" s="105"/>
      <c r="F1210" s="105"/>
      <c r="G1210" s="105"/>
      <c r="H1210" s="105"/>
      <c r="I1210" s="105"/>
      <c r="J1210" s="105"/>
      <c r="K1210" s="105"/>
      <c r="L1210" s="105"/>
      <c r="M1210" s="105"/>
      <c r="N1210" s="105"/>
      <c r="O1210" s="105"/>
      <c r="P1210" s="105"/>
      <c r="Q1210" s="105"/>
      <c r="R1210" s="105"/>
      <c r="S1210" s="105"/>
      <c r="T1210" s="105"/>
      <c r="U1210" s="111"/>
      <c r="W1210" s="111"/>
    </row>
    <row r="1211" spans="1:26" x14ac:dyDescent="0.25">
      <c r="A1211" s="13">
        <v>18</v>
      </c>
      <c r="B1211" s="193" t="s">
        <v>20</v>
      </c>
      <c r="C1211" s="103"/>
      <c r="D1211" s="105">
        <v>0</v>
      </c>
      <c r="E1211" s="105"/>
      <c r="F1211" s="105">
        <v>0</v>
      </c>
      <c r="G1211" s="105"/>
      <c r="H1211" s="105">
        <v>0</v>
      </c>
      <c r="I1211" s="105">
        <v>0</v>
      </c>
      <c r="J1211" s="105"/>
      <c r="K1211" s="105"/>
      <c r="L1211" s="105">
        <v>0</v>
      </c>
      <c r="M1211" s="105"/>
      <c r="N1211" s="105">
        <v>0</v>
      </c>
      <c r="O1211" s="105">
        <v>0</v>
      </c>
      <c r="P1211" s="105">
        <v>0</v>
      </c>
      <c r="Q1211" s="105">
        <v>0</v>
      </c>
      <c r="R1211" s="105"/>
      <c r="S1211" s="105"/>
      <c r="T1211" s="105"/>
      <c r="U1211" s="111"/>
      <c r="W1211" s="111"/>
      <c r="X1211" s="111"/>
    </row>
    <row r="1212" spans="1:26" x14ac:dyDescent="0.25">
      <c r="A1212" s="13"/>
      <c r="B1212" s="193"/>
      <c r="C1212" s="103"/>
      <c r="D1212" s="105"/>
      <c r="E1212" s="105"/>
      <c r="F1212" s="105"/>
      <c r="G1212" s="105"/>
      <c r="H1212" s="105"/>
      <c r="I1212" s="105"/>
      <c r="J1212" s="105"/>
      <c r="K1212" s="105"/>
      <c r="L1212" s="105"/>
      <c r="M1212" s="105"/>
      <c r="N1212" s="105"/>
      <c r="O1212" s="105"/>
      <c r="P1212" s="105"/>
      <c r="Q1212" s="105"/>
      <c r="R1212" s="105"/>
      <c r="S1212" s="105"/>
      <c r="T1212" s="105"/>
      <c r="U1212" s="111"/>
      <c r="W1212" s="16"/>
      <c r="X1212" s="16"/>
      <c r="Y1212" s="16"/>
      <c r="Z1212" s="95"/>
    </row>
    <row r="1213" spans="1:26" x14ac:dyDescent="0.25">
      <c r="A1213" s="13"/>
      <c r="B1213" s="193" t="s">
        <v>1038</v>
      </c>
      <c r="C1213" s="13"/>
      <c r="D1213" s="105"/>
      <c r="E1213" s="105"/>
      <c r="F1213" s="105"/>
      <c r="G1213" s="105"/>
      <c r="H1213" s="105"/>
      <c r="I1213" s="105"/>
      <c r="J1213" s="105"/>
      <c r="K1213" s="105"/>
      <c r="L1213" s="105"/>
      <c r="M1213" s="105"/>
      <c r="N1213" s="105"/>
      <c r="O1213" s="105"/>
      <c r="P1213" s="105"/>
      <c r="Q1213" s="105"/>
      <c r="R1213" s="105"/>
      <c r="S1213" s="105"/>
      <c r="T1213" s="105"/>
      <c r="U1213" s="111"/>
      <c r="W1213" s="111"/>
    </row>
    <row r="1214" spans="1:26" x14ac:dyDescent="0.25">
      <c r="A1214" s="13">
        <v>19</v>
      </c>
      <c r="B1214" s="193" t="s">
        <v>1033</v>
      </c>
      <c r="C1214" s="194" t="s">
        <v>895</v>
      </c>
      <c r="D1214" s="105">
        <v>0</v>
      </c>
      <c r="E1214" s="105"/>
      <c r="F1214" s="105">
        <v>0</v>
      </c>
      <c r="G1214" s="105"/>
      <c r="H1214" s="105">
        <v>0</v>
      </c>
      <c r="I1214" s="105">
        <v>0</v>
      </c>
      <c r="J1214" s="105"/>
      <c r="K1214" s="105"/>
      <c r="L1214" s="105">
        <v>0</v>
      </c>
      <c r="M1214" s="105"/>
      <c r="N1214" s="105">
        <v>0</v>
      </c>
      <c r="O1214" s="105">
        <v>0</v>
      </c>
      <c r="P1214" s="105">
        <v>0</v>
      </c>
      <c r="Q1214" s="105">
        <v>0</v>
      </c>
      <c r="R1214" s="105"/>
      <c r="S1214" s="105"/>
      <c r="T1214" s="105">
        <v>0</v>
      </c>
      <c r="U1214" s="111"/>
      <c r="V1214" s="15" t="s">
        <v>2116</v>
      </c>
      <c r="W1214" s="111"/>
    </row>
    <row r="1215" spans="1:26" x14ac:dyDescent="0.25">
      <c r="A1215" s="13">
        <v>20</v>
      </c>
      <c r="B1215" s="193" t="s">
        <v>1036</v>
      </c>
      <c r="C1215" s="194" t="s">
        <v>904</v>
      </c>
      <c r="D1215" s="105">
        <v>0</v>
      </c>
      <c r="E1215" s="105"/>
      <c r="F1215" s="105">
        <v>0</v>
      </c>
      <c r="G1215" s="105"/>
      <c r="H1215" s="105">
        <v>0</v>
      </c>
      <c r="I1215" s="105">
        <v>0</v>
      </c>
      <c r="J1215" s="105"/>
      <c r="K1215" s="105"/>
      <c r="L1215" s="105">
        <v>0</v>
      </c>
      <c r="M1215" s="105"/>
      <c r="N1215" s="105">
        <v>0</v>
      </c>
      <c r="O1215" s="105">
        <v>0</v>
      </c>
      <c r="P1215" s="105">
        <v>0</v>
      </c>
      <c r="Q1215" s="105">
        <v>0</v>
      </c>
      <c r="R1215" s="105"/>
      <c r="S1215" s="105"/>
      <c r="T1215" s="105"/>
      <c r="U1215" s="111"/>
      <c r="V1215" s="108"/>
      <c r="W1215" s="111"/>
    </row>
    <row r="1216" spans="1:26" x14ac:dyDescent="0.25">
      <c r="A1216" s="13"/>
      <c r="B1216" s="193"/>
      <c r="C1216" s="103"/>
      <c r="D1216" s="105"/>
      <c r="E1216" s="105"/>
      <c r="F1216" s="105"/>
      <c r="G1216" s="105"/>
      <c r="H1216" s="105"/>
      <c r="I1216" s="105"/>
      <c r="J1216" s="105"/>
      <c r="K1216" s="105"/>
      <c r="L1216" s="105"/>
      <c r="M1216" s="105"/>
      <c r="N1216" s="105"/>
      <c r="O1216" s="105"/>
      <c r="P1216" s="105"/>
      <c r="Q1216" s="105"/>
      <c r="R1216" s="105"/>
      <c r="S1216" s="105"/>
      <c r="T1216" s="105"/>
      <c r="U1216" s="111"/>
      <c r="W1216" s="111" t="s">
        <v>2117</v>
      </c>
      <c r="X1216" s="15" t="s">
        <v>778</v>
      </c>
    </row>
    <row r="1217" spans="1:26" x14ac:dyDescent="0.25">
      <c r="A1217" s="13">
        <v>21</v>
      </c>
      <c r="B1217" s="193" t="s">
        <v>21</v>
      </c>
      <c r="C1217" s="103"/>
      <c r="D1217" s="105">
        <v>0</v>
      </c>
      <c r="E1217" s="105"/>
      <c r="F1217" s="105">
        <v>0</v>
      </c>
      <c r="G1217" s="105"/>
      <c r="H1217" s="105">
        <v>0</v>
      </c>
      <c r="I1217" s="105">
        <v>0</v>
      </c>
      <c r="J1217" s="105"/>
      <c r="K1217" s="105"/>
      <c r="L1217" s="105">
        <v>0</v>
      </c>
      <c r="M1217" s="105"/>
      <c r="N1217" s="105">
        <v>0</v>
      </c>
      <c r="O1217" s="105">
        <v>0</v>
      </c>
      <c r="P1217" s="105">
        <v>0</v>
      </c>
      <c r="Q1217" s="105">
        <v>0</v>
      </c>
      <c r="R1217" s="105"/>
      <c r="S1217" s="105"/>
      <c r="T1217" s="105"/>
      <c r="U1217" s="111"/>
      <c r="W1217" s="111">
        <v>9627285.1153139807</v>
      </c>
      <c r="X1217" s="111">
        <v>0</v>
      </c>
      <c r="Y1217" s="15">
        <v>9627285.1153139807</v>
      </c>
      <c r="Z1217" s="15">
        <v>0</v>
      </c>
    </row>
    <row r="1218" spans="1:26" x14ac:dyDescent="0.25">
      <c r="A1218" s="13"/>
      <c r="B1218" s="193"/>
      <c r="C1218" s="103"/>
      <c r="D1218" s="105"/>
      <c r="E1218" s="105"/>
      <c r="F1218" s="105"/>
      <c r="G1218" s="105"/>
      <c r="H1218" s="105"/>
      <c r="I1218" s="105"/>
      <c r="J1218" s="105"/>
      <c r="K1218" s="105"/>
      <c r="L1218" s="105"/>
      <c r="M1218" s="105"/>
      <c r="N1218" s="105"/>
      <c r="O1218" s="105"/>
      <c r="P1218" s="105"/>
      <c r="Q1218" s="105"/>
      <c r="R1218" s="105"/>
      <c r="S1218" s="105"/>
      <c r="T1218" s="105"/>
      <c r="U1218" s="111"/>
      <c r="W1218" s="118"/>
      <c r="X1218" s="16"/>
      <c r="Y1218" s="16"/>
      <c r="Z1218" s="121"/>
    </row>
    <row r="1219" spans="1:26" x14ac:dyDescent="0.25">
      <c r="A1219" s="13">
        <v>22</v>
      </c>
      <c r="B1219" s="193" t="s">
        <v>779</v>
      </c>
      <c r="C1219" s="103"/>
      <c r="D1219" s="105">
        <v>0</v>
      </c>
      <c r="E1219" s="105"/>
      <c r="F1219" s="105">
        <v>0</v>
      </c>
      <c r="G1219" s="105"/>
      <c r="H1219" s="105">
        <v>0</v>
      </c>
      <c r="I1219" s="105">
        <v>0</v>
      </c>
      <c r="J1219" s="105"/>
      <c r="K1219" s="105"/>
      <c r="L1219" s="105">
        <v>0</v>
      </c>
      <c r="M1219" s="105"/>
      <c r="N1219" s="105">
        <v>0</v>
      </c>
      <c r="O1219" s="105">
        <v>0</v>
      </c>
      <c r="P1219" s="105">
        <v>0</v>
      </c>
      <c r="Q1219" s="105">
        <v>0</v>
      </c>
      <c r="R1219" s="105"/>
      <c r="S1219" s="105"/>
      <c r="T1219" s="105"/>
      <c r="U1219" s="111"/>
      <c r="W1219" s="111"/>
    </row>
    <row r="1220" spans="1:26" x14ac:dyDescent="0.25">
      <c r="A1220" s="13"/>
      <c r="B1220" s="193"/>
      <c r="C1220" s="103"/>
      <c r="D1220" s="105"/>
      <c r="E1220" s="105"/>
      <c r="F1220" s="105"/>
      <c r="G1220" s="105"/>
      <c r="H1220" s="105"/>
      <c r="I1220" s="105"/>
      <c r="J1220" s="105"/>
      <c r="K1220" s="105"/>
      <c r="L1220" s="105"/>
      <c r="M1220" s="105"/>
      <c r="N1220" s="105"/>
      <c r="O1220" s="105"/>
      <c r="P1220" s="105"/>
      <c r="Q1220" s="105"/>
      <c r="R1220" s="105"/>
      <c r="S1220" s="105"/>
      <c r="T1220" s="105"/>
      <c r="U1220" s="111"/>
      <c r="W1220" s="111"/>
    </row>
    <row r="1221" spans="1:26" x14ac:dyDescent="0.25">
      <c r="A1221" s="13"/>
      <c r="B1221" s="195" t="s">
        <v>780</v>
      </c>
      <c r="C1221" s="103"/>
      <c r="D1221" s="105"/>
      <c r="E1221" s="105"/>
      <c r="F1221" s="105"/>
      <c r="G1221" s="105"/>
      <c r="H1221" s="105"/>
      <c r="I1221" s="105"/>
      <c r="J1221" s="105"/>
      <c r="K1221" s="105"/>
      <c r="L1221" s="105"/>
      <c r="M1221" s="105"/>
      <c r="N1221" s="105"/>
      <c r="O1221" s="105"/>
      <c r="P1221" s="105"/>
      <c r="Q1221" s="105"/>
      <c r="R1221" s="105"/>
      <c r="S1221" s="105"/>
      <c r="T1221" s="105"/>
      <c r="U1221" s="111"/>
      <c r="W1221" s="111"/>
    </row>
    <row r="1222" spans="1:26" x14ac:dyDescent="0.25">
      <c r="A1222" s="13"/>
      <c r="B1222" s="13"/>
      <c r="C1222" s="103"/>
      <c r="D1222" s="105"/>
      <c r="E1222" s="105"/>
      <c r="F1222" s="105"/>
      <c r="G1222" s="105"/>
      <c r="H1222" s="105"/>
      <c r="I1222" s="105"/>
      <c r="J1222" s="105"/>
      <c r="K1222" s="105"/>
      <c r="L1222" s="105"/>
      <c r="M1222" s="105"/>
      <c r="N1222" s="105"/>
      <c r="O1222" s="105"/>
      <c r="P1222" s="105"/>
      <c r="Q1222" s="105"/>
      <c r="R1222" s="105"/>
      <c r="S1222" s="105"/>
      <c r="T1222" s="105"/>
      <c r="U1222" s="111"/>
      <c r="W1222" s="111"/>
    </row>
    <row r="1223" spans="1:26" x14ac:dyDescent="0.25">
      <c r="A1223" s="13"/>
      <c r="B1223" s="193" t="s">
        <v>781</v>
      </c>
      <c r="C1223" s="103"/>
      <c r="D1223" s="105"/>
      <c r="E1223" s="105"/>
      <c r="F1223" s="105"/>
      <c r="G1223" s="105"/>
      <c r="H1223" s="105"/>
      <c r="I1223" s="105"/>
      <c r="J1223" s="105"/>
      <c r="K1223" s="105"/>
      <c r="L1223" s="105"/>
      <c r="M1223" s="105"/>
      <c r="N1223" s="105"/>
      <c r="O1223" s="105"/>
      <c r="P1223" s="105"/>
      <c r="Q1223" s="105"/>
      <c r="R1223" s="105"/>
      <c r="S1223" s="105"/>
      <c r="T1223" s="105"/>
      <c r="W1223" s="111"/>
    </row>
    <row r="1224" spans="1:26" x14ac:dyDescent="0.25">
      <c r="A1224" s="104">
        <v>1</v>
      </c>
      <c r="B1224" s="193" t="s">
        <v>782</v>
      </c>
      <c r="C1224" s="194" t="s">
        <v>32</v>
      </c>
      <c r="D1224" s="105">
        <v>34311578.519000001</v>
      </c>
      <c r="E1224" s="105"/>
      <c r="F1224" s="105">
        <v>32188175.543923538</v>
      </c>
      <c r="G1224" s="105"/>
      <c r="H1224" s="105">
        <v>1633953.83895935</v>
      </c>
      <c r="I1224" s="105">
        <v>489449.13611711492</v>
      </c>
      <c r="J1224" s="105"/>
      <c r="K1224" s="105"/>
      <c r="L1224" s="105">
        <v>2821.8803976529166</v>
      </c>
      <c r="M1224" s="105"/>
      <c r="N1224" s="105">
        <v>486627.255719462</v>
      </c>
      <c r="O1224" s="105">
        <v>252996.06599068464</v>
      </c>
      <c r="P1224" s="105">
        <v>233631.18972877736</v>
      </c>
      <c r="Q1224" s="105">
        <v>5.1286544962403595E-14</v>
      </c>
      <c r="R1224" s="105"/>
      <c r="S1224" s="105"/>
      <c r="T1224" s="105">
        <v>34311578.519000001</v>
      </c>
      <c r="W1224" s="111"/>
    </row>
    <row r="1225" spans="1:26" x14ac:dyDescent="0.25">
      <c r="A1225" s="104">
        <v>2</v>
      </c>
      <c r="B1225" s="193" t="s">
        <v>293</v>
      </c>
      <c r="C1225" s="197" t="s">
        <v>1837</v>
      </c>
      <c r="D1225" s="105">
        <v>3406958</v>
      </c>
      <c r="E1225" s="105"/>
      <c r="F1225" s="105">
        <v>3406958</v>
      </c>
      <c r="G1225" s="105"/>
      <c r="H1225" s="105">
        <v>0</v>
      </c>
      <c r="I1225" s="105">
        <v>0</v>
      </c>
      <c r="J1225" s="105"/>
      <c r="K1225" s="105"/>
      <c r="L1225" s="105">
        <v>0</v>
      </c>
      <c r="M1225" s="105"/>
      <c r="N1225" s="105">
        <v>0</v>
      </c>
      <c r="O1225" s="105">
        <v>0</v>
      </c>
      <c r="P1225" s="105">
        <v>0</v>
      </c>
      <c r="Q1225" s="105">
        <v>0</v>
      </c>
      <c r="R1225" s="105"/>
      <c r="S1225" s="105"/>
      <c r="T1225" s="105">
        <v>3406958</v>
      </c>
      <c r="U1225" s="111"/>
      <c r="V1225" s="111"/>
      <c r="W1225" s="111"/>
      <c r="X1225" s="111"/>
      <c r="Y1225" s="111"/>
    </row>
    <row r="1226" spans="1:26" x14ac:dyDescent="0.25">
      <c r="A1226" s="104">
        <v>3</v>
      </c>
      <c r="B1226" s="193" t="s">
        <v>294</v>
      </c>
      <c r="C1226" s="194" t="s">
        <v>841</v>
      </c>
      <c r="D1226" s="105">
        <v>0</v>
      </c>
      <c r="E1226" s="105"/>
      <c r="F1226" s="105">
        <v>0</v>
      </c>
      <c r="G1226" s="105"/>
      <c r="H1226" s="105">
        <v>0</v>
      </c>
      <c r="I1226" s="105">
        <v>0</v>
      </c>
      <c r="J1226" s="105"/>
      <c r="K1226" s="105"/>
      <c r="L1226" s="105">
        <v>0</v>
      </c>
      <c r="M1226" s="105"/>
      <c r="N1226" s="105">
        <v>0</v>
      </c>
      <c r="O1226" s="105">
        <v>0</v>
      </c>
      <c r="P1226" s="105">
        <v>0</v>
      </c>
      <c r="Q1226" s="105">
        <v>0</v>
      </c>
      <c r="R1226" s="105"/>
      <c r="S1226" s="105"/>
      <c r="T1226" s="105"/>
      <c r="U1226" s="111"/>
      <c r="V1226" s="111"/>
      <c r="W1226" s="111"/>
      <c r="X1226" s="111"/>
      <c r="Y1226" s="111"/>
    </row>
    <row r="1227" spans="1:26" x14ac:dyDescent="0.25">
      <c r="A1227" s="104">
        <v>4</v>
      </c>
      <c r="B1227" s="193" t="s">
        <v>2180</v>
      </c>
      <c r="C1227" s="194" t="s">
        <v>1392</v>
      </c>
      <c r="D1227" s="105">
        <v>0</v>
      </c>
      <c r="E1227" s="105"/>
      <c r="F1227" s="105">
        <v>0</v>
      </c>
      <c r="G1227" s="105"/>
      <c r="H1227" s="105">
        <v>0</v>
      </c>
      <c r="I1227" s="105">
        <v>0</v>
      </c>
      <c r="J1227" s="105"/>
      <c r="K1227" s="105"/>
      <c r="L1227" s="105">
        <v>0</v>
      </c>
      <c r="M1227" s="105"/>
      <c r="N1227" s="105">
        <v>0</v>
      </c>
      <c r="O1227" s="105">
        <v>0</v>
      </c>
      <c r="P1227" s="105">
        <v>0</v>
      </c>
      <c r="Q1227" s="105">
        <v>0</v>
      </c>
      <c r="R1227" s="105"/>
      <c r="S1227" s="105"/>
      <c r="T1227" s="105"/>
      <c r="U1227" s="111"/>
      <c r="V1227" s="111"/>
      <c r="W1227" s="111"/>
      <c r="X1227" s="111"/>
      <c r="Y1227" s="111"/>
    </row>
    <row r="1228" spans="1:26" x14ac:dyDescent="0.25">
      <c r="A1228" s="104">
        <v>5</v>
      </c>
      <c r="B1228" s="193" t="s">
        <v>2181</v>
      </c>
      <c r="C1228" s="194" t="s">
        <v>1392</v>
      </c>
      <c r="D1228" s="105">
        <v>10653785.999999998</v>
      </c>
      <c r="E1228" s="105"/>
      <c r="F1228" s="105">
        <v>10022002.159154365</v>
      </c>
      <c r="G1228" s="105"/>
      <c r="H1228" s="105">
        <v>504186.40018765075</v>
      </c>
      <c r="I1228" s="105">
        <v>127597.44065798333</v>
      </c>
      <c r="J1228" s="105"/>
      <c r="K1228" s="105"/>
      <c r="L1228" s="105">
        <v>736.16838075558144</v>
      </c>
      <c r="M1228" s="105"/>
      <c r="N1228" s="105">
        <v>126861.27227722775</v>
      </c>
      <c r="O1228" s="105">
        <v>66124.388919766105</v>
      </c>
      <c r="P1228" s="105">
        <v>60736.883357461651</v>
      </c>
      <c r="Q1228" s="105">
        <v>5.6786317706344433E-13</v>
      </c>
      <c r="R1228" s="105"/>
      <c r="S1228" s="105"/>
      <c r="T1228" s="105">
        <v>10653786</v>
      </c>
      <c r="U1228" s="111"/>
      <c r="W1228" s="111"/>
    </row>
    <row r="1229" spans="1:26" x14ac:dyDescent="0.25">
      <c r="A1229" s="104">
        <v>6</v>
      </c>
      <c r="B1229" s="193" t="s">
        <v>295</v>
      </c>
      <c r="C1229" s="194" t="s">
        <v>1316</v>
      </c>
      <c r="D1229" s="105">
        <v>0</v>
      </c>
      <c r="E1229" s="105"/>
      <c r="F1229" s="105">
        <v>0</v>
      </c>
      <c r="G1229" s="105"/>
      <c r="H1229" s="105">
        <v>0</v>
      </c>
      <c r="I1229" s="105">
        <v>0</v>
      </c>
      <c r="J1229" s="105"/>
      <c r="K1229" s="105"/>
      <c r="L1229" s="105">
        <v>0</v>
      </c>
      <c r="M1229" s="105"/>
      <c r="N1229" s="105">
        <v>0</v>
      </c>
      <c r="O1229" s="105">
        <v>0</v>
      </c>
      <c r="P1229" s="105">
        <v>0</v>
      </c>
      <c r="Q1229" s="105">
        <v>0</v>
      </c>
      <c r="R1229" s="105"/>
      <c r="S1229" s="105"/>
      <c r="T1229" s="105"/>
      <c r="U1229" s="111"/>
      <c r="V1229" s="123"/>
      <c r="W1229" s="111" t="s">
        <v>1760</v>
      </c>
    </row>
    <row r="1230" spans="1:26" x14ac:dyDescent="0.25">
      <c r="A1230" s="104">
        <v>7</v>
      </c>
      <c r="B1230" s="193" t="s">
        <v>296</v>
      </c>
      <c r="C1230" s="103"/>
      <c r="D1230" s="105">
        <v>48372322.519000001</v>
      </c>
      <c r="E1230" s="105"/>
      <c r="F1230" s="105">
        <v>45617135.703077905</v>
      </c>
      <c r="G1230" s="105"/>
      <c r="H1230" s="105">
        <v>2138140.2391470009</v>
      </c>
      <c r="I1230" s="105">
        <v>617046.57677509822</v>
      </c>
      <c r="J1230" s="105"/>
      <c r="K1230" s="105"/>
      <c r="L1230" s="105">
        <v>3558.048778408498</v>
      </c>
      <c r="M1230" s="105"/>
      <c r="N1230" s="105">
        <v>613488.52799668978</v>
      </c>
      <c r="O1230" s="105">
        <v>319120.45491045073</v>
      </c>
      <c r="P1230" s="105">
        <v>294368.07308623899</v>
      </c>
      <c r="Q1230" s="105">
        <v>6.1914972202584796E-13</v>
      </c>
      <c r="R1230" s="105"/>
      <c r="S1230" s="105"/>
      <c r="T1230" s="105"/>
      <c r="U1230" s="111"/>
      <c r="V1230" s="111"/>
      <c r="W1230" s="111">
        <v>48372322.50553447</v>
      </c>
      <c r="X1230" s="111">
        <v>1.3465531170368195E-2</v>
      </c>
      <c r="Y1230" s="111"/>
    </row>
    <row r="1231" spans="1:26" x14ac:dyDescent="0.25">
      <c r="A1231" s="13"/>
      <c r="B1231" s="13"/>
      <c r="C1231" s="103"/>
      <c r="D1231" s="105"/>
      <c r="E1231" s="105"/>
      <c r="F1231" s="105"/>
      <c r="G1231" s="105"/>
      <c r="H1231" s="105"/>
      <c r="I1231" s="105"/>
      <c r="J1231" s="105"/>
      <c r="K1231" s="105"/>
      <c r="L1231" s="105"/>
      <c r="M1231" s="105"/>
      <c r="N1231" s="105"/>
      <c r="O1231" s="105"/>
      <c r="P1231" s="105"/>
      <c r="Q1231" s="105"/>
      <c r="R1231" s="105"/>
      <c r="S1231" s="105"/>
      <c r="T1231" s="105"/>
      <c r="W1231" s="111"/>
    </row>
    <row r="1232" spans="1:26" x14ac:dyDescent="0.25">
      <c r="A1232" s="104">
        <v>8</v>
      </c>
      <c r="B1232" s="193" t="s">
        <v>297</v>
      </c>
      <c r="C1232" s="194" t="s">
        <v>1237</v>
      </c>
      <c r="D1232" s="105">
        <v>0</v>
      </c>
      <c r="E1232" s="105"/>
      <c r="F1232" s="105">
        <v>0</v>
      </c>
      <c r="G1232" s="105"/>
      <c r="H1232" s="105">
        <v>0</v>
      </c>
      <c r="I1232" s="105">
        <v>0</v>
      </c>
      <c r="J1232" s="105"/>
      <c r="K1232" s="105"/>
      <c r="L1232" s="105">
        <v>0</v>
      </c>
      <c r="M1232" s="105"/>
      <c r="N1232" s="105">
        <v>0</v>
      </c>
      <c r="O1232" s="105">
        <v>0</v>
      </c>
      <c r="P1232" s="105">
        <v>0</v>
      </c>
      <c r="Q1232" s="105">
        <v>0</v>
      </c>
      <c r="R1232" s="105"/>
      <c r="S1232" s="105"/>
      <c r="T1232" s="105">
        <v>0</v>
      </c>
      <c r="V1232" s="15" t="s">
        <v>298</v>
      </c>
      <c r="W1232" s="111"/>
      <c r="X1232" s="15" t="s">
        <v>2182</v>
      </c>
    </row>
    <row r="1233" spans="1:26" x14ac:dyDescent="0.25">
      <c r="A1233" s="104">
        <v>9</v>
      </c>
      <c r="B1233" s="196" t="s">
        <v>1741</v>
      </c>
      <c r="C1233" s="194" t="s">
        <v>1316</v>
      </c>
      <c r="D1233" s="105">
        <v>0</v>
      </c>
      <c r="E1233" s="105"/>
      <c r="F1233" s="105">
        <v>0</v>
      </c>
      <c r="G1233" s="105"/>
      <c r="H1233" s="105">
        <v>0</v>
      </c>
      <c r="I1233" s="105">
        <v>0</v>
      </c>
      <c r="J1233" s="105"/>
      <c r="K1233" s="105"/>
      <c r="L1233" s="105">
        <v>0</v>
      </c>
      <c r="M1233" s="105"/>
      <c r="N1233" s="105">
        <v>0</v>
      </c>
      <c r="O1233" s="105">
        <v>0</v>
      </c>
      <c r="P1233" s="105">
        <v>0</v>
      </c>
      <c r="Q1233" s="105">
        <v>0</v>
      </c>
      <c r="R1233" s="105"/>
      <c r="S1233" s="105"/>
      <c r="T1233" s="105">
        <v>0</v>
      </c>
      <c r="U1233" s="111"/>
      <c r="V1233" s="111" t="s">
        <v>2118</v>
      </c>
      <c r="W1233" s="111"/>
      <c r="X1233" s="111">
        <v>0</v>
      </c>
      <c r="Y1233" s="111">
        <v>0</v>
      </c>
    </row>
    <row r="1234" spans="1:26" x14ac:dyDescent="0.25">
      <c r="A1234" s="104">
        <v>10</v>
      </c>
      <c r="B1234" s="196" t="s">
        <v>1742</v>
      </c>
      <c r="C1234" s="194" t="s">
        <v>1392</v>
      </c>
      <c r="D1234" s="105">
        <v>1123628.06</v>
      </c>
      <c r="E1234" s="105"/>
      <c r="F1234" s="105">
        <v>0</v>
      </c>
      <c r="G1234" s="105"/>
      <c r="H1234" s="105">
        <v>26587.636860794541</v>
      </c>
      <c r="I1234" s="105">
        <v>0</v>
      </c>
      <c r="J1234" s="105"/>
      <c r="K1234" s="105"/>
      <c r="L1234" s="105">
        <v>0</v>
      </c>
      <c r="M1234" s="105"/>
      <c r="N1234" s="105">
        <v>0</v>
      </c>
      <c r="O1234" s="105">
        <v>0</v>
      </c>
      <c r="P1234" s="105">
        <v>0</v>
      </c>
      <c r="Q1234" s="105">
        <v>0</v>
      </c>
      <c r="R1234" s="105"/>
      <c r="S1234" s="105"/>
      <c r="T1234" s="105">
        <v>561814.03</v>
      </c>
      <c r="U1234" s="111" t="s">
        <v>1743</v>
      </c>
      <c r="V1234" s="146" t="s">
        <v>1744</v>
      </c>
      <c r="W1234" s="111"/>
      <c r="X1234" s="118" t="s">
        <v>2119</v>
      </c>
      <c r="Y1234" s="15" t="s">
        <v>2183</v>
      </c>
      <c r="Z1234" s="15" t="s">
        <v>1745</v>
      </c>
    </row>
    <row r="1235" spans="1:26" x14ac:dyDescent="0.25">
      <c r="A1235" s="13"/>
      <c r="B1235" s="13"/>
      <c r="C1235" s="13"/>
      <c r="D1235" s="105"/>
      <c r="E1235" s="105"/>
      <c r="F1235" s="105"/>
      <c r="G1235" s="105"/>
      <c r="H1235" s="105"/>
      <c r="I1235" s="105"/>
      <c r="J1235" s="105"/>
      <c r="K1235" s="105"/>
      <c r="L1235" s="105"/>
      <c r="M1235" s="105"/>
      <c r="N1235" s="105"/>
      <c r="O1235" s="105"/>
      <c r="P1235" s="105"/>
      <c r="Q1235" s="105"/>
      <c r="R1235" s="105"/>
      <c r="S1235" s="105"/>
      <c r="T1235" s="105">
        <v>1097040.4231392054</v>
      </c>
      <c r="U1235" s="111" t="s">
        <v>1987</v>
      </c>
      <c r="V1235" s="111"/>
      <c r="X1235" s="146">
        <v>1513100</v>
      </c>
      <c r="Y1235" s="111">
        <v>1123628.06</v>
      </c>
      <c r="Z1235" s="111">
        <v>561814.03</v>
      </c>
    </row>
    <row r="1236" spans="1:26" x14ac:dyDescent="0.25">
      <c r="A1236" s="13"/>
      <c r="B1236" s="13"/>
      <c r="C1236" s="13"/>
      <c r="D1236" s="105"/>
      <c r="E1236" s="105"/>
      <c r="F1236" s="105"/>
      <c r="G1236" s="105"/>
      <c r="H1236" s="105"/>
      <c r="I1236" s="105"/>
      <c r="J1236" s="105"/>
      <c r="K1236" s="105"/>
      <c r="L1236" s="105"/>
      <c r="M1236" s="105"/>
      <c r="N1236" s="105"/>
      <c r="O1236" s="105"/>
      <c r="P1236" s="105"/>
      <c r="Q1236" s="105"/>
      <c r="R1236" s="105"/>
      <c r="S1236" s="105"/>
      <c r="T1236" s="105"/>
      <c r="U1236" s="111"/>
      <c r="V1236" s="146"/>
      <c r="X1236" s="118"/>
      <c r="Y1236" s="15">
        <v>1123628.06</v>
      </c>
    </row>
    <row r="1237" spans="1:26" x14ac:dyDescent="0.25">
      <c r="A1237" s="13"/>
      <c r="B1237" s="193" t="s">
        <v>301</v>
      </c>
      <c r="C1237" s="103"/>
      <c r="D1237" s="105"/>
      <c r="E1237" s="105"/>
      <c r="F1237" s="105"/>
      <c r="G1237" s="105"/>
      <c r="H1237" s="105"/>
      <c r="I1237" s="105"/>
      <c r="J1237" s="105"/>
      <c r="K1237" s="105"/>
      <c r="L1237" s="105"/>
      <c r="M1237" s="105"/>
      <c r="N1237" s="105"/>
      <c r="O1237" s="105"/>
      <c r="P1237" s="105"/>
      <c r="Q1237" s="105"/>
      <c r="R1237" s="105"/>
      <c r="S1237" s="105"/>
      <c r="T1237" s="105"/>
      <c r="U1237" s="111"/>
      <c r="V1237" s="146"/>
    </row>
    <row r="1238" spans="1:26" x14ac:dyDescent="0.25">
      <c r="A1238" s="104">
        <v>11</v>
      </c>
      <c r="B1238" s="193" t="s">
        <v>569</v>
      </c>
      <c r="C1238" s="194" t="s">
        <v>880</v>
      </c>
      <c r="D1238" s="105">
        <v>0</v>
      </c>
      <c r="E1238" s="105"/>
      <c r="F1238" s="105">
        <v>0</v>
      </c>
      <c r="G1238" s="105"/>
      <c r="H1238" s="105">
        <v>0</v>
      </c>
      <c r="I1238" s="105">
        <v>0</v>
      </c>
      <c r="J1238" s="105"/>
      <c r="K1238" s="105"/>
      <c r="L1238" s="105">
        <v>0</v>
      </c>
      <c r="M1238" s="105"/>
      <c r="N1238" s="105">
        <v>0</v>
      </c>
      <c r="O1238" s="105">
        <v>0</v>
      </c>
      <c r="P1238" s="105">
        <v>0</v>
      </c>
      <c r="Q1238" s="105">
        <v>0</v>
      </c>
      <c r="R1238" s="105"/>
      <c r="S1238" s="105"/>
      <c r="T1238" s="105">
        <v>0</v>
      </c>
      <c r="V1238" s="15" t="s">
        <v>300</v>
      </c>
      <c r="W1238" s="111"/>
      <c r="X1238" s="15" t="s">
        <v>302</v>
      </c>
    </row>
    <row r="1239" spans="1:26" x14ac:dyDescent="0.25">
      <c r="A1239" s="104">
        <v>12</v>
      </c>
      <c r="B1239" s="193" t="s">
        <v>570</v>
      </c>
      <c r="C1239" s="194" t="s">
        <v>2021</v>
      </c>
      <c r="D1239" s="105">
        <v>0</v>
      </c>
      <c r="E1239" s="105"/>
      <c r="F1239" s="105">
        <v>0</v>
      </c>
      <c r="G1239" s="105"/>
      <c r="H1239" s="105">
        <v>0</v>
      </c>
      <c r="I1239" s="105">
        <v>0</v>
      </c>
      <c r="J1239" s="105"/>
      <c r="K1239" s="105"/>
      <c r="L1239" s="105">
        <v>0</v>
      </c>
      <c r="M1239" s="105"/>
      <c r="N1239" s="105">
        <v>0</v>
      </c>
      <c r="O1239" s="105">
        <v>0</v>
      </c>
      <c r="P1239" s="105">
        <v>0</v>
      </c>
      <c r="Q1239" s="105">
        <v>0</v>
      </c>
      <c r="R1239" s="105"/>
      <c r="S1239" s="105"/>
      <c r="T1239" s="105">
        <v>0</v>
      </c>
      <c r="U1239" s="111"/>
      <c r="V1239" s="111"/>
      <c r="W1239" s="111"/>
      <c r="Y1239" s="111"/>
    </row>
    <row r="1240" spans="1:26" x14ac:dyDescent="0.25">
      <c r="A1240" s="104">
        <v>13</v>
      </c>
      <c r="B1240" s="193" t="s">
        <v>571</v>
      </c>
      <c r="C1240" s="194" t="s">
        <v>1313</v>
      </c>
      <c r="D1240" s="105">
        <v>0</v>
      </c>
      <c r="E1240" s="105"/>
      <c r="F1240" s="105">
        <v>0</v>
      </c>
      <c r="G1240" s="105"/>
      <c r="H1240" s="105">
        <v>0</v>
      </c>
      <c r="I1240" s="105">
        <v>0</v>
      </c>
      <c r="J1240" s="105"/>
      <c r="K1240" s="105"/>
      <c r="L1240" s="105">
        <v>0</v>
      </c>
      <c r="M1240" s="105"/>
      <c r="N1240" s="105">
        <v>0</v>
      </c>
      <c r="O1240" s="105">
        <v>0</v>
      </c>
      <c r="P1240" s="105">
        <v>0</v>
      </c>
      <c r="Q1240" s="105">
        <v>0</v>
      </c>
      <c r="R1240" s="105"/>
      <c r="S1240" s="105"/>
      <c r="T1240" s="105">
        <v>0</v>
      </c>
      <c r="U1240" s="111"/>
      <c r="V1240" s="111"/>
      <c r="W1240" s="111"/>
      <c r="X1240" s="111"/>
      <c r="Y1240" s="111"/>
    </row>
    <row r="1241" spans="1:26" x14ac:dyDescent="0.25">
      <c r="A1241" s="104">
        <v>14</v>
      </c>
      <c r="B1241" s="193" t="s">
        <v>303</v>
      </c>
      <c r="C1241" s="194" t="s">
        <v>1340</v>
      </c>
      <c r="D1241" s="105">
        <v>0</v>
      </c>
      <c r="E1241" s="105"/>
      <c r="F1241" s="105">
        <v>0</v>
      </c>
      <c r="G1241" s="105"/>
      <c r="H1241" s="105">
        <v>0</v>
      </c>
      <c r="I1241" s="105">
        <v>0</v>
      </c>
      <c r="J1241" s="105"/>
      <c r="K1241" s="105"/>
      <c r="L1241" s="105">
        <v>0</v>
      </c>
      <c r="M1241" s="105"/>
      <c r="N1241" s="105">
        <v>0</v>
      </c>
      <c r="O1241" s="105">
        <v>0</v>
      </c>
      <c r="P1241" s="105">
        <v>0</v>
      </c>
      <c r="Q1241" s="105">
        <v>0</v>
      </c>
      <c r="R1241" s="105"/>
      <c r="S1241" s="105"/>
      <c r="T1241" s="105">
        <v>0</v>
      </c>
      <c r="U1241" s="111"/>
      <c r="V1241" s="111"/>
      <c r="W1241" s="111"/>
      <c r="X1241" s="111"/>
      <c r="Y1241" s="111"/>
    </row>
    <row r="1242" spans="1:26" x14ac:dyDescent="0.25">
      <c r="A1242" s="104">
        <v>15</v>
      </c>
      <c r="B1242" s="193" t="s">
        <v>573</v>
      </c>
      <c r="C1242" s="194" t="s">
        <v>904</v>
      </c>
      <c r="D1242" s="105">
        <v>0</v>
      </c>
      <c r="E1242" s="105"/>
      <c r="F1242" s="105">
        <v>0</v>
      </c>
      <c r="G1242" s="105"/>
      <c r="H1242" s="105">
        <v>0</v>
      </c>
      <c r="I1242" s="105">
        <v>0</v>
      </c>
      <c r="J1242" s="105"/>
      <c r="K1242" s="105"/>
      <c r="L1242" s="105">
        <v>0</v>
      </c>
      <c r="M1242" s="105"/>
      <c r="N1242" s="105">
        <v>0</v>
      </c>
      <c r="O1242" s="105">
        <v>0</v>
      </c>
      <c r="P1242" s="105">
        <v>0</v>
      </c>
      <c r="Q1242" s="105">
        <v>0</v>
      </c>
      <c r="R1242" s="105"/>
      <c r="S1242" s="105"/>
      <c r="T1242" s="105">
        <v>0</v>
      </c>
      <c r="U1242" s="111"/>
      <c r="V1242" s="111"/>
      <c r="W1242" s="111"/>
      <c r="X1242" s="111"/>
      <c r="Y1242" s="111"/>
    </row>
    <row r="1243" spans="1:26" x14ac:dyDescent="0.25">
      <c r="A1243" s="104">
        <v>16</v>
      </c>
      <c r="B1243" s="193" t="s">
        <v>574</v>
      </c>
      <c r="C1243" s="194" t="s">
        <v>1412</v>
      </c>
      <c r="D1243" s="105">
        <v>0</v>
      </c>
      <c r="E1243" s="105"/>
      <c r="F1243" s="105">
        <v>0</v>
      </c>
      <c r="G1243" s="105"/>
      <c r="H1243" s="105">
        <v>0</v>
      </c>
      <c r="I1243" s="105">
        <v>0</v>
      </c>
      <c r="J1243" s="105"/>
      <c r="K1243" s="105"/>
      <c r="L1243" s="105">
        <v>0</v>
      </c>
      <c r="M1243" s="105"/>
      <c r="N1243" s="105">
        <v>0</v>
      </c>
      <c r="O1243" s="105">
        <v>0</v>
      </c>
      <c r="P1243" s="105">
        <v>0</v>
      </c>
      <c r="Q1243" s="105">
        <v>0</v>
      </c>
      <c r="R1243" s="105"/>
      <c r="S1243" s="105"/>
      <c r="T1243" s="105">
        <v>0</v>
      </c>
      <c r="U1243" s="111"/>
      <c r="V1243" s="111"/>
      <c r="W1243" s="111"/>
      <c r="X1243" s="111"/>
      <c r="Y1243" s="111"/>
    </row>
    <row r="1244" spans="1:26" x14ac:dyDescent="0.25">
      <c r="A1244" s="104">
        <v>17</v>
      </c>
      <c r="B1244" s="193" t="s">
        <v>304</v>
      </c>
      <c r="C1244" s="103"/>
      <c r="D1244" s="105">
        <v>0</v>
      </c>
      <c r="E1244" s="105"/>
      <c r="F1244" s="105">
        <v>0</v>
      </c>
      <c r="G1244" s="105"/>
      <c r="H1244" s="105">
        <v>0</v>
      </c>
      <c r="I1244" s="105">
        <v>0</v>
      </c>
      <c r="J1244" s="105"/>
      <c r="K1244" s="105"/>
      <c r="L1244" s="105">
        <v>0</v>
      </c>
      <c r="M1244" s="105"/>
      <c r="N1244" s="105">
        <v>0</v>
      </c>
      <c r="O1244" s="105">
        <v>0</v>
      </c>
      <c r="P1244" s="105">
        <v>0</v>
      </c>
      <c r="Q1244" s="105">
        <v>0</v>
      </c>
      <c r="R1244" s="105"/>
      <c r="S1244" s="105"/>
      <c r="T1244" s="105"/>
      <c r="U1244" s="111"/>
      <c r="V1244" s="111"/>
      <c r="W1244" s="111"/>
      <c r="X1244" s="111"/>
      <c r="Y1244" s="111"/>
    </row>
    <row r="1245" spans="1:26" x14ac:dyDescent="0.25">
      <c r="A1245" s="13"/>
      <c r="B1245" s="13"/>
      <c r="C1245" s="103"/>
      <c r="D1245" s="105"/>
      <c r="E1245" s="105"/>
      <c r="F1245" s="105"/>
      <c r="G1245" s="105"/>
      <c r="H1245" s="105"/>
      <c r="I1245" s="105"/>
      <c r="J1245" s="105"/>
      <c r="K1245" s="105"/>
      <c r="L1245" s="105"/>
      <c r="M1245" s="105"/>
      <c r="N1245" s="105"/>
      <c r="O1245" s="105"/>
      <c r="P1245" s="105"/>
      <c r="Q1245" s="105"/>
      <c r="R1245" s="105"/>
      <c r="S1245" s="105"/>
      <c r="T1245" s="105"/>
      <c r="W1245" s="111"/>
    </row>
    <row r="1246" spans="1:26" x14ac:dyDescent="0.25">
      <c r="A1246" s="104">
        <v>18</v>
      </c>
      <c r="B1246" s="193" t="s">
        <v>305</v>
      </c>
      <c r="C1246" s="103"/>
      <c r="D1246" s="105">
        <v>1355674868.3299899</v>
      </c>
      <c r="E1246" s="105"/>
      <c r="F1246" s="105">
        <v>1270754509.9632938</v>
      </c>
      <c r="G1246" s="105"/>
      <c r="H1246" s="105">
        <v>63129374.282536373</v>
      </c>
      <c r="I1246" s="105">
        <v>21790984.08415994</v>
      </c>
      <c r="J1246" s="105"/>
      <c r="K1246" s="105"/>
      <c r="L1246" s="105">
        <v>36611.848838917394</v>
      </c>
      <c r="M1246" s="105"/>
      <c r="N1246" s="105">
        <v>21754372.235321023</v>
      </c>
      <c r="O1246" s="105">
        <v>11131875.597945508</v>
      </c>
      <c r="P1246" s="105">
        <v>10622496.637375515</v>
      </c>
      <c r="Q1246" s="105">
        <v>6.3874146246058739E-12</v>
      </c>
      <c r="R1246" s="105"/>
      <c r="S1246" s="105"/>
      <c r="T1246" s="105"/>
      <c r="W1246" s="111"/>
    </row>
    <row r="1247" spans="1:26" x14ac:dyDescent="0.25">
      <c r="A1247" s="13"/>
      <c r="B1247" s="13"/>
      <c r="C1247" s="13"/>
      <c r="D1247" s="105"/>
      <c r="E1247" s="105"/>
      <c r="F1247" s="105"/>
      <c r="G1247" s="105"/>
      <c r="H1247" s="105"/>
      <c r="I1247" s="105"/>
      <c r="J1247" s="105"/>
      <c r="K1247" s="105"/>
      <c r="L1247" s="105"/>
      <c r="M1247" s="105"/>
      <c r="N1247" s="105"/>
      <c r="O1247" s="105"/>
      <c r="P1247" s="105"/>
      <c r="Q1247" s="105"/>
      <c r="R1247" s="105"/>
      <c r="S1247" s="105"/>
      <c r="T1247" s="105"/>
      <c r="W1247" s="111"/>
    </row>
    <row r="1248" spans="1:26" x14ac:dyDescent="0.25">
      <c r="A1248" s="13"/>
      <c r="B1248" s="13"/>
      <c r="C1248" s="103"/>
      <c r="D1248" s="105"/>
      <c r="E1248" s="105"/>
      <c r="F1248" s="105"/>
      <c r="G1248" s="105"/>
      <c r="H1248" s="105"/>
      <c r="I1248" s="105"/>
      <c r="J1248" s="105"/>
      <c r="K1248" s="105"/>
      <c r="L1248" s="105"/>
      <c r="M1248" s="105"/>
      <c r="N1248" s="105"/>
      <c r="O1248" s="105"/>
      <c r="P1248" s="105"/>
      <c r="Q1248" s="105"/>
      <c r="R1248" s="105"/>
      <c r="S1248" s="105"/>
      <c r="T1248" s="105"/>
      <c r="W1248" s="111"/>
    </row>
    <row r="1249" spans="1:25" x14ac:dyDescent="0.25">
      <c r="A1249" s="13"/>
      <c r="B1249" s="13"/>
      <c r="C1249" s="103"/>
      <c r="D1249" s="105"/>
      <c r="E1249" s="105"/>
      <c r="F1249" s="105"/>
      <c r="G1249" s="105"/>
      <c r="H1249" s="105"/>
      <c r="I1249" s="105"/>
      <c r="J1249" s="105"/>
      <c r="K1249" s="105"/>
      <c r="L1249" s="105"/>
      <c r="M1249" s="105"/>
      <c r="N1249" s="105"/>
      <c r="O1249" s="105"/>
      <c r="P1249" s="105"/>
      <c r="Q1249" s="105"/>
      <c r="R1249" s="105"/>
      <c r="S1249" s="105"/>
      <c r="T1249" s="105"/>
      <c r="U1249" s="111"/>
      <c r="V1249" s="111"/>
      <c r="W1249" s="111"/>
      <c r="X1249" s="111"/>
      <c r="Y1249" s="111"/>
    </row>
    <row r="1250" spans="1:25" x14ac:dyDescent="0.25">
      <c r="A1250" s="13"/>
      <c r="B1250" s="13"/>
      <c r="C1250" s="103"/>
      <c r="D1250" s="105"/>
      <c r="E1250" s="105"/>
      <c r="F1250" s="105"/>
      <c r="G1250" s="105"/>
      <c r="H1250" s="105"/>
      <c r="I1250" s="105"/>
      <c r="J1250" s="105"/>
      <c r="K1250" s="105"/>
      <c r="L1250" s="105"/>
      <c r="M1250" s="105"/>
      <c r="N1250" s="105"/>
      <c r="O1250" s="105"/>
      <c r="P1250" s="105"/>
      <c r="Q1250" s="105"/>
      <c r="R1250" s="105"/>
      <c r="S1250" s="105"/>
      <c r="T1250" s="105"/>
      <c r="W1250" s="111"/>
    </row>
    <row r="1251" spans="1:25" x14ac:dyDescent="0.25">
      <c r="A1251" s="13"/>
      <c r="B1251" s="13"/>
      <c r="C1251" s="103"/>
      <c r="D1251" s="105"/>
      <c r="E1251" s="105"/>
      <c r="F1251" s="105"/>
      <c r="G1251" s="105"/>
      <c r="H1251" s="105"/>
      <c r="I1251" s="105"/>
      <c r="J1251" s="105"/>
      <c r="K1251" s="105"/>
      <c r="L1251" s="105"/>
      <c r="M1251" s="105"/>
      <c r="N1251" s="105"/>
      <c r="O1251" s="105"/>
      <c r="P1251" s="105"/>
      <c r="Q1251" s="105"/>
      <c r="R1251" s="105"/>
      <c r="S1251" s="105"/>
      <c r="T1251" s="105"/>
      <c r="U1251" s="111"/>
      <c r="V1251" s="111"/>
      <c r="W1251" s="111"/>
      <c r="X1251" s="111"/>
      <c r="Y1251" s="111"/>
    </row>
    <row r="1252" spans="1:25" x14ac:dyDescent="0.25">
      <c r="A1252" s="13"/>
      <c r="B1252" s="13"/>
      <c r="C1252" s="103"/>
      <c r="D1252" s="105"/>
      <c r="E1252" s="105"/>
      <c r="F1252" s="105"/>
      <c r="G1252" s="105"/>
      <c r="H1252" s="105"/>
      <c r="I1252" s="105"/>
      <c r="J1252" s="105"/>
      <c r="K1252" s="105"/>
      <c r="L1252" s="105"/>
      <c r="M1252" s="105"/>
      <c r="N1252" s="105"/>
      <c r="O1252" s="105"/>
      <c r="P1252" s="105"/>
      <c r="Q1252" s="105"/>
      <c r="R1252" s="105"/>
      <c r="S1252" s="105"/>
      <c r="T1252" s="105"/>
      <c r="W1252" s="111"/>
    </row>
    <row r="1253" spans="1:25" x14ac:dyDescent="0.25">
      <c r="A1253" s="13"/>
      <c r="B1253" s="13"/>
      <c r="C1253" s="103"/>
      <c r="D1253" s="105"/>
      <c r="E1253" s="105"/>
      <c r="F1253" s="105"/>
      <c r="G1253" s="105"/>
      <c r="H1253" s="105"/>
      <c r="I1253" s="105"/>
      <c r="J1253" s="105"/>
      <c r="K1253" s="105"/>
      <c r="L1253" s="105"/>
      <c r="M1253" s="105"/>
      <c r="N1253" s="105"/>
      <c r="O1253" s="105"/>
      <c r="P1253" s="105"/>
      <c r="Q1253" s="105"/>
      <c r="R1253" s="105"/>
      <c r="S1253" s="105"/>
      <c r="T1253" s="105"/>
      <c r="U1253" s="111"/>
      <c r="V1253" s="111"/>
      <c r="W1253" s="111"/>
      <c r="X1253" s="111"/>
      <c r="Y1253" s="111"/>
    </row>
    <row r="1254" spans="1:25" x14ac:dyDescent="0.25">
      <c r="A1254" s="13"/>
      <c r="B1254" s="13"/>
      <c r="C1254" s="13"/>
      <c r="D1254" s="105"/>
      <c r="E1254" s="105"/>
      <c r="F1254" s="105"/>
      <c r="G1254" s="105"/>
      <c r="H1254" s="105"/>
      <c r="I1254" s="105"/>
      <c r="J1254" s="105"/>
      <c r="K1254" s="105"/>
      <c r="L1254" s="105"/>
      <c r="M1254" s="105"/>
      <c r="N1254" s="105"/>
      <c r="O1254" s="105"/>
      <c r="P1254" s="105"/>
      <c r="Q1254" s="105"/>
      <c r="R1254" s="105"/>
      <c r="S1254" s="105"/>
      <c r="T1254" s="105"/>
      <c r="W1254" s="111"/>
    </row>
    <row r="1255" spans="1:25" x14ac:dyDescent="0.25">
      <c r="A1255" s="13"/>
      <c r="B1255" s="195" t="s">
        <v>306</v>
      </c>
      <c r="C1255" s="103"/>
      <c r="D1255" s="105"/>
      <c r="E1255" s="105"/>
      <c r="F1255" s="105"/>
      <c r="G1255" s="105"/>
      <c r="H1255" s="105"/>
      <c r="I1255" s="105"/>
      <c r="J1255" s="105"/>
      <c r="K1255" s="105"/>
      <c r="L1255" s="105"/>
      <c r="M1255" s="105"/>
      <c r="N1255" s="105"/>
      <c r="O1255" s="105"/>
      <c r="P1255" s="105"/>
      <c r="Q1255" s="105"/>
      <c r="R1255" s="105"/>
      <c r="S1255" s="105"/>
      <c r="T1255" s="105"/>
      <c r="W1255" s="111"/>
    </row>
    <row r="1256" spans="1:25" x14ac:dyDescent="0.25">
      <c r="A1256" s="13"/>
      <c r="B1256" s="13"/>
      <c r="C1256" s="103"/>
      <c r="D1256" s="105"/>
      <c r="E1256" s="105"/>
      <c r="F1256" s="105"/>
      <c r="G1256" s="105"/>
      <c r="H1256" s="105"/>
      <c r="I1256" s="105"/>
      <c r="J1256" s="105"/>
      <c r="K1256" s="105"/>
      <c r="L1256" s="105"/>
      <c r="M1256" s="105"/>
      <c r="N1256" s="105"/>
      <c r="O1256" s="105"/>
      <c r="P1256" s="105"/>
      <c r="Q1256" s="105"/>
      <c r="R1256" s="105"/>
      <c r="S1256" s="105"/>
      <c r="T1256" s="105"/>
      <c r="W1256" s="111"/>
    </row>
    <row r="1257" spans="1:25" x14ac:dyDescent="0.25">
      <c r="A1257" s="104">
        <v>1</v>
      </c>
      <c r="B1257" s="193" t="s">
        <v>307</v>
      </c>
      <c r="C1257" s="194"/>
      <c r="D1257" s="105">
        <v>380412829</v>
      </c>
      <c r="E1257" s="105"/>
      <c r="F1257" s="105">
        <v>366281992.06762266</v>
      </c>
      <c r="G1257" s="105"/>
      <c r="H1257" s="105">
        <v>10516893.892460689</v>
      </c>
      <c r="I1257" s="105">
        <v>3613942.6956440937</v>
      </c>
      <c r="J1257" s="105"/>
      <c r="K1257" s="105"/>
      <c r="L1257" s="105">
        <v>-36439.716120013858</v>
      </c>
      <c r="M1257" s="105"/>
      <c r="N1257" s="105">
        <v>3650382.4117641076</v>
      </c>
      <c r="O1257" s="105">
        <v>1814167.1088668033</v>
      </c>
      <c r="P1257" s="105">
        <v>1836215.3028973043</v>
      </c>
      <c r="Q1257" s="105">
        <v>-6.3874146246058739E-12</v>
      </c>
      <c r="R1257" s="105"/>
      <c r="S1257" s="105"/>
      <c r="T1257" s="105">
        <v>380412828.66919345</v>
      </c>
      <c r="U1257" s="15" t="s">
        <v>2184</v>
      </c>
      <c r="W1257" s="111">
        <v>-0.33080655336380005</v>
      </c>
    </row>
    <row r="1258" spans="1:25" x14ac:dyDescent="0.25">
      <c r="A1258" s="13"/>
      <c r="B1258" s="13"/>
      <c r="C1258" s="103"/>
      <c r="D1258" s="105"/>
      <c r="E1258" s="105"/>
      <c r="F1258" s="105"/>
      <c r="G1258" s="105"/>
      <c r="H1258" s="105"/>
      <c r="I1258" s="105"/>
      <c r="J1258" s="105"/>
      <c r="K1258" s="105"/>
      <c r="L1258" s="105"/>
      <c r="M1258" s="105"/>
      <c r="N1258" s="105"/>
      <c r="O1258" s="105"/>
      <c r="P1258" s="105"/>
      <c r="Q1258" s="105"/>
      <c r="R1258" s="105"/>
      <c r="S1258" s="105"/>
      <c r="T1258" s="105"/>
      <c r="W1258" s="132"/>
    </row>
    <row r="1259" spans="1:25" x14ac:dyDescent="0.25">
      <c r="A1259" s="13"/>
      <c r="B1259" s="193" t="s">
        <v>308</v>
      </c>
      <c r="C1259" s="103"/>
      <c r="D1259" s="105"/>
      <c r="E1259" s="105"/>
      <c r="F1259" s="105"/>
      <c r="G1259" s="105"/>
      <c r="H1259" s="105"/>
      <c r="I1259" s="105"/>
      <c r="J1259" s="105"/>
      <c r="K1259" s="105"/>
      <c r="L1259" s="105"/>
      <c r="M1259" s="105"/>
      <c r="N1259" s="105"/>
      <c r="O1259" s="105"/>
      <c r="P1259" s="105"/>
      <c r="Q1259" s="105"/>
      <c r="R1259" s="105"/>
      <c r="S1259" s="105"/>
      <c r="T1259" s="105"/>
      <c r="V1259" s="111"/>
      <c r="W1259" s="111"/>
    </row>
    <row r="1260" spans="1:25" x14ac:dyDescent="0.25">
      <c r="A1260" s="13"/>
      <c r="B1260" s="193" t="s">
        <v>309</v>
      </c>
      <c r="C1260" s="103"/>
      <c r="D1260" s="105"/>
      <c r="E1260" s="105"/>
      <c r="F1260" s="105"/>
      <c r="G1260" s="105"/>
      <c r="H1260" s="105"/>
      <c r="I1260" s="105"/>
      <c r="J1260" s="105"/>
      <c r="K1260" s="105"/>
      <c r="L1260" s="105"/>
      <c r="M1260" s="105"/>
      <c r="N1260" s="105"/>
      <c r="O1260" s="105"/>
      <c r="P1260" s="105"/>
      <c r="Q1260" s="105"/>
      <c r="R1260" s="105"/>
      <c r="S1260" s="105"/>
      <c r="T1260" s="105"/>
      <c r="W1260" s="111"/>
    </row>
    <row r="1261" spans="1:25" x14ac:dyDescent="0.25">
      <c r="A1261" s="104">
        <v>2</v>
      </c>
      <c r="B1261" s="13"/>
      <c r="C1261" s="13"/>
      <c r="D1261" s="105"/>
      <c r="E1261" s="105"/>
      <c r="F1261" s="105"/>
      <c r="G1261" s="105"/>
      <c r="H1261" s="105"/>
      <c r="I1261" s="105"/>
      <c r="J1261" s="105"/>
      <c r="K1261" s="105"/>
      <c r="L1261" s="105"/>
      <c r="M1261" s="105"/>
      <c r="N1261" s="105"/>
      <c r="O1261" s="105"/>
      <c r="P1261" s="105"/>
      <c r="Q1261" s="105"/>
      <c r="R1261" s="105"/>
      <c r="S1261" s="105"/>
      <c r="T1261" s="105"/>
      <c r="W1261" s="111"/>
    </row>
    <row r="1262" spans="1:25" x14ac:dyDescent="0.25">
      <c r="A1262" s="104">
        <v>3</v>
      </c>
      <c r="B1262" s="13"/>
      <c r="C1262" s="13"/>
      <c r="D1262" s="105"/>
      <c r="E1262" s="105"/>
      <c r="F1262" s="105"/>
      <c r="G1262" s="105"/>
      <c r="H1262" s="105"/>
      <c r="I1262" s="105"/>
      <c r="J1262" s="105"/>
      <c r="K1262" s="105"/>
      <c r="L1262" s="105"/>
      <c r="M1262" s="105"/>
      <c r="N1262" s="105"/>
      <c r="O1262" s="105"/>
      <c r="P1262" s="105"/>
      <c r="Q1262" s="105"/>
      <c r="R1262" s="105"/>
      <c r="S1262" s="105"/>
      <c r="T1262" s="105"/>
      <c r="W1262" s="111"/>
    </row>
    <row r="1263" spans="1:25" x14ac:dyDescent="0.25">
      <c r="A1263" s="104">
        <v>4</v>
      </c>
      <c r="B1263" s="193" t="s">
        <v>310</v>
      </c>
      <c r="C1263" s="103"/>
      <c r="D1263" s="105">
        <v>0</v>
      </c>
      <c r="E1263" s="105"/>
      <c r="F1263" s="105">
        <v>0</v>
      </c>
      <c r="G1263" s="105"/>
      <c r="H1263" s="105">
        <v>0</v>
      </c>
      <c r="I1263" s="105">
        <v>0</v>
      </c>
      <c r="J1263" s="105"/>
      <c r="K1263" s="105"/>
      <c r="L1263" s="105">
        <v>0</v>
      </c>
      <c r="M1263" s="105"/>
      <c r="N1263" s="105">
        <v>0</v>
      </c>
      <c r="O1263" s="105">
        <v>0</v>
      </c>
      <c r="P1263" s="105">
        <v>0</v>
      </c>
      <c r="Q1263" s="105">
        <v>0</v>
      </c>
      <c r="R1263" s="105"/>
      <c r="S1263" s="105"/>
      <c r="T1263" s="105"/>
      <c r="W1263" s="111"/>
    </row>
    <row r="1264" spans="1:25" x14ac:dyDescent="0.25">
      <c r="A1264" s="13"/>
      <c r="B1264" s="13"/>
      <c r="C1264" s="103"/>
      <c r="D1264" s="105"/>
      <c r="E1264" s="105"/>
      <c r="F1264" s="105"/>
      <c r="G1264" s="105"/>
      <c r="H1264" s="105"/>
      <c r="I1264" s="105"/>
      <c r="J1264" s="105"/>
      <c r="K1264" s="105"/>
      <c r="L1264" s="105"/>
      <c r="M1264" s="105"/>
      <c r="N1264" s="105"/>
      <c r="O1264" s="105"/>
      <c r="P1264" s="105"/>
      <c r="Q1264" s="105"/>
      <c r="R1264" s="105"/>
      <c r="S1264" s="105"/>
      <c r="T1264" s="105"/>
      <c r="W1264" s="111"/>
    </row>
    <row r="1265" spans="1:28" x14ac:dyDescent="0.25">
      <c r="A1265" s="13"/>
      <c r="B1265" s="193" t="s">
        <v>311</v>
      </c>
      <c r="C1265" s="103"/>
      <c r="D1265" s="105"/>
      <c r="E1265" s="105"/>
      <c r="F1265" s="105"/>
      <c r="G1265" s="105"/>
      <c r="H1265" s="105"/>
      <c r="I1265" s="105"/>
      <c r="J1265" s="105"/>
      <c r="K1265" s="105"/>
      <c r="L1265" s="105"/>
      <c r="M1265" s="105"/>
      <c r="N1265" s="105"/>
      <c r="O1265" s="105"/>
      <c r="P1265" s="105"/>
      <c r="Q1265" s="105"/>
      <c r="R1265" s="105"/>
      <c r="S1265" s="105"/>
      <c r="T1265" s="105"/>
      <c r="W1265" s="111"/>
    </row>
    <row r="1266" spans="1:28" x14ac:dyDescent="0.25">
      <c r="A1266" s="13"/>
      <c r="B1266" s="193" t="s">
        <v>312</v>
      </c>
      <c r="C1266" s="103"/>
      <c r="D1266" s="105"/>
      <c r="E1266" s="105"/>
      <c r="F1266" s="105"/>
      <c r="G1266" s="105"/>
      <c r="H1266" s="105"/>
      <c r="I1266" s="105"/>
      <c r="J1266" s="105"/>
      <c r="K1266" s="105"/>
      <c r="L1266" s="105"/>
      <c r="M1266" s="105"/>
      <c r="N1266" s="105"/>
      <c r="O1266" s="105"/>
      <c r="P1266" s="105"/>
      <c r="Q1266" s="105"/>
      <c r="R1266" s="105"/>
      <c r="S1266" s="105"/>
      <c r="T1266" s="105"/>
      <c r="W1266" s="111"/>
    </row>
    <row r="1267" spans="1:28" x14ac:dyDescent="0.25">
      <c r="A1267" s="104">
        <v>5</v>
      </c>
      <c r="B1267" s="193" t="s">
        <v>313</v>
      </c>
      <c r="C1267" s="194" t="s">
        <v>34</v>
      </c>
      <c r="D1267" s="105">
        <v>116394856.27503476</v>
      </c>
      <c r="E1267" s="105"/>
      <c r="F1267" s="105">
        <v>109200167.85493115</v>
      </c>
      <c r="G1267" s="105"/>
      <c r="H1267" s="105">
        <v>5512749.3148575053</v>
      </c>
      <c r="I1267" s="105">
        <v>1681939.1052461027</v>
      </c>
      <c r="J1267" s="105"/>
      <c r="K1267" s="105"/>
      <c r="L1267" s="105">
        <v>9252.4936169406501</v>
      </c>
      <c r="M1267" s="105"/>
      <c r="N1267" s="105">
        <v>1672686.611629162</v>
      </c>
      <c r="O1267" s="105">
        <v>867737.93948222254</v>
      </c>
      <c r="P1267" s="105">
        <v>804948.67214693932</v>
      </c>
      <c r="Q1267" s="105">
        <v>1.7630203603144147E-13</v>
      </c>
      <c r="R1267" s="105"/>
      <c r="S1267" s="105"/>
      <c r="T1267" s="105">
        <v>116394856.27503476</v>
      </c>
      <c r="V1267" s="15" t="s">
        <v>300</v>
      </c>
      <c r="W1267" s="111"/>
      <c r="Y1267" s="15" t="s">
        <v>2041</v>
      </c>
      <c r="Z1267" s="111"/>
      <c r="AA1267" s="111"/>
    </row>
    <row r="1268" spans="1:28" x14ac:dyDescent="0.25">
      <c r="A1268" s="104">
        <v>6</v>
      </c>
      <c r="B1268" s="193" t="s">
        <v>314</v>
      </c>
      <c r="C1268" s="194" t="s">
        <v>1385</v>
      </c>
      <c r="D1268" s="105">
        <v>0</v>
      </c>
      <c r="E1268" s="105"/>
      <c r="F1268" s="105">
        <v>0</v>
      </c>
      <c r="G1268" s="105"/>
      <c r="H1268" s="105">
        <v>21902.279497089981</v>
      </c>
      <c r="I1268" s="105">
        <v>0</v>
      </c>
      <c r="J1268" s="105"/>
      <c r="K1268" s="105"/>
      <c r="L1268" s="105">
        <v>0</v>
      </c>
      <c r="M1268" s="105"/>
      <c r="N1268" s="105">
        <v>0</v>
      </c>
      <c r="O1268" s="105">
        <v>0</v>
      </c>
      <c r="P1268" s="105">
        <v>0</v>
      </c>
      <c r="Q1268" s="105">
        <v>0</v>
      </c>
      <c r="R1268" s="105"/>
      <c r="S1268" s="105"/>
      <c r="T1268" s="105">
        <v>435510.9</v>
      </c>
      <c r="U1268" s="111"/>
      <c r="V1268" s="111" t="s">
        <v>1746</v>
      </c>
      <c r="W1268" s="111"/>
      <c r="X1268" s="111"/>
      <c r="Y1268" s="116">
        <v>413608.62050291005</v>
      </c>
    </row>
    <row r="1269" spans="1:28" x14ac:dyDescent="0.25">
      <c r="A1269" s="104">
        <v>7</v>
      </c>
      <c r="B1269" s="193" t="s">
        <v>1280</v>
      </c>
      <c r="C1269" s="194" t="s">
        <v>2324</v>
      </c>
      <c r="D1269" s="105">
        <v>-2364.2750347616302</v>
      </c>
      <c r="E1269" s="105"/>
      <c r="F1269" s="105">
        <v>0</v>
      </c>
      <c r="G1269" s="105"/>
      <c r="H1269" s="105">
        <v>0</v>
      </c>
      <c r="I1269" s="105">
        <v>-2364.2750347616302</v>
      </c>
      <c r="J1269" s="105"/>
      <c r="K1269" s="105"/>
      <c r="L1269" s="105">
        <v>0</v>
      </c>
      <c r="M1269" s="105"/>
      <c r="N1269" s="105">
        <v>-2364.2750347616302</v>
      </c>
      <c r="O1269" s="105">
        <v>-1199.0942225809106</v>
      </c>
      <c r="P1269" s="105">
        <v>-1165.1808121807196</v>
      </c>
      <c r="Q1269" s="105">
        <v>0</v>
      </c>
      <c r="R1269" s="105"/>
      <c r="S1269" s="105"/>
      <c r="T1269" s="105">
        <v>-2364.2750347616302</v>
      </c>
      <c r="U1269" s="111"/>
      <c r="V1269" s="111" t="s">
        <v>300</v>
      </c>
      <c r="W1269" s="111"/>
      <c r="X1269" s="155"/>
      <c r="Y1269" s="161"/>
      <c r="Z1269" s="55"/>
    </row>
    <row r="1270" spans="1:28" x14ac:dyDescent="0.25">
      <c r="A1270" s="104">
        <v>8</v>
      </c>
      <c r="B1270" s="193" t="s">
        <v>1281</v>
      </c>
      <c r="C1270" s="103"/>
      <c r="D1270" s="105">
        <v>116392492</v>
      </c>
      <c r="E1270" s="105"/>
      <c r="F1270" s="105">
        <v>109200167.85493115</v>
      </c>
      <c r="G1270" s="105"/>
      <c r="H1270" s="105">
        <v>5534651.5943545951</v>
      </c>
      <c r="I1270" s="105">
        <v>1679574.8302113409</v>
      </c>
      <c r="J1270" s="105"/>
      <c r="K1270" s="105"/>
      <c r="L1270" s="105">
        <v>9252.4936169406501</v>
      </c>
      <c r="M1270" s="105"/>
      <c r="N1270" s="105">
        <v>1670322.3365944002</v>
      </c>
      <c r="O1270" s="105">
        <v>866538.84525964165</v>
      </c>
      <c r="P1270" s="105">
        <v>803783.49133475858</v>
      </c>
      <c r="Q1270" s="105">
        <v>1.7630203603144147E-13</v>
      </c>
      <c r="R1270" s="105"/>
      <c r="S1270" s="105"/>
      <c r="T1270" s="105"/>
      <c r="U1270" s="111"/>
      <c r="V1270" s="111" t="s">
        <v>300</v>
      </c>
      <c r="W1270" s="111"/>
      <c r="X1270" s="133"/>
      <c r="Y1270" s="133"/>
      <c r="Z1270" s="95"/>
    </row>
    <row r="1271" spans="1:28" x14ac:dyDescent="0.25">
      <c r="A1271" s="13"/>
      <c r="B1271" s="13"/>
      <c r="C1271" s="103"/>
      <c r="D1271" s="105"/>
      <c r="E1271" s="105"/>
      <c r="F1271" s="105"/>
      <c r="G1271" s="105"/>
      <c r="H1271" s="105"/>
      <c r="I1271" s="105"/>
      <c r="J1271" s="105"/>
      <c r="K1271" s="105"/>
      <c r="L1271" s="105"/>
      <c r="M1271" s="105"/>
      <c r="N1271" s="105"/>
      <c r="O1271" s="105"/>
      <c r="P1271" s="105"/>
      <c r="Q1271" s="105"/>
      <c r="R1271" s="105"/>
      <c r="S1271" s="105"/>
      <c r="T1271" s="105"/>
      <c r="U1271" s="111"/>
      <c r="V1271" s="111"/>
      <c r="W1271" s="111"/>
      <c r="X1271" s="133"/>
      <c r="Y1271" s="133"/>
      <c r="Z1271" s="95"/>
    </row>
    <row r="1272" spans="1:28" x14ac:dyDescent="0.25">
      <c r="A1272" s="13"/>
      <c r="B1272" s="193" t="s">
        <v>1282</v>
      </c>
      <c r="C1272" s="103"/>
      <c r="D1272" s="105"/>
      <c r="E1272" s="105"/>
      <c r="F1272" s="105"/>
      <c r="G1272" s="105"/>
      <c r="H1272" s="105"/>
      <c r="I1272" s="105"/>
      <c r="J1272" s="105"/>
      <c r="K1272" s="105"/>
      <c r="L1272" s="105"/>
      <c r="M1272" s="105"/>
      <c r="N1272" s="105"/>
      <c r="O1272" s="105"/>
      <c r="P1272" s="105"/>
      <c r="Q1272" s="105"/>
      <c r="R1272" s="105"/>
      <c r="S1272" s="105"/>
      <c r="T1272" s="105"/>
      <c r="U1272" s="111"/>
      <c r="W1272" s="111"/>
    </row>
    <row r="1273" spans="1:28" x14ac:dyDescent="0.25">
      <c r="A1273" s="104">
        <v>9</v>
      </c>
      <c r="B1273" s="196" t="s">
        <v>1988</v>
      </c>
      <c r="C1273" s="194" t="s">
        <v>1247</v>
      </c>
      <c r="D1273" s="105">
        <v>0</v>
      </c>
      <c r="E1273" s="105"/>
      <c r="F1273" s="105">
        <v>0</v>
      </c>
      <c r="G1273" s="105"/>
      <c r="H1273" s="105">
        <v>0</v>
      </c>
      <c r="I1273" s="105">
        <v>0</v>
      </c>
      <c r="J1273" s="105"/>
      <c r="K1273" s="105"/>
      <c r="L1273" s="105">
        <v>0</v>
      </c>
      <c r="M1273" s="105"/>
      <c r="N1273" s="105">
        <v>0</v>
      </c>
      <c r="O1273" s="105">
        <v>0</v>
      </c>
      <c r="P1273" s="105">
        <v>0</v>
      </c>
      <c r="Q1273" s="105">
        <v>0</v>
      </c>
      <c r="R1273" s="105"/>
      <c r="S1273" s="105"/>
      <c r="T1273" s="105">
        <v>0</v>
      </c>
      <c r="U1273" s="111"/>
      <c r="V1273" s="15" t="s">
        <v>1989</v>
      </c>
      <c r="W1273" s="111"/>
    </row>
    <row r="1274" spans="1:28" x14ac:dyDescent="0.25">
      <c r="A1274" s="104">
        <v>10</v>
      </c>
      <c r="B1274" s="196" t="s">
        <v>2090</v>
      </c>
      <c r="C1274" s="194" t="s">
        <v>1394</v>
      </c>
      <c r="D1274" s="105">
        <v>0</v>
      </c>
      <c r="E1274" s="105"/>
      <c r="F1274" s="105">
        <v>0</v>
      </c>
      <c r="G1274" s="105"/>
      <c r="H1274" s="105">
        <v>0</v>
      </c>
      <c r="I1274" s="105">
        <v>0</v>
      </c>
      <c r="J1274" s="105"/>
      <c r="K1274" s="105"/>
      <c r="L1274" s="105">
        <v>0</v>
      </c>
      <c r="M1274" s="105"/>
      <c r="N1274" s="105">
        <v>0</v>
      </c>
      <c r="O1274" s="105">
        <v>0</v>
      </c>
      <c r="P1274" s="105">
        <v>0</v>
      </c>
      <c r="Q1274" s="105">
        <v>0</v>
      </c>
      <c r="R1274" s="105"/>
      <c r="S1274" s="105"/>
      <c r="T1274" s="105">
        <v>0</v>
      </c>
      <c r="U1274" s="111"/>
      <c r="V1274" s="146" t="s">
        <v>2120</v>
      </c>
      <c r="W1274" s="111"/>
      <c r="X1274" s="15">
        <v>302124</v>
      </c>
      <c r="Y1274" s="111">
        <v>0.25608416455893623</v>
      </c>
    </row>
    <row r="1275" spans="1:28" x14ac:dyDescent="0.25">
      <c r="A1275" s="104">
        <v>11</v>
      </c>
      <c r="B1275" s="193" t="s">
        <v>1990</v>
      </c>
      <c r="C1275" s="194" t="s">
        <v>1239</v>
      </c>
      <c r="D1275" s="105">
        <v>204867.33164714897</v>
      </c>
      <c r="E1275" s="105"/>
      <c r="F1275" s="105">
        <v>107587.62273549214</v>
      </c>
      <c r="G1275" s="105"/>
      <c r="H1275" s="105">
        <v>66725.944744563894</v>
      </c>
      <c r="I1275" s="105">
        <v>30553.764167092952</v>
      </c>
      <c r="J1275" s="105"/>
      <c r="K1275" s="105"/>
      <c r="L1275" s="105">
        <v>0</v>
      </c>
      <c r="M1275" s="105"/>
      <c r="N1275" s="105">
        <v>30553.764167092952</v>
      </c>
      <c r="O1275" s="105">
        <v>15496.015291027503</v>
      </c>
      <c r="P1275" s="105">
        <v>15057.748876065451</v>
      </c>
      <c r="Q1275" s="105">
        <v>0</v>
      </c>
      <c r="R1275" s="105"/>
      <c r="S1275" s="105"/>
      <c r="T1275" s="105">
        <v>204867.331647149</v>
      </c>
      <c r="U1275" s="111"/>
      <c r="V1275" s="146" t="s">
        <v>300</v>
      </c>
      <c r="W1275" s="111"/>
      <c r="X1275" s="111">
        <v>877660</v>
      </c>
      <c r="Y1275" s="134">
        <v>0.74391583544106377</v>
      </c>
    </row>
    <row r="1276" spans="1:28" x14ac:dyDescent="0.25">
      <c r="A1276" s="104">
        <v>12</v>
      </c>
      <c r="B1276" s="193" t="s">
        <v>1991</v>
      </c>
      <c r="C1276" s="194" t="s">
        <v>1245</v>
      </c>
      <c r="D1276" s="105">
        <v>595132.66835285106</v>
      </c>
      <c r="E1276" s="105"/>
      <c r="F1276" s="105">
        <v>463502.72308664006</v>
      </c>
      <c r="G1276" s="105"/>
      <c r="H1276" s="105">
        <v>0</v>
      </c>
      <c r="I1276" s="105">
        <v>131629.945266211</v>
      </c>
      <c r="J1276" s="105"/>
      <c r="K1276" s="105"/>
      <c r="L1276" s="105">
        <v>0</v>
      </c>
      <c r="M1276" s="105"/>
      <c r="N1276" s="105">
        <v>131629.945266211</v>
      </c>
      <c r="O1276" s="105">
        <v>66759.029540430944</v>
      </c>
      <c r="P1276" s="105">
        <v>64870.915725780062</v>
      </c>
      <c r="Q1276" s="105">
        <v>0</v>
      </c>
      <c r="R1276" s="105"/>
      <c r="S1276" s="105"/>
      <c r="T1276" s="105">
        <v>595132.66835285106</v>
      </c>
      <c r="U1276" s="111"/>
      <c r="V1276" s="111" t="s">
        <v>300</v>
      </c>
      <c r="W1276" s="111"/>
      <c r="X1276" s="111">
        <v>1179784</v>
      </c>
      <c r="Y1276" s="134"/>
    </row>
    <row r="1277" spans="1:28" x14ac:dyDescent="0.25">
      <c r="A1277" s="104">
        <v>13</v>
      </c>
      <c r="B1277" s="193" t="s">
        <v>1283</v>
      </c>
      <c r="C1277" s="194" t="s">
        <v>34</v>
      </c>
      <c r="D1277" s="105">
        <v>339000</v>
      </c>
      <c r="E1277" s="105"/>
      <c r="F1277" s="105">
        <v>318045.47114477376</v>
      </c>
      <c r="G1277" s="105"/>
      <c r="H1277" s="105">
        <v>-397552.73901858769</v>
      </c>
      <c r="I1277" s="105">
        <v>4898.6473709038355</v>
      </c>
      <c r="J1277" s="105"/>
      <c r="K1277" s="105"/>
      <c r="L1277" s="105">
        <v>26.9478861568528</v>
      </c>
      <c r="M1277" s="105"/>
      <c r="N1277" s="105">
        <v>4871.6994847469823</v>
      </c>
      <c r="O1277" s="105">
        <v>2527.2866078324096</v>
      </c>
      <c r="P1277" s="105">
        <v>2344.4128769145727</v>
      </c>
      <c r="Q1277" s="105">
        <v>5.1347965131237343E-16</v>
      </c>
      <c r="R1277" s="105"/>
      <c r="S1277" s="105"/>
      <c r="T1277" s="105">
        <v>339000</v>
      </c>
      <c r="U1277" s="111"/>
      <c r="V1277" s="111" t="s">
        <v>2042</v>
      </c>
      <c r="W1277" s="111"/>
      <c r="X1277" s="111"/>
    </row>
    <row r="1278" spans="1:28" x14ac:dyDescent="0.25">
      <c r="A1278" s="13"/>
      <c r="B1278" s="13"/>
      <c r="C1278" s="103"/>
      <c r="D1278" s="105"/>
      <c r="E1278" s="105"/>
      <c r="F1278" s="105"/>
      <c r="G1278" s="105"/>
      <c r="H1278" s="105"/>
      <c r="I1278" s="105"/>
      <c r="J1278" s="105"/>
      <c r="K1278" s="105"/>
      <c r="L1278" s="105"/>
      <c r="M1278" s="105"/>
      <c r="N1278" s="105"/>
      <c r="O1278" s="105"/>
      <c r="P1278" s="105"/>
      <c r="Q1278" s="105"/>
      <c r="R1278" s="105"/>
      <c r="S1278" s="105"/>
      <c r="T1278" s="105"/>
      <c r="U1278" s="111"/>
      <c r="V1278" s="111"/>
      <c r="W1278" s="111"/>
      <c r="X1278" s="135"/>
      <c r="Y1278" s="116"/>
    </row>
    <row r="1279" spans="1:28" x14ac:dyDescent="0.25">
      <c r="A1279" s="104">
        <v>14</v>
      </c>
      <c r="B1279" s="196" t="s">
        <v>1992</v>
      </c>
      <c r="C1279" s="103"/>
      <c r="D1279" s="105">
        <v>265159337</v>
      </c>
      <c r="E1279" s="105"/>
      <c r="F1279" s="105">
        <v>257970960</v>
      </c>
      <c r="G1279" s="105"/>
      <c r="H1279" s="105">
        <v>4651416</v>
      </c>
      <c r="I1279" s="105">
        <v>2101451</v>
      </c>
      <c r="J1279" s="105"/>
      <c r="K1279" s="105"/>
      <c r="L1279" s="105">
        <v>-45665</v>
      </c>
      <c r="M1279" s="105"/>
      <c r="N1279" s="105">
        <v>2147116</v>
      </c>
      <c r="O1279" s="105">
        <v>1032411</v>
      </c>
      <c r="P1279" s="105">
        <v>1114705</v>
      </c>
      <c r="Q1279" s="105">
        <v>0</v>
      </c>
      <c r="R1279" s="105"/>
      <c r="S1279" s="105"/>
      <c r="T1279" s="105">
        <v>265159337</v>
      </c>
      <c r="W1279" s="136"/>
      <c r="X1279" s="120"/>
      <c r="Y1279" s="120"/>
      <c r="Z1279" s="120"/>
      <c r="AA1279" s="16"/>
    </row>
    <row r="1280" spans="1:28" x14ac:dyDescent="0.25">
      <c r="A1280" s="104">
        <v>15</v>
      </c>
      <c r="B1280" s="196" t="s">
        <v>2091</v>
      </c>
      <c r="C1280" s="103"/>
      <c r="D1280" s="105">
        <v>265159337</v>
      </c>
      <c r="E1280" s="105"/>
      <c r="F1280" s="105">
        <v>257970960</v>
      </c>
      <c r="G1280" s="105"/>
      <c r="H1280" s="105">
        <v>8848082.2371237818</v>
      </c>
      <c r="I1280" s="105">
        <v>2101451</v>
      </c>
      <c r="J1280" s="105"/>
      <c r="K1280" s="105"/>
      <c r="L1280" s="105">
        <v>-45665</v>
      </c>
      <c r="M1280" s="105"/>
      <c r="N1280" s="105">
        <v>2147116</v>
      </c>
      <c r="O1280" s="105">
        <v>1032411</v>
      </c>
      <c r="P1280" s="105">
        <v>1114705</v>
      </c>
      <c r="Q1280" s="105">
        <v>0</v>
      </c>
      <c r="R1280" s="105"/>
      <c r="S1280" s="105"/>
      <c r="T1280" s="105">
        <v>264126329.1566124</v>
      </c>
      <c r="V1280" s="111"/>
      <c r="W1280" s="102"/>
      <c r="X1280" s="102"/>
      <c r="Y1280" s="102"/>
      <c r="Z1280" s="102"/>
      <c r="AB1280" s="137"/>
    </row>
    <row r="1281" spans="1:28" x14ac:dyDescent="0.25">
      <c r="A1281" s="13"/>
      <c r="B1281" s="13"/>
      <c r="C1281" s="103"/>
      <c r="D1281" s="105"/>
      <c r="E1281" s="105"/>
      <c r="F1281" s="105"/>
      <c r="G1281" s="105"/>
      <c r="H1281" s="105"/>
      <c r="I1281" s="105"/>
      <c r="J1281" s="105"/>
      <c r="K1281" s="105"/>
      <c r="L1281" s="105"/>
      <c r="M1281" s="105"/>
      <c r="N1281" s="105"/>
      <c r="O1281" s="105"/>
      <c r="P1281" s="105"/>
      <c r="Q1281" s="105"/>
      <c r="R1281" s="105"/>
      <c r="S1281" s="105"/>
      <c r="T1281" s="105">
        <v>3.349943288644032E-2</v>
      </c>
      <c r="V1281" s="111" t="s">
        <v>2185</v>
      </c>
      <c r="W1281" s="138"/>
      <c r="X1281" s="138"/>
      <c r="Y1281" s="138"/>
      <c r="Z1281" s="138"/>
      <c r="AB1281" s="137"/>
    </row>
    <row r="1282" spans="1:28" x14ac:dyDescent="0.25">
      <c r="A1282" s="104">
        <v>16</v>
      </c>
      <c r="B1282" s="193" t="s">
        <v>1284</v>
      </c>
      <c r="C1282" s="13"/>
      <c r="D1282" s="105">
        <v>13257966.850000001</v>
      </c>
      <c r="E1282" s="105"/>
      <c r="F1282" s="105">
        <v>12898548</v>
      </c>
      <c r="G1282" s="105"/>
      <c r="H1282" s="105">
        <v>530884.93422742689</v>
      </c>
      <c r="I1282" s="105">
        <v>105072.55</v>
      </c>
      <c r="J1282" s="105"/>
      <c r="K1282" s="105"/>
      <c r="L1282" s="105">
        <v>-2283.25</v>
      </c>
      <c r="M1282" s="105"/>
      <c r="N1282" s="105">
        <v>107355.8</v>
      </c>
      <c r="O1282" s="105">
        <v>51620.55</v>
      </c>
      <c r="P1282" s="105">
        <v>55735.25</v>
      </c>
      <c r="Q1282" s="105">
        <v>0</v>
      </c>
      <c r="R1282" s="105"/>
      <c r="S1282" s="105"/>
      <c r="T1282" s="105"/>
      <c r="V1282" s="111"/>
      <c r="W1282" s="111"/>
      <c r="X1282" s="120"/>
    </row>
    <row r="1283" spans="1:28" x14ac:dyDescent="0.25">
      <c r="A1283" s="104">
        <v>17</v>
      </c>
      <c r="B1283" s="193" t="s">
        <v>2043</v>
      </c>
      <c r="C1283" s="194" t="s">
        <v>34</v>
      </c>
      <c r="D1283" s="105">
        <v>80825</v>
      </c>
      <c r="E1283" s="105"/>
      <c r="F1283" s="105">
        <v>75829</v>
      </c>
      <c r="G1283" s="105"/>
      <c r="H1283" s="105">
        <v>3828</v>
      </c>
      <c r="I1283" s="105">
        <v>1168</v>
      </c>
      <c r="J1283" s="105"/>
      <c r="K1283" s="105"/>
      <c r="L1283" s="105">
        <v>6</v>
      </c>
      <c r="M1283" s="105"/>
      <c r="N1283" s="105">
        <v>1162</v>
      </c>
      <c r="O1283" s="105">
        <v>603</v>
      </c>
      <c r="P1283" s="105">
        <v>559</v>
      </c>
      <c r="Q1283" s="105">
        <v>1.2242475757322296E-16</v>
      </c>
      <c r="R1283" s="105"/>
      <c r="S1283" s="105"/>
      <c r="T1283" s="105">
        <v>80825</v>
      </c>
      <c r="V1283" s="111" t="s">
        <v>2121</v>
      </c>
      <c r="W1283" s="111"/>
      <c r="X1283" s="120"/>
      <c r="Z1283" s="15" t="s">
        <v>1285</v>
      </c>
      <c r="AA1283" s="15" t="s">
        <v>2186</v>
      </c>
    </row>
    <row r="1284" spans="1:28" x14ac:dyDescent="0.25">
      <c r="A1284" s="102">
        <v>18</v>
      </c>
      <c r="B1284" s="99" t="s">
        <v>2044</v>
      </c>
      <c r="C1284" s="192" t="s">
        <v>1243</v>
      </c>
      <c r="D1284" s="105">
        <v>-1620000</v>
      </c>
      <c r="E1284" s="105"/>
      <c r="F1284" s="105">
        <v>-1586730</v>
      </c>
      <c r="G1284" s="105"/>
      <c r="H1284" s="105">
        <v>0</v>
      </c>
      <c r="I1284" s="105">
        <v>-33270</v>
      </c>
      <c r="J1284" s="105"/>
      <c r="K1284" s="105"/>
      <c r="L1284" s="105">
        <v>0</v>
      </c>
      <c r="M1284" s="105"/>
      <c r="N1284" s="105">
        <v>-33270</v>
      </c>
      <c r="O1284" s="105">
        <v>-16874</v>
      </c>
      <c r="P1284" s="105">
        <v>-16396</v>
      </c>
      <c r="Q1284" s="105">
        <v>0</v>
      </c>
      <c r="R1284" s="105"/>
      <c r="S1284" s="105"/>
      <c r="T1284" s="105">
        <v>-1620000</v>
      </c>
      <c r="V1284" s="108" t="s">
        <v>300</v>
      </c>
      <c r="W1284" s="111"/>
      <c r="Y1284" s="15">
        <v>80824</v>
      </c>
      <c r="Z1284" s="16">
        <v>10183151.460000001</v>
      </c>
      <c r="AA1284" s="108">
        <v>0.39000000059604645</v>
      </c>
    </row>
    <row r="1285" spans="1:28" x14ac:dyDescent="0.25">
      <c r="A1285" s="13">
        <v>19</v>
      </c>
      <c r="B1285" s="196" t="s">
        <v>299</v>
      </c>
      <c r="C1285" s="194" t="s">
        <v>1320</v>
      </c>
      <c r="D1285" s="105">
        <v>-1535640</v>
      </c>
      <c r="E1285" s="105"/>
      <c r="F1285" s="105">
        <v>-1512126</v>
      </c>
      <c r="G1285" s="105"/>
      <c r="H1285" s="105">
        <v>0</v>
      </c>
      <c r="I1285" s="105">
        <v>-23514</v>
      </c>
      <c r="J1285" s="105"/>
      <c r="K1285" s="105"/>
      <c r="L1285" s="105">
        <v>-114</v>
      </c>
      <c r="M1285" s="105"/>
      <c r="N1285" s="105">
        <v>-23400</v>
      </c>
      <c r="O1285" s="105">
        <v>-12162</v>
      </c>
      <c r="P1285" s="105">
        <v>-11238</v>
      </c>
      <c r="Q1285" s="105">
        <v>-2.4184865443874967E-15</v>
      </c>
      <c r="R1285" s="105"/>
      <c r="S1285" s="105"/>
      <c r="T1285" s="105">
        <v>-1535639</v>
      </c>
      <c r="U1285" s="111"/>
      <c r="V1285" s="111" t="s">
        <v>300</v>
      </c>
      <c r="W1285" s="111"/>
      <c r="X1285" s="111"/>
      <c r="Y1285" s="111">
        <v>80824.609999999404</v>
      </c>
      <c r="Z1285" s="16"/>
      <c r="AA1285" s="140"/>
    </row>
    <row r="1286" spans="1:28" x14ac:dyDescent="0.25">
      <c r="A1286" s="104">
        <v>20</v>
      </c>
      <c r="B1286" s="193" t="s">
        <v>1286</v>
      </c>
      <c r="C1286" s="103"/>
      <c r="D1286" s="105">
        <v>10183151.850000001</v>
      </c>
      <c r="E1286" s="105"/>
      <c r="F1286" s="105">
        <v>9875521</v>
      </c>
      <c r="G1286" s="105"/>
      <c r="H1286" s="105">
        <v>534712.93422742689</v>
      </c>
      <c r="I1286" s="105">
        <v>49456.55</v>
      </c>
      <c r="J1286" s="105"/>
      <c r="K1286" s="105"/>
      <c r="L1286" s="105">
        <v>-2391.25</v>
      </c>
      <c r="M1286" s="105"/>
      <c r="N1286" s="105">
        <v>51847.8</v>
      </c>
      <c r="O1286" s="105">
        <v>23187.550000000003</v>
      </c>
      <c r="P1286" s="105">
        <v>28660.25</v>
      </c>
      <c r="Q1286" s="105">
        <v>1.2242475757322296E-16</v>
      </c>
      <c r="R1286" s="105"/>
      <c r="S1286" s="105"/>
      <c r="T1286" s="105"/>
      <c r="U1286" s="111"/>
      <c r="V1286" s="111" t="s">
        <v>1993</v>
      </c>
      <c r="W1286" s="111"/>
      <c r="X1286" s="111"/>
      <c r="Z1286" s="16"/>
      <c r="AA1286" s="140"/>
    </row>
    <row r="1287" spans="1:28" x14ac:dyDescent="0.25">
      <c r="A1287" s="13">
        <v>21</v>
      </c>
      <c r="B1287" s="196" t="s">
        <v>1994</v>
      </c>
      <c r="C1287" s="194" t="s">
        <v>1247</v>
      </c>
      <c r="D1287" s="105">
        <v>0</v>
      </c>
      <c r="E1287" s="105"/>
      <c r="F1287" s="105">
        <v>0</v>
      </c>
      <c r="G1287" s="105"/>
      <c r="H1287" s="105">
        <v>0</v>
      </c>
      <c r="I1287" s="105">
        <v>0</v>
      </c>
      <c r="J1287" s="105"/>
      <c r="K1287" s="105"/>
      <c r="L1287" s="105">
        <v>0</v>
      </c>
      <c r="M1287" s="105"/>
      <c r="N1287" s="105">
        <v>0</v>
      </c>
      <c r="O1287" s="105">
        <v>0</v>
      </c>
      <c r="P1287" s="105">
        <v>0</v>
      </c>
      <c r="Q1287" s="105">
        <v>0</v>
      </c>
      <c r="R1287" s="105"/>
      <c r="S1287" s="105"/>
      <c r="T1287" s="105">
        <v>0</v>
      </c>
      <c r="U1287" s="111"/>
      <c r="V1287" s="146"/>
      <c r="W1287" s="111"/>
    </row>
    <row r="1288" spans="1:28" x14ac:dyDescent="0.25">
      <c r="A1288" s="13">
        <v>22</v>
      </c>
      <c r="B1288" s="206" t="s">
        <v>1747</v>
      </c>
      <c r="C1288" s="194" t="s">
        <v>34</v>
      </c>
      <c r="D1288" s="105">
        <v>0</v>
      </c>
      <c r="E1288" s="105"/>
      <c r="F1288" s="105">
        <v>0</v>
      </c>
      <c r="G1288" s="105"/>
      <c r="H1288" s="105">
        <v>413608.62050291005</v>
      </c>
      <c r="I1288" s="105">
        <v>0</v>
      </c>
      <c r="J1288" s="105"/>
      <c r="K1288" s="105"/>
      <c r="L1288" s="105">
        <v>0</v>
      </c>
      <c r="M1288" s="105"/>
      <c r="N1288" s="105">
        <v>0</v>
      </c>
      <c r="O1288" s="105">
        <v>0</v>
      </c>
      <c r="P1288" s="105">
        <v>0</v>
      </c>
      <c r="Q1288" s="105">
        <v>0</v>
      </c>
      <c r="R1288" s="105"/>
      <c r="S1288" s="105"/>
      <c r="T1288" s="105">
        <v>0</v>
      </c>
      <c r="V1288" s="15" t="s">
        <v>1995</v>
      </c>
      <c r="W1288" s="111"/>
      <c r="Z1288" s="16"/>
    </row>
    <row r="1289" spans="1:28" x14ac:dyDescent="0.25">
      <c r="A1289" s="104">
        <v>23</v>
      </c>
      <c r="B1289" s="196" t="s">
        <v>2092</v>
      </c>
      <c r="C1289" s="13"/>
      <c r="D1289" s="105">
        <v>254976185.15000001</v>
      </c>
      <c r="E1289" s="105"/>
      <c r="F1289" s="105">
        <v>248095439</v>
      </c>
      <c r="G1289" s="105"/>
      <c r="H1289" s="105">
        <v>4530311.6862754831</v>
      </c>
      <c r="I1289" s="105">
        <v>2051994.45</v>
      </c>
      <c r="J1289" s="105"/>
      <c r="K1289" s="105"/>
      <c r="L1289" s="105">
        <v>-43273.75</v>
      </c>
      <c r="M1289" s="105"/>
      <c r="N1289" s="105">
        <v>2095268.2</v>
      </c>
      <c r="O1289" s="105">
        <v>1009223.45</v>
      </c>
      <c r="P1289" s="105">
        <v>1086044.75</v>
      </c>
      <c r="Q1289" s="105">
        <v>-1.2242475757322296E-16</v>
      </c>
      <c r="R1289" s="105"/>
      <c r="S1289" s="105"/>
      <c r="T1289" s="105"/>
      <c r="U1289" s="111"/>
      <c r="V1289" s="146" t="s">
        <v>2045</v>
      </c>
      <c r="W1289" s="111"/>
    </row>
    <row r="1290" spans="1:28" x14ac:dyDescent="0.25">
      <c r="A1290" s="13"/>
      <c r="B1290" s="13"/>
      <c r="C1290" s="13"/>
      <c r="D1290" s="105"/>
      <c r="E1290" s="105"/>
      <c r="F1290" s="105"/>
      <c r="G1290" s="105"/>
      <c r="H1290" s="105"/>
      <c r="I1290" s="105"/>
      <c r="J1290" s="105"/>
      <c r="K1290" s="105"/>
      <c r="L1290" s="105"/>
      <c r="M1290" s="105"/>
      <c r="N1290" s="105"/>
      <c r="O1290" s="105"/>
      <c r="P1290" s="105"/>
      <c r="Q1290" s="105"/>
      <c r="R1290" s="105"/>
      <c r="S1290" s="105"/>
      <c r="T1290" s="105"/>
      <c r="U1290" s="111"/>
      <c r="V1290" s="146"/>
      <c r="W1290" s="111"/>
    </row>
    <row r="1291" spans="1:28" x14ac:dyDescent="0.25">
      <c r="A1291" s="104">
        <v>24</v>
      </c>
      <c r="B1291" s="193" t="s">
        <v>2325</v>
      </c>
      <c r="C1291" s="13"/>
      <c r="D1291" s="105">
        <v>53544999</v>
      </c>
      <c r="E1291" s="105"/>
      <c r="F1291" s="105">
        <v>52100042</v>
      </c>
      <c r="G1291" s="105"/>
      <c r="H1291" s="105">
        <v>951365</v>
      </c>
      <c r="I1291" s="105">
        <v>430919</v>
      </c>
      <c r="J1291" s="105"/>
      <c r="K1291" s="105"/>
      <c r="L1291" s="105">
        <v>-9087</v>
      </c>
      <c r="M1291" s="105"/>
      <c r="N1291" s="105">
        <v>440006</v>
      </c>
      <c r="O1291" s="105">
        <v>211937</v>
      </c>
      <c r="P1291" s="105">
        <v>228069</v>
      </c>
      <c r="Q1291" s="105">
        <v>-2.5709199090376821E-17</v>
      </c>
      <c r="R1291" s="105"/>
      <c r="S1291" s="105"/>
      <c r="T1291" s="105"/>
      <c r="W1291" s="111"/>
      <c r="X1291" s="141"/>
    </row>
    <row r="1292" spans="1:28" x14ac:dyDescent="0.25">
      <c r="A1292" s="104">
        <v>25</v>
      </c>
      <c r="B1292" s="193" t="s">
        <v>1287</v>
      </c>
      <c r="C1292" s="194" t="s">
        <v>34</v>
      </c>
      <c r="D1292" s="105">
        <v>-781544</v>
      </c>
      <c r="E1292" s="105"/>
      <c r="F1292" s="105">
        <v>-733234.60088605038</v>
      </c>
      <c r="G1292" s="105"/>
      <c r="H1292" s="105">
        <v>-37015.863831219009</v>
      </c>
      <c r="I1292" s="105">
        <v>-11293.535282730581</v>
      </c>
      <c r="J1292" s="105"/>
      <c r="K1292" s="105"/>
      <c r="L1292" s="105">
        <v>-62.126721942688391</v>
      </c>
      <c r="M1292" s="105"/>
      <c r="N1292" s="105">
        <v>-11231.408560787893</v>
      </c>
      <c r="O1292" s="105">
        <v>-5826.5064443415131</v>
      </c>
      <c r="P1292" s="105">
        <v>-5404.9021164463802</v>
      </c>
      <c r="Q1292" s="105">
        <v>-1.1837962849713203E-15</v>
      </c>
      <c r="R1292" s="105"/>
      <c r="S1292" s="105"/>
      <c r="T1292" s="105">
        <v>-781544</v>
      </c>
      <c r="W1292" s="111"/>
      <c r="X1292" s="141"/>
    </row>
    <row r="1293" spans="1:28" x14ac:dyDescent="0.25">
      <c r="A1293" s="13">
        <v>26</v>
      </c>
      <c r="B1293" s="196" t="s">
        <v>299</v>
      </c>
      <c r="C1293" s="194" t="s">
        <v>1316</v>
      </c>
      <c r="D1293" s="105">
        <v>-15603815</v>
      </c>
      <c r="E1293" s="105"/>
      <c r="F1293" s="105">
        <v>-14589597</v>
      </c>
      <c r="G1293" s="105"/>
      <c r="H1293" s="105">
        <v>-787350</v>
      </c>
      <c r="I1293" s="105">
        <v>-226868</v>
      </c>
      <c r="J1293" s="105"/>
      <c r="K1293" s="105"/>
      <c r="L1293" s="105">
        <v>-1102</v>
      </c>
      <c r="M1293" s="105"/>
      <c r="N1293" s="105">
        <v>-225766</v>
      </c>
      <c r="O1293" s="105">
        <v>-117341</v>
      </c>
      <c r="P1293" s="105">
        <v>-108425</v>
      </c>
      <c r="Q1293" s="105">
        <v>-2.3334533948809406E-14</v>
      </c>
      <c r="R1293" s="105"/>
      <c r="S1293" s="105"/>
      <c r="T1293" s="105">
        <v>-15603815</v>
      </c>
      <c r="V1293" s="15" t="s">
        <v>300</v>
      </c>
      <c r="W1293" s="111"/>
    </row>
    <row r="1294" spans="1:28" x14ac:dyDescent="0.25">
      <c r="A1294" s="104">
        <v>27</v>
      </c>
      <c r="B1294" s="193" t="s">
        <v>301</v>
      </c>
      <c r="C1294" s="194"/>
      <c r="D1294" s="105">
        <v>0</v>
      </c>
      <c r="E1294" s="105"/>
      <c r="F1294" s="105">
        <v>0</v>
      </c>
      <c r="G1294" s="105"/>
      <c r="H1294" s="105">
        <v>0</v>
      </c>
      <c r="I1294" s="105">
        <v>0</v>
      </c>
      <c r="J1294" s="105"/>
      <c r="K1294" s="105"/>
      <c r="L1294" s="105">
        <v>0</v>
      </c>
      <c r="M1294" s="105"/>
      <c r="N1294" s="105">
        <v>0</v>
      </c>
      <c r="O1294" s="105">
        <v>0</v>
      </c>
      <c r="P1294" s="105">
        <v>0</v>
      </c>
      <c r="Q1294" s="105">
        <v>0</v>
      </c>
      <c r="R1294" s="105"/>
      <c r="S1294" s="105"/>
      <c r="T1294" s="105"/>
      <c r="U1294" s="111"/>
      <c r="V1294" s="111" t="s">
        <v>2122</v>
      </c>
      <c r="W1294" s="111"/>
      <c r="X1294" s="111"/>
      <c r="Y1294" s="111"/>
    </row>
    <row r="1295" spans="1:28" x14ac:dyDescent="0.25">
      <c r="A1295" s="104">
        <v>28</v>
      </c>
      <c r="B1295" s="193" t="s">
        <v>2046</v>
      </c>
      <c r="C1295" s="194" t="s">
        <v>34</v>
      </c>
      <c r="D1295" s="105">
        <v>99862</v>
      </c>
      <c r="E1295" s="105"/>
      <c r="F1295" s="105">
        <v>93689</v>
      </c>
      <c r="G1295" s="105"/>
      <c r="H1295" s="105">
        <v>4730</v>
      </c>
      <c r="I1295" s="105">
        <v>1443</v>
      </c>
      <c r="J1295" s="105"/>
      <c r="K1295" s="105"/>
      <c r="L1295" s="105">
        <v>8</v>
      </c>
      <c r="M1295" s="105"/>
      <c r="N1295" s="105">
        <v>1435</v>
      </c>
      <c r="O1295" s="105">
        <v>744</v>
      </c>
      <c r="P1295" s="105">
        <v>691</v>
      </c>
      <c r="Q1295" s="105">
        <v>0</v>
      </c>
      <c r="R1295" s="105"/>
      <c r="S1295" s="105"/>
      <c r="T1295" s="105">
        <v>99862</v>
      </c>
      <c r="U1295" s="111"/>
      <c r="V1295" s="146"/>
      <c r="W1295" s="111"/>
      <c r="Z1295" s="15" t="s">
        <v>1288</v>
      </c>
      <c r="AA1295" s="15" t="s">
        <v>2186</v>
      </c>
    </row>
    <row r="1296" spans="1:28" x14ac:dyDescent="0.25">
      <c r="A1296" s="104">
        <v>29</v>
      </c>
      <c r="B1296" s="193" t="s">
        <v>1289</v>
      </c>
      <c r="C1296" s="103"/>
      <c r="D1296" s="105">
        <v>37259502</v>
      </c>
      <c r="E1296" s="105"/>
      <c r="F1296" s="105">
        <v>36870899.399113953</v>
      </c>
      <c r="G1296" s="105"/>
      <c r="H1296" s="105">
        <v>131729.13616878097</v>
      </c>
      <c r="I1296" s="105">
        <v>194200.46471726944</v>
      </c>
      <c r="J1296" s="105"/>
      <c r="K1296" s="105"/>
      <c r="L1296" s="105">
        <v>-10243.126721942688</v>
      </c>
      <c r="M1296" s="105"/>
      <c r="N1296" s="105">
        <v>204443.59143921212</v>
      </c>
      <c r="O1296" s="105">
        <v>89513.493555658497</v>
      </c>
      <c r="P1296" s="105">
        <v>114930.09788355362</v>
      </c>
      <c r="Q1296" s="105">
        <v>-2.4544039432871102E-14</v>
      </c>
      <c r="R1296" s="105"/>
      <c r="S1296" s="105"/>
      <c r="T1296" s="105"/>
      <c r="V1296" s="15" t="s">
        <v>300</v>
      </c>
      <c r="W1296" s="111"/>
      <c r="Y1296" s="15">
        <v>99862</v>
      </c>
      <c r="Z1296" s="16">
        <v>37259502.25</v>
      </c>
      <c r="AA1296" s="108">
        <v>-0.25</v>
      </c>
    </row>
    <row r="1297" spans="1:28" x14ac:dyDescent="0.25">
      <c r="A1297" s="13"/>
      <c r="B1297" s="13"/>
      <c r="C1297" s="13"/>
      <c r="D1297" s="105"/>
      <c r="E1297" s="105"/>
      <c r="F1297" s="105"/>
      <c r="G1297" s="105"/>
      <c r="H1297" s="105"/>
      <c r="I1297" s="105"/>
      <c r="J1297" s="105"/>
      <c r="K1297" s="105"/>
      <c r="L1297" s="105"/>
      <c r="M1297" s="105"/>
      <c r="N1297" s="105"/>
      <c r="O1297" s="105"/>
      <c r="P1297" s="105"/>
      <c r="Q1297" s="105"/>
      <c r="R1297" s="105"/>
      <c r="S1297" s="105"/>
      <c r="T1297" s="105"/>
      <c r="U1297" s="111"/>
      <c r="V1297" s="111"/>
      <c r="W1297" s="111"/>
      <c r="X1297" s="111"/>
      <c r="Y1297" s="111">
        <v>99862.25</v>
      </c>
      <c r="Z1297" s="111"/>
      <c r="AA1297" s="140"/>
      <c r="AB1297" s="109" t="s">
        <v>2187</v>
      </c>
    </row>
    <row r="1298" spans="1:28" x14ac:dyDescent="0.25">
      <c r="A1298" s="104">
        <v>30</v>
      </c>
      <c r="B1298" s="193" t="s">
        <v>1018</v>
      </c>
      <c r="C1298" s="103"/>
      <c r="D1298" s="105">
        <v>332970174.8057276</v>
      </c>
      <c r="E1298" s="105"/>
      <c r="F1298" s="105">
        <v>319535571.66850871</v>
      </c>
      <c r="G1298" s="105"/>
      <c r="H1298" s="105">
        <v>9850451.8220644798</v>
      </c>
      <c r="I1298" s="105">
        <v>3370285.680926824</v>
      </c>
      <c r="J1298" s="105"/>
      <c r="K1298" s="105"/>
      <c r="L1298" s="105">
        <v>-23805.33939807117</v>
      </c>
      <c r="M1298" s="105"/>
      <c r="N1298" s="105">
        <v>3394091.0203248952</v>
      </c>
      <c r="O1298" s="105">
        <v>1701466.0653111448</v>
      </c>
      <c r="P1298" s="105">
        <v>1692624.9550137506</v>
      </c>
      <c r="Q1298" s="105">
        <v>-6.3629930099305765E-12</v>
      </c>
      <c r="R1298" s="105"/>
      <c r="S1298" s="105"/>
      <c r="T1298" s="105"/>
      <c r="W1298" s="111" t="s">
        <v>1734</v>
      </c>
      <c r="Z1298" s="15">
        <v>47442653.710000001</v>
      </c>
      <c r="AA1298" s="15" t="s">
        <v>2047</v>
      </c>
    </row>
    <row r="1299" spans="1:28" x14ac:dyDescent="0.25">
      <c r="A1299" s="104">
        <v>31</v>
      </c>
      <c r="B1299" s="193" t="s">
        <v>1019</v>
      </c>
      <c r="C1299" s="103"/>
      <c r="D1299" s="191">
        <v>5.9368993659637673E-2</v>
      </c>
      <c r="E1299" s="191"/>
      <c r="F1299" s="191">
        <v>6.0061413055928423E-2</v>
      </c>
      <c r="G1299" s="191"/>
      <c r="H1299" s="191">
        <v>3.6676471449145043E-2</v>
      </c>
      <c r="I1299" s="191">
        <v>4.1129751587045286E-2</v>
      </c>
      <c r="J1299" s="191"/>
      <c r="K1299" s="191"/>
      <c r="L1299" s="191">
        <v>-5.2809885134671893E-2</v>
      </c>
      <c r="M1299" s="191"/>
      <c r="N1299" s="191">
        <v>4.164938023900111E-2</v>
      </c>
      <c r="O1299" s="191">
        <v>4.0247077027846377E-2</v>
      </c>
      <c r="P1299" s="191">
        <v>4.3161068798883089E-2</v>
      </c>
      <c r="Q1299" s="105">
        <v>-0.74080474885318426</v>
      </c>
      <c r="R1299" s="105"/>
      <c r="S1299" s="105"/>
      <c r="T1299" s="105"/>
      <c r="W1299" s="142">
        <v>332970174.95919287</v>
      </c>
      <c r="X1299" s="15">
        <v>-0.15346527099609375</v>
      </c>
      <c r="Z1299" s="54">
        <v>47442653.689519398</v>
      </c>
      <c r="AA1299" s="54" t="s">
        <v>2048</v>
      </c>
    </row>
    <row r="1300" spans="1:28" x14ac:dyDescent="0.25">
      <c r="A1300" s="13"/>
      <c r="B1300" s="13"/>
      <c r="C1300" s="13"/>
      <c r="D1300" s="191"/>
      <c r="E1300" s="191"/>
      <c r="F1300" s="191"/>
      <c r="G1300" s="191"/>
      <c r="H1300" s="191"/>
      <c r="I1300" s="191"/>
      <c r="J1300" s="191"/>
      <c r="K1300" s="191"/>
      <c r="L1300" s="191"/>
      <c r="M1300" s="191"/>
      <c r="N1300" s="191"/>
      <c r="O1300" s="191"/>
      <c r="P1300" s="191"/>
      <c r="Q1300" s="191"/>
      <c r="R1300" s="105"/>
      <c r="S1300" s="105"/>
      <c r="T1300" s="105"/>
      <c r="W1300" s="142"/>
      <c r="X1300" s="143"/>
      <c r="Z1300" s="165">
        <v>2.0480602979660034E-2</v>
      </c>
      <c r="AA1300" s="54" t="s">
        <v>2049</v>
      </c>
    </row>
    <row r="1301" spans="1:28" ht="13.8" thickBot="1" x14ac:dyDescent="0.3">
      <c r="A1301" s="13"/>
      <c r="B1301" s="13"/>
      <c r="C1301" s="13"/>
      <c r="D1301" s="114"/>
      <c r="E1301" s="13"/>
      <c r="F1301" s="114"/>
      <c r="G1301" s="114"/>
      <c r="H1301" s="114"/>
      <c r="I1301" s="114"/>
      <c r="J1301" s="13"/>
      <c r="K1301" s="114"/>
      <c r="L1301" s="114"/>
      <c r="M1301" s="114"/>
      <c r="N1301" s="114"/>
      <c r="O1301" s="114"/>
      <c r="P1301" s="114"/>
      <c r="Q1301" s="114"/>
      <c r="T1301" s="156"/>
      <c r="W1301" s="111"/>
      <c r="Z1301" s="166"/>
      <c r="AA1301" s="54"/>
    </row>
    <row r="1302" spans="1:28" ht="13.8" thickTop="1" x14ac:dyDescent="0.25">
      <c r="A1302" s="13"/>
      <c r="B1302" s="193" t="s">
        <v>1290</v>
      </c>
      <c r="C1302" s="13"/>
      <c r="D1302" s="209">
        <v>0.05</v>
      </c>
      <c r="E1302" s="209"/>
      <c r="F1302" s="209">
        <v>0.05</v>
      </c>
      <c r="G1302" s="209"/>
      <c r="H1302" s="210">
        <v>0.06</v>
      </c>
      <c r="I1302" s="209">
        <v>0.05</v>
      </c>
      <c r="J1302" s="209"/>
      <c r="K1302" s="209"/>
      <c r="L1302" s="209">
        <v>0.05</v>
      </c>
      <c r="M1302" s="210"/>
      <c r="N1302" s="209">
        <v>0.05</v>
      </c>
      <c r="O1302" s="209">
        <v>0.05</v>
      </c>
      <c r="P1302" s="209">
        <v>0.05</v>
      </c>
      <c r="Q1302" s="13">
        <v>0.06</v>
      </c>
      <c r="W1302" s="111"/>
    </row>
    <row r="1303" spans="1:28" x14ac:dyDescent="0.25">
      <c r="A1303" s="13"/>
      <c r="B1303" s="193" t="s">
        <v>1291</v>
      </c>
      <c r="C1303" s="13"/>
      <c r="D1303" s="209">
        <v>0.21</v>
      </c>
      <c r="E1303" s="209"/>
      <c r="F1303" s="209">
        <v>0.21</v>
      </c>
      <c r="G1303" s="209"/>
      <c r="H1303" s="210">
        <v>0.21</v>
      </c>
      <c r="I1303" s="209">
        <v>0.21</v>
      </c>
      <c r="J1303" s="209"/>
      <c r="K1303" s="209"/>
      <c r="L1303" s="209">
        <v>0.21</v>
      </c>
      <c r="M1303" s="210"/>
      <c r="N1303" s="209">
        <v>0.21</v>
      </c>
      <c r="O1303" s="209">
        <v>0.21</v>
      </c>
      <c r="P1303" s="209">
        <v>0.21</v>
      </c>
      <c r="Q1303" s="13">
        <v>0.21</v>
      </c>
      <c r="W1303" s="111"/>
    </row>
    <row r="1304" spans="1:28" x14ac:dyDescent="0.25">
      <c r="A1304" s="13"/>
      <c r="B1304" s="193" t="s">
        <v>1292</v>
      </c>
      <c r="C1304" s="13"/>
      <c r="D1304" s="144">
        <v>0.75049999999999994</v>
      </c>
      <c r="E1304" s="13"/>
      <c r="F1304" s="144">
        <v>0.75049999999999994</v>
      </c>
      <c r="G1304" s="144"/>
      <c r="H1304" s="144">
        <v>0.74259999999999993</v>
      </c>
      <c r="I1304" s="114">
        <v>0.75049999999999994</v>
      </c>
      <c r="J1304" s="13"/>
      <c r="K1304" s="114"/>
      <c r="L1304" s="144">
        <v>0.75049999999999994</v>
      </c>
      <c r="M1304" s="144"/>
      <c r="N1304" s="114">
        <v>0.75049999999999994</v>
      </c>
      <c r="O1304" s="144">
        <v>0.75049999999999994</v>
      </c>
      <c r="P1304" s="144">
        <v>0.75049999999999994</v>
      </c>
      <c r="Q1304" s="144">
        <v>0.74259999999999993</v>
      </c>
      <c r="W1304" s="111"/>
    </row>
    <row r="1305" spans="1:28" x14ac:dyDescent="0.25">
      <c r="A1305" s="13"/>
      <c r="B1305" s="193" t="s">
        <v>1293</v>
      </c>
      <c r="C1305" s="13"/>
      <c r="D1305" s="144">
        <v>0.2495</v>
      </c>
      <c r="E1305" s="13"/>
      <c r="F1305" s="114">
        <v>0.2495</v>
      </c>
      <c r="G1305" s="114"/>
      <c r="H1305" s="114">
        <v>0.25740000000000002</v>
      </c>
      <c r="I1305" s="114">
        <v>0.2495</v>
      </c>
      <c r="J1305" s="13"/>
      <c r="K1305" s="144"/>
      <c r="L1305" s="114">
        <v>0.2495</v>
      </c>
      <c r="M1305" s="114"/>
      <c r="N1305" s="114">
        <v>0.2495</v>
      </c>
      <c r="O1305" s="114">
        <v>0.2495</v>
      </c>
      <c r="P1305" s="114">
        <v>0.2495</v>
      </c>
      <c r="Q1305" s="114">
        <v>0.25740000000000002</v>
      </c>
      <c r="W1305" s="111"/>
    </row>
    <row r="1306" spans="1:28" x14ac:dyDescent="0.25">
      <c r="A1306" s="13"/>
      <c r="B1306" s="193" t="s">
        <v>1294</v>
      </c>
      <c r="C1306" s="13"/>
      <c r="D1306" s="113">
        <v>1.3324450366422385</v>
      </c>
      <c r="E1306" s="13"/>
      <c r="F1306" s="113">
        <v>1.3324450366422385</v>
      </c>
      <c r="G1306" s="113"/>
      <c r="H1306" s="113">
        <v>1.3466199838405601</v>
      </c>
      <c r="I1306" s="113">
        <v>1.3324450366422385</v>
      </c>
      <c r="J1306" s="13"/>
      <c r="K1306" s="113"/>
      <c r="L1306" s="113">
        <v>1.3324450366422385</v>
      </c>
      <c r="M1306" s="113"/>
      <c r="N1306" s="113">
        <v>1.3324450366422385</v>
      </c>
      <c r="O1306" s="113">
        <v>1.3324450366422385</v>
      </c>
      <c r="P1306" s="113">
        <v>1.3324450366422385</v>
      </c>
      <c r="Q1306" s="113">
        <v>1.3466199838405601</v>
      </c>
      <c r="W1306" s="111"/>
    </row>
    <row r="1307" spans="1:28" x14ac:dyDescent="0.25">
      <c r="A1307" s="13"/>
      <c r="B1307" s="13"/>
      <c r="C1307" s="13"/>
      <c r="D1307" s="113"/>
      <c r="E1307" s="13"/>
      <c r="F1307" s="113"/>
      <c r="G1307" s="113"/>
      <c r="H1307" s="113"/>
      <c r="I1307" s="113"/>
      <c r="J1307" s="13"/>
      <c r="K1307" s="113"/>
      <c r="L1307" s="113"/>
      <c r="M1307" s="113"/>
      <c r="N1307" s="113"/>
      <c r="O1307" s="113"/>
      <c r="P1307" s="113"/>
      <c r="Q1307" s="113"/>
      <c r="W1307" s="111"/>
    </row>
    <row r="1308" spans="1:28" x14ac:dyDescent="0.25">
      <c r="A1308" s="13"/>
      <c r="B1308" s="13"/>
      <c r="C1308" s="13"/>
      <c r="D1308" s="13"/>
      <c r="E1308" s="13"/>
      <c r="F1308" s="13"/>
      <c r="G1308" s="13"/>
      <c r="H1308" s="13"/>
      <c r="I1308" s="13"/>
      <c r="J1308" s="13"/>
      <c r="K1308" s="13"/>
      <c r="L1308" s="13"/>
      <c r="M1308" s="13"/>
      <c r="N1308" s="13"/>
      <c r="O1308" s="13"/>
      <c r="P1308" s="13"/>
      <c r="Q1308" s="13"/>
      <c r="W1308" s="111"/>
    </row>
    <row r="1309" spans="1:28" x14ac:dyDescent="0.25">
      <c r="A1309" s="13"/>
      <c r="B1309" s="13"/>
      <c r="C1309" s="13"/>
      <c r="D1309" s="113"/>
      <c r="E1309" s="13"/>
      <c r="F1309" s="113"/>
      <c r="G1309" s="13"/>
      <c r="H1309" s="113"/>
      <c r="I1309" s="113"/>
      <c r="J1309" s="13"/>
      <c r="K1309" s="13"/>
      <c r="L1309" s="113"/>
      <c r="M1309" s="13"/>
      <c r="N1309" s="113"/>
      <c r="O1309" s="113"/>
      <c r="P1309" s="113"/>
      <c r="Q1309" s="13"/>
      <c r="W1309" s="111"/>
    </row>
    <row r="1310" spans="1:28" x14ac:dyDescent="0.25">
      <c r="A1310" s="13"/>
      <c r="B1310" s="13"/>
      <c r="C1310" s="13"/>
      <c r="D1310" s="13"/>
      <c r="E1310" s="13"/>
      <c r="F1310" s="13"/>
      <c r="G1310" s="13"/>
      <c r="H1310" s="13"/>
      <c r="I1310" s="13"/>
      <c r="J1310" s="13"/>
      <c r="K1310" s="13"/>
      <c r="L1310" s="13"/>
      <c r="M1310" s="13"/>
      <c r="N1310" s="13"/>
      <c r="O1310" s="13"/>
      <c r="P1310" s="13"/>
      <c r="Q1310" s="13"/>
      <c r="W1310" s="111"/>
    </row>
    <row r="1311" spans="1:28" x14ac:dyDescent="0.25">
      <c r="A1311" s="13"/>
      <c r="B1311" s="195" t="s">
        <v>793</v>
      </c>
      <c r="C1311" s="13"/>
      <c r="D1311" s="13"/>
      <c r="E1311" s="13"/>
      <c r="F1311" s="13"/>
      <c r="G1311" s="13"/>
      <c r="H1311" s="13"/>
      <c r="I1311" s="13"/>
      <c r="J1311" s="13"/>
      <c r="K1311" s="13"/>
      <c r="L1311" s="13"/>
      <c r="M1311" s="13"/>
      <c r="N1311" s="13"/>
      <c r="O1311" s="13"/>
      <c r="P1311" s="13"/>
      <c r="Q1311" s="13"/>
      <c r="W1311" s="111"/>
    </row>
    <row r="1312" spans="1:28" x14ac:dyDescent="0.25">
      <c r="A1312" s="13"/>
      <c r="B1312" s="13"/>
      <c r="C1312" s="13"/>
      <c r="D1312" s="13"/>
      <c r="E1312" s="13"/>
      <c r="F1312" s="13"/>
      <c r="G1312" s="13"/>
      <c r="H1312" s="13"/>
      <c r="I1312" s="13"/>
      <c r="J1312" s="13"/>
      <c r="K1312" s="13"/>
      <c r="L1312" s="13"/>
      <c r="M1312" s="13"/>
      <c r="N1312" s="13"/>
      <c r="O1312" s="13"/>
      <c r="P1312" s="13"/>
      <c r="Q1312" s="13"/>
      <c r="W1312" s="111"/>
    </row>
    <row r="1313" spans="1:25" x14ac:dyDescent="0.25">
      <c r="A1313" s="13"/>
      <c r="B1313" s="193" t="s">
        <v>794</v>
      </c>
      <c r="C1313" s="13"/>
      <c r="D1313" s="13"/>
      <c r="E1313" s="13"/>
      <c r="F1313" s="13"/>
      <c r="G1313" s="13"/>
      <c r="H1313" s="13"/>
      <c r="I1313" s="13"/>
      <c r="J1313" s="13"/>
      <c r="K1313" s="13"/>
      <c r="L1313" s="13"/>
      <c r="M1313" s="13"/>
      <c r="N1313" s="13"/>
      <c r="O1313" s="13"/>
      <c r="P1313" s="13"/>
      <c r="Q1313" s="13"/>
      <c r="W1313" s="111"/>
    </row>
    <row r="1314" spans="1:25" x14ac:dyDescent="0.25">
      <c r="A1314" s="13"/>
      <c r="B1314" s="193" t="s">
        <v>795</v>
      </c>
      <c r="C1314" s="13"/>
      <c r="D1314" s="13"/>
      <c r="E1314" s="13"/>
      <c r="F1314" s="13"/>
      <c r="G1314" s="13"/>
      <c r="H1314" s="13"/>
      <c r="I1314" s="13"/>
      <c r="J1314" s="13"/>
      <c r="K1314" s="13"/>
      <c r="L1314" s="13"/>
      <c r="M1314" s="13"/>
      <c r="N1314" s="13"/>
      <c r="O1314" s="13"/>
      <c r="P1314" s="13"/>
      <c r="Q1314" s="13"/>
      <c r="W1314" s="111"/>
    </row>
    <row r="1315" spans="1:25" x14ac:dyDescent="0.25">
      <c r="A1315" s="104"/>
      <c r="B1315" s="193" t="s">
        <v>796</v>
      </c>
      <c r="C1315" s="194"/>
      <c r="D1315" s="13"/>
      <c r="E1315" s="13"/>
      <c r="F1315" s="13"/>
      <c r="G1315" s="13"/>
      <c r="H1315" s="13"/>
      <c r="I1315" s="13"/>
      <c r="J1315" s="13"/>
      <c r="K1315" s="13"/>
      <c r="L1315" s="13"/>
      <c r="M1315" s="13"/>
      <c r="N1315" s="13"/>
      <c r="O1315" s="13"/>
      <c r="P1315" s="13"/>
      <c r="Q1315" s="13"/>
      <c r="W1315" s="111"/>
    </row>
    <row r="1316" spans="1:25" x14ac:dyDescent="0.25">
      <c r="A1316" s="104">
        <v>1</v>
      </c>
      <c r="B1316" s="196" t="s">
        <v>797</v>
      </c>
      <c r="C1316" s="194" t="s">
        <v>1343</v>
      </c>
      <c r="D1316" s="105">
        <v>2381202.0000000005</v>
      </c>
      <c r="E1316" s="13"/>
      <c r="F1316" s="104">
        <v>2240732.8927895362</v>
      </c>
      <c r="G1316" s="13"/>
      <c r="H1316" s="104">
        <v>91411.682165207167</v>
      </c>
      <c r="I1316" s="104">
        <v>49057.425045256896</v>
      </c>
      <c r="J1316" s="13"/>
      <c r="K1316" s="13"/>
      <c r="L1316" s="104">
        <v>10.028295910113654</v>
      </c>
      <c r="M1316" s="104"/>
      <c r="N1316" s="104">
        <v>49047.396749346779</v>
      </c>
      <c r="O1316" s="104">
        <v>24837.977313515719</v>
      </c>
      <c r="P1316" s="104">
        <v>24209.419435831063</v>
      </c>
      <c r="Q1316" s="104">
        <v>0</v>
      </c>
      <c r="T1316" s="111">
        <v>2381202</v>
      </c>
      <c r="U1316" s="111"/>
      <c r="V1316" s="111"/>
      <c r="W1316" s="111"/>
      <c r="X1316" s="111"/>
      <c r="Y1316" s="111"/>
    </row>
    <row r="1317" spans="1:25" x14ac:dyDescent="0.25">
      <c r="A1317" s="104">
        <v>2</v>
      </c>
      <c r="B1317" s="196" t="s">
        <v>798</v>
      </c>
      <c r="C1317" s="194" t="s">
        <v>1343</v>
      </c>
      <c r="D1317" s="105">
        <v>8712114</v>
      </c>
      <c r="E1317" s="13"/>
      <c r="F1317" s="104">
        <v>8198179.0732294936</v>
      </c>
      <c r="G1317" s="13"/>
      <c r="H1317" s="104">
        <v>334448.31473980437</v>
      </c>
      <c r="I1317" s="104">
        <v>179486.61203070264</v>
      </c>
      <c r="J1317" s="13"/>
      <c r="K1317" s="13"/>
      <c r="L1317" s="104">
        <v>36.690569382456381</v>
      </c>
      <c r="M1317" s="104"/>
      <c r="N1317" s="104">
        <v>179449.92146132019</v>
      </c>
      <c r="O1317" s="104">
        <v>90874.814436054847</v>
      </c>
      <c r="P1317" s="104">
        <v>88575.107025265359</v>
      </c>
      <c r="Q1317" s="104">
        <v>0</v>
      </c>
      <c r="T1317" s="111">
        <v>8712114</v>
      </c>
      <c r="U1317" s="111">
        <v>501</v>
      </c>
      <c r="V1317" s="111"/>
      <c r="W1317" s="111">
        <v>2381202</v>
      </c>
      <c r="X1317" s="111">
        <v>0</v>
      </c>
      <c r="Y1317" s="111" t="s">
        <v>1748</v>
      </c>
    </row>
    <row r="1318" spans="1:25" x14ac:dyDescent="0.25">
      <c r="A1318" s="104">
        <v>3</v>
      </c>
      <c r="B1318" s="196" t="s">
        <v>799</v>
      </c>
      <c r="C1318" s="194" t="s">
        <v>1343</v>
      </c>
      <c r="D1318" s="105">
        <v>11890682</v>
      </c>
      <c r="E1318" s="105"/>
      <c r="F1318" s="105">
        <v>11189240.675549772</v>
      </c>
      <c r="G1318" s="105"/>
      <c r="H1318" s="105">
        <v>456469.98604551394</v>
      </c>
      <c r="I1318" s="105">
        <v>244971.3384047155</v>
      </c>
      <c r="J1318" s="105"/>
      <c r="K1318" s="105"/>
      <c r="L1318" s="105">
        <v>50.076926556025924</v>
      </c>
      <c r="M1318" s="105"/>
      <c r="N1318" s="105">
        <v>244921.26147815946</v>
      </c>
      <c r="O1318" s="105">
        <v>124030.00239300559</v>
      </c>
      <c r="P1318" s="105">
        <v>120891.25908515388</v>
      </c>
      <c r="Q1318" s="105">
        <v>0</v>
      </c>
      <c r="R1318" s="105"/>
      <c r="S1318" s="105"/>
      <c r="T1318" s="105">
        <v>11890682</v>
      </c>
      <c r="U1318" s="111">
        <v>510</v>
      </c>
      <c r="W1318" s="111">
        <v>8712114</v>
      </c>
      <c r="X1318" s="111">
        <v>0</v>
      </c>
      <c r="Y1318" s="111" t="s">
        <v>1748</v>
      </c>
    </row>
    <row r="1319" spans="1:25" x14ac:dyDescent="0.25">
      <c r="A1319" s="104">
        <v>4</v>
      </c>
      <c r="B1319" s="196" t="s">
        <v>800</v>
      </c>
      <c r="C1319" s="194" t="s">
        <v>1343</v>
      </c>
      <c r="D1319" s="105">
        <v>2243338</v>
      </c>
      <c r="E1319" s="105"/>
      <c r="F1319" s="105">
        <v>2111001.6060143961</v>
      </c>
      <c r="G1319" s="105"/>
      <c r="H1319" s="105">
        <v>86119.237362110187</v>
      </c>
      <c r="I1319" s="105">
        <v>46217.156623493727</v>
      </c>
      <c r="J1319" s="105"/>
      <c r="K1319" s="105"/>
      <c r="L1319" s="105">
        <v>9.4476895661949492</v>
      </c>
      <c r="M1319" s="105"/>
      <c r="N1319" s="105">
        <v>46207.708933927534</v>
      </c>
      <c r="O1319" s="105">
        <v>23399.937657766004</v>
      </c>
      <c r="P1319" s="105">
        <v>22807.771276161529</v>
      </c>
      <c r="Q1319" s="105">
        <v>0</v>
      </c>
      <c r="R1319" s="105"/>
      <c r="S1319" s="105"/>
      <c r="T1319" s="105">
        <v>2243338</v>
      </c>
      <c r="U1319" s="111">
        <v>512</v>
      </c>
      <c r="W1319" s="111">
        <v>11890682</v>
      </c>
      <c r="X1319" s="111">
        <v>0</v>
      </c>
      <c r="Y1319" s="111" t="s">
        <v>1748</v>
      </c>
    </row>
    <row r="1320" spans="1:25" x14ac:dyDescent="0.25">
      <c r="A1320" s="104">
        <v>5</v>
      </c>
      <c r="B1320" s="196" t="s">
        <v>801</v>
      </c>
      <c r="C1320" s="194" t="s">
        <v>1343</v>
      </c>
      <c r="D1320" s="105">
        <v>0</v>
      </c>
      <c r="E1320" s="105"/>
      <c r="F1320" s="105">
        <v>0</v>
      </c>
      <c r="G1320" s="105"/>
      <c r="H1320" s="105">
        <v>0</v>
      </c>
      <c r="I1320" s="105">
        <v>0</v>
      </c>
      <c r="J1320" s="105"/>
      <c r="K1320" s="105"/>
      <c r="L1320" s="105">
        <v>0</v>
      </c>
      <c r="M1320" s="105"/>
      <c r="N1320" s="105">
        <v>0</v>
      </c>
      <c r="O1320" s="105">
        <v>0</v>
      </c>
      <c r="P1320" s="105">
        <v>0</v>
      </c>
      <c r="Q1320" s="105">
        <v>0</v>
      </c>
      <c r="R1320" s="105"/>
      <c r="S1320" s="105"/>
      <c r="T1320" s="105">
        <v>0</v>
      </c>
      <c r="U1320" s="111">
        <v>513</v>
      </c>
      <c r="W1320" s="111">
        <v>2243338</v>
      </c>
      <c r="X1320" s="111">
        <v>0</v>
      </c>
      <c r="Y1320" s="111" t="s">
        <v>1748</v>
      </c>
    </row>
    <row r="1321" spans="1:25" x14ac:dyDescent="0.25">
      <c r="A1321" s="104"/>
      <c r="B1321" s="196"/>
      <c r="C1321" s="194"/>
      <c r="D1321" s="105"/>
      <c r="E1321" s="105"/>
      <c r="F1321" s="105"/>
      <c r="G1321" s="105"/>
      <c r="H1321" s="105"/>
      <c r="I1321" s="105"/>
      <c r="J1321" s="105"/>
      <c r="K1321" s="105"/>
      <c r="L1321" s="105"/>
      <c r="M1321" s="105"/>
      <c r="N1321" s="105"/>
      <c r="O1321" s="105"/>
      <c r="P1321" s="105"/>
      <c r="Q1321" s="105"/>
      <c r="R1321" s="105"/>
      <c r="S1321" s="105"/>
      <c r="T1321" s="105"/>
      <c r="U1321" s="111">
        <v>547</v>
      </c>
      <c r="W1321" s="111">
        <v>0</v>
      </c>
      <c r="X1321" s="111">
        <v>0</v>
      </c>
      <c r="Y1321" s="111" t="s">
        <v>1748</v>
      </c>
    </row>
    <row r="1322" spans="1:25" x14ac:dyDescent="0.25">
      <c r="A1322" s="104">
        <v>6</v>
      </c>
      <c r="B1322" s="196" t="s">
        <v>802</v>
      </c>
      <c r="C1322" s="194"/>
      <c r="D1322" s="105">
        <v>25227336.000000004</v>
      </c>
      <c r="E1322" s="105"/>
      <c r="F1322" s="105">
        <v>23739154.247583199</v>
      </c>
      <c r="G1322" s="105"/>
      <c r="H1322" s="105">
        <v>968449.22031263565</v>
      </c>
      <c r="I1322" s="105">
        <v>519732.53210416873</v>
      </c>
      <c r="J1322" s="105"/>
      <c r="K1322" s="105"/>
      <c r="L1322" s="105">
        <v>106.24348141479092</v>
      </c>
      <c r="M1322" s="105"/>
      <c r="N1322" s="105">
        <v>519626.28862275399</v>
      </c>
      <c r="O1322" s="105">
        <v>263142.73180034215</v>
      </c>
      <c r="P1322" s="105">
        <v>256483.55682241183</v>
      </c>
      <c r="Q1322" s="105">
        <v>0</v>
      </c>
      <c r="R1322" s="105"/>
      <c r="S1322" s="105"/>
      <c r="T1322" s="105"/>
      <c r="U1322" s="111"/>
      <c r="W1322" s="111"/>
      <c r="X1322" s="111"/>
      <c r="Y1322" s="111"/>
    </row>
    <row r="1323" spans="1:25" x14ac:dyDescent="0.25">
      <c r="A1323" s="104"/>
      <c r="B1323" s="196"/>
      <c r="C1323" s="194"/>
      <c r="D1323" s="105"/>
      <c r="E1323" s="105"/>
      <c r="F1323" s="105"/>
      <c r="G1323" s="105"/>
      <c r="H1323" s="105"/>
      <c r="I1323" s="105"/>
      <c r="J1323" s="105"/>
      <c r="K1323" s="105"/>
      <c r="L1323" s="105"/>
      <c r="M1323" s="105"/>
      <c r="N1323" s="105"/>
      <c r="O1323" s="105"/>
      <c r="P1323" s="105"/>
      <c r="Q1323" s="105"/>
      <c r="R1323" s="105"/>
      <c r="S1323" s="105"/>
      <c r="T1323" s="105"/>
      <c r="U1323" s="111"/>
      <c r="W1323" s="111"/>
      <c r="X1323" s="111"/>
      <c r="Y1323" s="111"/>
    </row>
    <row r="1324" spans="1:25" x14ac:dyDescent="0.25">
      <c r="A1324" s="104"/>
      <c r="B1324" s="193" t="s">
        <v>803</v>
      </c>
      <c r="C1324" s="194"/>
      <c r="D1324" s="105"/>
      <c r="E1324" s="105"/>
      <c r="F1324" s="105"/>
      <c r="G1324" s="105"/>
      <c r="H1324" s="105"/>
      <c r="I1324" s="105"/>
      <c r="J1324" s="105"/>
      <c r="K1324" s="105"/>
      <c r="L1324" s="105"/>
      <c r="M1324" s="105"/>
      <c r="N1324" s="105"/>
      <c r="O1324" s="105"/>
      <c r="P1324" s="105"/>
      <c r="Q1324" s="105"/>
      <c r="R1324" s="105"/>
      <c r="S1324" s="105"/>
      <c r="T1324" s="105"/>
      <c r="U1324" s="111"/>
      <c r="W1324" s="111"/>
      <c r="X1324" s="111"/>
      <c r="Y1324" s="111"/>
    </row>
    <row r="1325" spans="1:25" x14ac:dyDescent="0.25">
      <c r="A1325" s="104">
        <v>7</v>
      </c>
      <c r="B1325" s="196" t="s">
        <v>804</v>
      </c>
      <c r="C1325" s="194" t="s">
        <v>880</v>
      </c>
      <c r="D1325" s="105">
        <v>7794907</v>
      </c>
      <c r="E1325" s="105"/>
      <c r="F1325" s="105">
        <v>7293291.5444200505</v>
      </c>
      <c r="G1325" s="105"/>
      <c r="H1325" s="105">
        <v>338716.36530321458</v>
      </c>
      <c r="I1325" s="105">
        <v>162899.09027673496</v>
      </c>
      <c r="J1325" s="105"/>
      <c r="K1325" s="105"/>
      <c r="L1325" s="105">
        <v>23.289001231055042</v>
      </c>
      <c r="M1325" s="105"/>
      <c r="N1325" s="105">
        <v>162875.80127550391</v>
      </c>
      <c r="O1325" s="105">
        <v>82606.054471739597</v>
      </c>
      <c r="P1325" s="105">
        <v>80269.746803764312</v>
      </c>
      <c r="Q1325" s="105">
        <v>0</v>
      </c>
      <c r="R1325" s="105"/>
      <c r="S1325" s="105"/>
      <c r="T1325" s="105">
        <v>7794907</v>
      </c>
      <c r="U1325" s="111"/>
      <c r="W1325" s="111"/>
      <c r="X1325" s="111"/>
      <c r="Y1325" s="111"/>
    </row>
    <row r="1326" spans="1:25" x14ac:dyDescent="0.25">
      <c r="A1326" s="104">
        <v>8</v>
      </c>
      <c r="B1326" s="196" t="s">
        <v>805</v>
      </c>
      <c r="C1326" s="194" t="s">
        <v>880</v>
      </c>
      <c r="D1326" s="105">
        <v>9236154</v>
      </c>
      <c r="E1326" s="105"/>
      <c r="F1326" s="105">
        <v>8641791.8611679953</v>
      </c>
      <c r="G1326" s="105"/>
      <c r="H1326" s="105">
        <v>401343.660964877</v>
      </c>
      <c r="I1326" s="105">
        <v>193018.47786712876</v>
      </c>
      <c r="J1326" s="105"/>
      <c r="K1326" s="105"/>
      <c r="L1326" s="105">
        <v>27.595044030187143</v>
      </c>
      <c r="M1326" s="105"/>
      <c r="N1326" s="105">
        <v>192990.88282309857</v>
      </c>
      <c r="O1326" s="105">
        <v>97879.582198142409</v>
      </c>
      <c r="P1326" s="105">
        <v>95111.300624956144</v>
      </c>
      <c r="Q1326" s="105">
        <v>0</v>
      </c>
      <c r="R1326" s="105"/>
      <c r="S1326" s="105"/>
      <c r="T1326" s="105">
        <v>9236154</v>
      </c>
      <c r="U1326" s="111">
        <v>500</v>
      </c>
      <c r="W1326" s="111">
        <v>7794907</v>
      </c>
      <c r="X1326" s="111">
        <v>0</v>
      </c>
      <c r="Y1326" s="111" t="s">
        <v>1748</v>
      </c>
    </row>
    <row r="1327" spans="1:25" x14ac:dyDescent="0.25">
      <c r="A1327" s="104">
        <v>9</v>
      </c>
      <c r="B1327" s="196" t="s">
        <v>806</v>
      </c>
      <c r="C1327" s="194" t="s">
        <v>880</v>
      </c>
      <c r="D1327" s="105">
        <v>6700236</v>
      </c>
      <c r="E1327" s="105"/>
      <c r="F1327" s="105">
        <v>6269064.475614504</v>
      </c>
      <c r="G1327" s="105"/>
      <c r="H1327" s="105">
        <v>291149.02648533834</v>
      </c>
      <c r="I1327" s="105">
        <v>140022.49790015834</v>
      </c>
      <c r="J1327" s="105"/>
      <c r="K1327" s="105"/>
      <c r="L1327" s="105">
        <v>20.01843055373968</v>
      </c>
      <c r="M1327" s="105"/>
      <c r="N1327" s="105">
        <v>140002.47946960462</v>
      </c>
      <c r="O1327" s="105">
        <v>71005.344898856478</v>
      </c>
      <c r="P1327" s="105">
        <v>68997.134570748138</v>
      </c>
      <c r="Q1327" s="105">
        <v>0</v>
      </c>
      <c r="R1327" s="105"/>
      <c r="S1327" s="105"/>
      <c r="T1327" s="105">
        <v>6700236</v>
      </c>
      <c r="U1327" s="111">
        <v>502</v>
      </c>
      <c r="W1327" s="111">
        <v>9236154</v>
      </c>
      <c r="X1327" s="111">
        <v>0</v>
      </c>
      <c r="Y1327" s="111" t="s">
        <v>1748</v>
      </c>
    </row>
    <row r="1328" spans="1:25" x14ac:dyDescent="0.25">
      <c r="A1328" s="104">
        <v>10</v>
      </c>
      <c r="B1328" s="196" t="s">
        <v>807</v>
      </c>
      <c r="C1328" s="194" t="s">
        <v>880</v>
      </c>
      <c r="D1328" s="105">
        <v>2779706</v>
      </c>
      <c r="E1328" s="105"/>
      <c r="F1328" s="105">
        <v>2600827.2152283126</v>
      </c>
      <c r="G1328" s="105"/>
      <c r="H1328" s="105">
        <v>120788.08803383252</v>
      </c>
      <c r="I1328" s="105">
        <v>58090.696737854843</v>
      </c>
      <c r="J1328" s="105"/>
      <c r="K1328" s="105"/>
      <c r="L1328" s="105">
        <v>8.3049838126319013</v>
      </c>
      <c r="M1328" s="105"/>
      <c r="N1328" s="105">
        <v>58082.391754042212</v>
      </c>
      <c r="O1328" s="105">
        <v>29457.765852937231</v>
      </c>
      <c r="P1328" s="105">
        <v>28624.625901104977</v>
      </c>
      <c r="Q1328" s="105">
        <v>0</v>
      </c>
      <c r="R1328" s="105"/>
      <c r="S1328" s="105"/>
      <c r="T1328" s="105">
        <v>2779706</v>
      </c>
      <c r="U1328" s="111">
        <v>505</v>
      </c>
      <c r="W1328" s="111">
        <v>6700236</v>
      </c>
      <c r="X1328" s="111">
        <v>0</v>
      </c>
      <c r="Y1328" s="111" t="s">
        <v>1748</v>
      </c>
    </row>
    <row r="1329" spans="1:25" x14ac:dyDescent="0.25">
      <c r="A1329" s="104">
        <v>11</v>
      </c>
      <c r="B1329" s="196" t="s">
        <v>808</v>
      </c>
      <c r="C1329" s="194" t="s">
        <v>880</v>
      </c>
      <c r="D1329" s="105">
        <v>0</v>
      </c>
      <c r="E1329" s="105"/>
      <c r="F1329" s="105">
        <v>0</v>
      </c>
      <c r="G1329" s="105"/>
      <c r="H1329" s="105">
        <v>0</v>
      </c>
      <c r="I1329" s="105">
        <v>0</v>
      </c>
      <c r="J1329" s="105"/>
      <c r="K1329" s="105"/>
      <c r="L1329" s="105">
        <v>0</v>
      </c>
      <c r="M1329" s="105"/>
      <c r="N1329" s="105">
        <v>0</v>
      </c>
      <c r="O1329" s="105">
        <v>0</v>
      </c>
      <c r="P1329" s="105">
        <v>0</v>
      </c>
      <c r="Q1329" s="105">
        <v>0</v>
      </c>
      <c r="R1329" s="105"/>
      <c r="S1329" s="105"/>
      <c r="T1329" s="105">
        <v>0</v>
      </c>
      <c r="U1329" s="111">
        <v>506</v>
      </c>
      <c r="W1329" s="111">
        <v>2779706</v>
      </c>
      <c r="X1329" s="111">
        <v>0</v>
      </c>
      <c r="Y1329" s="111" t="s">
        <v>1748</v>
      </c>
    </row>
    <row r="1330" spans="1:25" x14ac:dyDescent="0.25">
      <c r="A1330" s="104">
        <v>12</v>
      </c>
      <c r="B1330" s="196" t="s">
        <v>809</v>
      </c>
      <c r="C1330" s="194" t="s">
        <v>880</v>
      </c>
      <c r="D1330" s="105">
        <v>1275449.0000000002</v>
      </c>
      <c r="E1330" s="105"/>
      <c r="F1330" s="105">
        <v>1193371.6986025632</v>
      </c>
      <c r="G1330" s="105"/>
      <c r="H1330" s="105">
        <v>55422.784314119424</v>
      </c>
      <c r="I1330" s="105">
        <v>26654.517083317525</v>
      </c>
      <c r="J1330" s="105"/>
      <c r="K1330" s="105"/>
      <c r="L1330" s="105">
        <v>3.8106847626466775</v>
      </c>
      <c r="M1330" s="105"/>
      <c r="N1330" s="105">
        <v>26650.706398554878</v>
      </c>
      <c r="O1330" s="105">
        <v>13516.493470663063</v>
      </c>
      <c r="P1330" s="105">
        <v>13134.212927891815</v>
      </c>
      <c r="Q1330" s="105">
        <v>0</v>
      </c>
      <c r="R1330" s="105"/>
      <c r="S1330" s="105"/>
      <c r="T1330" s="105">
        <v>1275449</v>
      </c>
      <c r="U1330" s="111">
        <v>509</v>
      </c>
      <c r="W1330" s="111">
        <v>0</v>
      </c>
      <c r="X1330" s="111">
        <v>0</v>
      </c>
      <c r="Y1330" s="111" t="s">
        <v>1748</v>
      </c>
    </row>
    <row r="1331" spans="1:25" x14ac:dyDescent="0.25">
      <c r="A1331" s="104">
        <v>13</v>
      </c>
      <c r="B1331" s="196" t="s">
        <v>810</v>
      </c>
      <c r="C1331" s="194" t="s">
        <v>880</v>
      </c>
      <c r="D1331" s="105">
        <v>275227</v>
      </c>
      <c r="E1331" s="105"/>
      <c r="F1331" s="105">
        <v>257515.67682540629</v>
      </c>
      <c r="G1331" s="105"/>
      <c r="H1331" s="105">
        <v>11959.589649152687</v>
      </c>
      <c r="I1331" s="105">
        <v>5751.7335254410273</v>
      </c>
      <c r="J1331" s="105"/>
      <c r="K1331" s="105"/>
      <c r="L1331" s="105">
        <v>0.82230127207670167</v>
      </c>
      <c r="M1331" s="105"/>
      <c r="N1331" s="105">
        <v>5750.9112241689509</v>
      </c>
      <c r="O1331" s="105">
        <v>2916.7014505873485</v>
      </c>
      <c r="P1331" s="105">
        <v>2834.2097735816019</v>
      </c>
      <c r="Q1331" s="105">
        <v>0</v>
      </c>
      <c r="R1331" s="105"/>
      <c r="S1331" s="105"/>
      <c r="T1331" s="105">
        <v>275227</v>
      </c>
      <c r="U1331" s="111">
        <v>511</v>
      </c>
      <c r="W1331" s="111">
        <v>1275449</v>
      </c>
      <c r="X1331" s="111">
        <v>0</v>
      </c>
      <c r="Y1331" s="111" t="s">
        <v>1748</v>
      </c>
    </row>
    <row r="1332" spans="1:25" x14ac:dyDescent="0.25">
      <c r="A1332" s="104">
        <v>14</v>
      </c>
      <c r="B1332" s="196" t="s">
        <v>1157</v>
      </c>
      <c r="C1332" s="194" t="s">
        <v>880</v>
      </c>
      <c r="D1332" s="105">
        <v>0</v>
      </c>
      <c r="E1332" s="105"/>
      <c r="F1332" s="105">
        <v>0</v>
      </c>
      <c r="G1332" s="105"/>
      <c r="H1332" s="105">
        <v>0</v>
      </c>
      <c r="I1332" s="105">
        <v>0</v>
      </c>
      <c r="J1332" s="105"/>
      <c r="K1332" s="105"/>
      <c r="L1332" s="105">
        <v>0</v>
      </c>
      <c r="M1332" s="105"/>
      <c r="N1332" s="105">
        <v>0</v>
      </c>
      <c r="O1332" s="105">
        <v>0</v>
      </c>
      <c r="P1332" s="105">
        <v>0</v>
      </c>
      <c r="Q1332" s="105">
        <v>0</v>
      </c>
      <c r="R1332" s="105"/>
      <c r="S1332" s="105"/>
      <c r="T1332" s="105">
        <v>0</v>
      </c>
      <c r="U1332" s="111">
        <v>514</v>
      </c>
      <c r="W1332" s="111">
        <v>275227</v>
      </c>
      <c r="X1332" s="111">
        <v>0</v>
      </c>
      <c r="Y1332" s="111" t="s">
        <v>1748</v>
      </c>
    </row>
    <row r="1333" spans="1:25" x14ac:dyDescent="0.25">
      <c r="A1333" s="104">
        <v>15</v>
      </c>
      <c r="B1333" s="196" t="s">
        <v>1158</v>
      </c>
      <c r="C1333" s="194" t="s">
        <v>880</v>
      </c>
      <c r="D1333" s="105">
        <v>0</v>
      </c>
      <c r="E1333" s="105"/>
      <c r="F1333" s="105">
        <v>0</v>
      </c>
      <c r="G1333" s="105"/>
      <c r="H1333" s="105">
        <v>0</v>
      </c>
      <c r="I1333" s="105">
        <v>0</v>
      </c>
      <c r="J1333" s="105"/>
      <c r="K1333" s="105"/>
      <c r="L1333" s="105">
        <v>0</v>
      </c>
      <c r="M1333" s="105"/>
      <c r="N1333" s="105">
        <v>0</v>
      </c>
      <c r="O1333" s="105">
        <v>0</v>
      </c>
      <c r="P1333" s="105">
        <v>0</v>
      </c>
      <c r="Q1333" s="105">
        <v>0</v>
      </c>
      <c r="R1333" s="105"/>
      <c r="S1333" s="105"/>
      <c r="T1333" s="105">
        <v>0</v>
      </c>
      <c r="U1333" s="111">
        <v>535</v>
      </c>
      <c r="W1333" s="111">
        <v>0</v>
      </c>
      <c r="X1333" s="111">
        <v>0</v>
      </c>
      <c r="Y1333" s="111" t="s">
        <v>1748</v>
      </c>
    </row>
    <row r="1334" spans="1:25" x14ac:dyDescent="0.25">
      <c r="A1334" s="104">
        <v>16</v>
      </c>
      <c r="B1334" s="196" t="s">
        <v>1159</v>
      </c>
      <c r="C1334" s="194" t="s">
        <v>880</v>
      </c>
      <c r="D1334" s="105">
        <v>0</v>
      </c>
      <c r="E1334" s="105"/>
      <c r="F1334" s="105">
        <v>0</v>
      </c>
      <c r="G1334" s="105"/>
      <c r="H1334" s="105">
        <v>0</v>
      </c>
      <c r="I1334" s="105">
        <v>0</v>
      </c>
      <c r="J1334" s="105"/>
      <c r="K1334" s="105"/>
      <c r="L1334" s="105">
        <v>0</v>
      </c>
      <c r="M1334" s="105"/>
      <c r="N1334" s="105">
        <v>0</v>
      </c>
      <c r="O1334" s="105">
        <v>0</v>
      </c>
      <c r="P1334" s="105">
        <v>0</v>
      </c>
      <c r="Q1334" s="105">
        <v>0</v>
      </c>
      <c r="R1334" s="105"/>
      <c r="S1334" s="105"/>
      <c r="T1334" s="105">
        <v>0</v>
      </c>
      <c r="U1334" s="111">
        <v>538</v>
      </c>
      <c r="W1334" s="111">
        <v>0</v>
      </c>
      <c r="X1334" s="111">
        <v>0</v>
      </c>
      <c r="Y1334" s="111" t="s">
        <v>1748</v>
      </c>
    </row>
    <row r="1335" spans="1:25" x14ac:dyDescent="0.25">
      <c r="A1335" s="104">
        <v>17</v>
      </c>
      <c r="B1335" s="196" t="s">
        <v>1160</v>
      </c>
      <c r="C1335" s="194" t="s">
        <v>880</v>
      </c>
      <c r="D1335" s="105">
        <v>204027</v>
      </c>
      <c r="E1335" s="105"/>
      <c r="F1335" s="105">
        <v>190897.51730628597</v>
      </c>
      <c r="G1335" s="105"/>
      <c r="H1335" s="105">
        <v>8865.6970331678058</v>
      </c>
      <c r="I1335" s="105">
        <v>4263.7856605462266</v>
      </c>
      <c r="J1335" s="105"/>
      <c r="K1335" s="105"/>
      <c r="L1335" s="105">
        <v>0.60957559264895234</v>
      </c>
      <c r="M1335" s="105"/>
      <c r="N1335" s="105">
        <v>4263.1760849535776</v>
      </c>
      <c r="O1335" s="105">
        <v>2162.1637661239083</v>
      </c>
      <c r="P1335" s="105">
        <v>2101.0123188296693</v>
      </c>
      <c r="Q1335" s="105">
        <v>0</v>
      </c>
      <c r="R1335" s="105"/>
      <c r="S1335" s="105"/>
      <c r="T1335" s="105">
        <v>204027</v>
      </c>
      <c r="U1335" s="111">
        <v>539</v>
      </c>
      <c r="W1335" s="111">
        <v>0</v>
      </c>
      <c r="X1335" s="111">
        <v>0</v>
      </c>
      <c r="Y1335" s="111" t="s">
        <v>1748</v>
      </c>
    </row>
    <row r="1336" spans="1:25" x14ac:dyDescent="0.25">
      <c r="A1336" s="104">
        <v>18</v>
      </c>
      <c r="B1336" s="196" t="s">
        <v>1161</v>
      </c>
      <c r="C1336" s="194" t="s">
        <v>880</v>
      </c>
      <c r="D1336" s="105">
        <v>59485.000000000007</v>
      </c>
      <c r="E1336" s="105"/>
      <c r="F1336" s="105">
        <v>55657.039592624613</v>
      </c>
      <c r="G1336" s="105"/>
      <c r="H1336" s="105">
        <v>2584.8343014306288</v>
      </c>
      <c r="I1336" s="105">
        <v>1243.1261059447636</v>
      </c>
      <c r="J1336" s="105"/>
      <c r="K1336" s="105"/>
      <c r="L1336" s="105">
        <v>0.17772453708932118</v>
      </c>
      <c r="M1336" s="105"/>
      <c r="N1336" s="105">
        <v>1242.9483814076743</v>
      </c>
      <c r="O1336" s="105">
        <v>630.38868202679396</v>
      </c>
      <c r="P1336" s="105">
        <v>612.55969938088037</v>
      </c>
      <c r="Q1336" s="105">
        <v>0</v>
      </c>
      <c r="R1336" s="105"/>
      <c r="S1336" s="105"/>
      <c r="T1336" s="105">
        <v>59485</v>
      </c>
      <c r="U1336" s="111">
        <v>541</v>
      </c>
      <c r="W1336" s="111">
        <v>204027</v>
      </c>
      <c r="X1336" s="111">
        <v>0</v>
      </c>
      <c r="Y1336" s="111" t="s">
        <v>1748</v>
      </c>
    </row>
    <row r="1337" spans="1:25" x14ac:dyDescent="0.25">
      <c r="A1337" s="104">
        <v>19</v>
      </c>
      <c r="B1337" s="196" t="s">
        <v>2093</v>
      </c>
      <c r="C1337" s="194" t="s">
        <v>880</v>
      </c>
      <c r="D1337" s="105">
        <v>1308</v>
      </c>
      <c r="E1337" s="105"/>
      <c r="F1337" s="105">
        <v>1223.8279866714799</v>
      </c>
      <c r="G1337" s="105"/>
      <c r="H1337" s="105">
        <v>56.837240754329031</v>
      </c>
      <c r="I1337" s="105">
        <v>27.334772574190985</v>
      </c>
      <c r="J1337" s="105"/>
      <c r="K1337" s="105"/>
      <c r="L1337" s="105">
        <v>3.9079380434198889E-3</v>
      </c>
      <c r="M1337" s="105"/>
      <c r="N1337" s="105">
        <v>27.330864636147567</v>
      </c>
      <c r="O1337" s="105">
        <v>13.86145072019915</v>
      </c>
      <c r="P1337" s="105">
        <v>13.469413915948417</v>
      </c>
      <c r="Q1337" s="105">
        <v>0</v>
      </c>
      <c r="R1337" s="105"/>
      <c r="S1337" s="105"/>
      <c r="T1337" s="105">
        <v>1308</v>
      </c>
      <c r="U1337" s="111">
        <v>542</v>
      </c>
      <c r="W1337" s="111">
        <v>59485</v>
      </c>
      <c r="X1337" s="111">
        <v>0</v>
      </c>
      <c r="Y1337" s="111" t="s">
        <v>1748</v>
      </c>
    </row>
    <row r="1338" spans="1:25" x14ac:dyDescent="0.25">
      <c r="A1338" s="104">
        <v>20</v>
      </c>
      <c r="B1338" s="196" t="s">
        <v>1162</v>
      </c>
      <c r="C1338" s="194" t="s">
        <v>880</v>
      </c>
      <c r="D1338" s="105">
        <v>1464</v>
      </c>
      <c r="E1338" s="105"/>
      <c r="F1338" s="105">
        <v>1369.7891226965189</v>
      </c>
      <c r="G1338" s="105"/>
      <c r="H1338" s="105">
        <v>63.615994238790293</v>
      </c>
      <c r="I1338" s="105">
        <v>30.59488306469083</v>
      </c>
      <c r="J1338" s="105"/>
      <c r="K1338" s="105"/>
      <c r="L1338" s="105">
        <v>4.3740223972222611E-3</v>
      </c>
      <c r="M1338" s="105"/>
      <c r="N1338" s="105">
        <v>30.590509042293608</v>
      </c>
      <c r="O1338" s="105">
        <v>15.514651264810059</v>
      </c>
      <c r="P1338" s="105">
        <v>15.075857777483549</v>
      </c>
      <c r="Q1338" s="105">
        <v>0</v>
      </c>
      <c r="R1338" s="105"/>
      <c r="S1338" s="105"/>
      <c r="T1338" s="105">
        <v>1464</v>
      </c>
      <c r="U1338" s="111">
        <v>543</v>
      </c>
      <c r="W1338" s="111">
        <v>1308</v>
      </c>
      <c r="X1338" s="111">
        <v>0</v>
      </c>
      <c r="Y1338" s="111" t="s">
        <v>1748</v>
      </c>
    </row>
    <row r="1339" spans="1:25" x14ac:dyDescent="0.25">
      <c r="A1339" s="104">
        <v>21</v>
      </c>
      <c r="B1339" s="196" t="s">
        <v>1163</v>
      </c>
      <c r="C1339" s="194" t="s">
        <v>880</v>
      </c>
      <c r="D1339" s="105">
        <v>768</v>
      </c>
      <c r="E1339" s="105"/>
      <c r="F1339" s="105">
        <v>718.57790043096077</v>
      </c>
      <c r="G1339" s="105"/>
      <c r="H1339" s="105">
        <v>33.372324846578515</v>
      </c>
      <c r="I1339" s="105">
        <v>16.049774722460764</v>
      </c>
      <c r="J1339" s="105"/>
      <c r="K1339" s="105"/>
      <c r="L1339" s="105">
        <v>2.2945691264116778E-3</v>
      </c>
      <c r="M1339" s="105"/>
      <c r="N1339" s="105">
        <v>16.047480153334352</v>
      </c>
      <c r="O1339" s="105">
        <v>8.1388334503921627</v>
      </c>
      <c r="P1339" s="105">
        <v>7.9086467029421899</v>
      </c>
      <c r="Q1339" s="105">
        <v>0</v>
      </c>
      <c r="R1339" s="105"/>
      <c r="S1339" s="105"/>
      <c r="T1339" s="105">
        <v>768</v>
      </c>
      <c r="U1339" s="111">
        <v>544</v>
      </c>
      <c r="W1339" s="111">
        <v>1464</v>
      </c>
      <c r="X1339" s="111">
        <v>0</v>
      </c>
      <c r="Y1339" s="111" t="s">
        <v>1748</v>
      </c>
    </row>
    <row r="1340" spans="1:25" x14ac:dyDescent="0.25">
      <c r="A1340" s="104">
        <v>22</v>
      </c>
      <c r="B1340" s="196" t="s">
        <v>1164</v>
      </c>
      <c r="C1340" s="194" t="s">
        <v>880</v>
      </c>
      <c r="D1340" s="105">
        <v>1089861</v>
      </c>
      <c r="E1340" s="105"/>
      <c r="F1340" s="105">
        <v>1019726.6004447752</v>
      </c>
      <c r="G1340" s="105"/>
      <c r="H1340" s="105">
        <v>47358.327252105344</v>
      </c>
      <c r="I1340" s="105">
        <v>22776.072303119545</v>
      </c>
      <c r="J1340" s="105"/>
      <c r="K1340" s="105"/>
      <c r="L1340" s="105">
        <v>3.2561997430731222</v>
      </c>
      <c r="M1340" s="105"/>
      <c r="N1340" s="105">
        <v>22772.81610337647</v>
      </c>
      <c r="O1340" s="105">
        <v>11549.735889424286</v>
      </c>
      <c r="P1340" s="105">
        <v>11223.080213952186</v>
      </c>
      <c r="Q1340" s="105">
        <v>0</v>
      </c>
      <c r="R1340" s="105"/>
      <c r="S1340" s="105"/>
      <c r="T1340" s="105">
        <v>1089861</v>
      </c>
      <c r="U1340" s="111">
        <v>545</v>
      </c>
      <c r="W1340" s="111">
        <v>768</v>
      </c>
      <c r="X1340" s="111">
        <v>0</v>
      </c>
      <c r="Y1340" s="111" t="s">
        <v>1748</v>
      </c>
    </row>
    <row r="1341" spans="1:25" x14ac:dyDescent="0.25">
      <c r="A1341" s="104">
        <v>23</v>
      </c>
      <c r="B1341" s="196" t="s">
        <v>1165</v>
      </c>
      <c r="C1341" s="194" t="s">
        <v>880</v>
      </c>
      <c r="D1341" s="105">
        <v>339571</v>
      </c>
      <c r="E1341" s="105"/>
      <c r="F1341" s="105">
        <v>317719.03154588776</v>
      </c>
      <c r="G1341" s="105"/>
      <c r="H1341" s="105">
        <v>14755.564740205094</v>
      </c>
      <c r="I1341" s="105">
        <v>7096.4037139071916</v>
      </c>
      <c r="J1341" s="105"/>
      <c r="K1341" s="105"/>
      <c r="L1341" s="105">
        <v>1.0145431416988802</v>
      </c>
      <c r="M1341" s="105"/>
      <c r="N1341" s="105">
        <v>7095.389170765493</v>
      </c>
      <c r="O1341" s="105">
        <v>3598.5830906030164</v>
      </c>
      <c r="P1341" s="105">
        <v>3496.806080162477</v>
      </c>
      <c r="Q1341" s="105">
        <v>0</v>
      </c>
      <c r="R1341" s="105"/>
      <c r="S1341" s="105"/>
      <c r="T1341" s="105">
        <v>339571</v>
      </c>
      <c r="U1341" s="111">
        <v>546</v>
      </c>
      <c r="W1341" s="111">
        <v>1089861</v>
      </c>
      <c r="X1341" s="111">
        <v>0</v>
      </c>
      <c r="Y1341" s="111" t="s">
        <v>1748</v>
      </c>
    </row>
    <row r="1342" spans="1:25" x14ac:dyDescent="0.25">
      <c r="A1342" s="104">
        <v>24</v>
      </c>
      <c r="B1342" s="196" t="s">
        <v>1166</v>
      </c>
      <c r="C1342" s="194" t="s">
        <v>880</v>
      </c>
      <c r="D1342" s="105">
        <v>2160322</v>
      </c>
      <c r="E1342" s="105"/>
      <c r="F1342" s="105">
        <v>2021301.6237172058</v>
      </c>
      <c r="G1342" s="105"/>
      <c r="H1342" s="105">
        <v>93873.655673450761</v>
      </c>
      <c r="I1342" s="105">
        <v>45146.720609343596</v>
      </c>
      <c r="J1342" s="105"/>
      <c r="K1342" s="105"/>
      <c r="L1342" s="105">
        <v>6.4544377139426157</v>
      </c>
      <c r="M1342" s="105"/>
      <c r="N1342" s="105">
        <v>45140.266171629657</v>
      </c>
      <c r="O1342" s="105">
        <v>22893.881454711063</v>
      </c>
      <c r="P1342" s="105">
        <v>22246.38471691859</v>
      </c>
      <c r="Q1342" s="105">
        <v>0</v>
      </c>
      <c r="R1342" s="105"/>
      <c r="S1342" s="105"/>
      <c r="T1342" s="105">
        <v>2160322</v>
      </c>
      <c r="U1342" s="111">
        <v>548</v>
      </c>
      <c r="W1342" s="111">
        <v>339571</v>
      </c>
      <c r="X1342" s="111">
        <v>0</v>
      </c>
      <c r="Y1342" s="111" t="s">
        <v>1748</v>
      </c>
    </row>
    <row r="1343" spans="1:25" x14ac:dyDescent="0.25">
      <c r="A1343" s="104">
        <v>25</v>
      </c>
      <c r="B1343" s="196" t="s">
        <v>1167</v>
      </c>
      <c r="C1343" s="194" t="s">
        <v>880</v>
      </c>
      <c r="D1343" s="105">
        <v>0</v>
      </c>
      <c r="E1343" s="105"/>
      <c r="F1343" s="105">
        <v>0</v>
      </c>
      <c r="G1343" s="105"/>
      <c r="H1343" s="105">
        <v>0</v>
      </c>
      <c r="I1343" s="105">
        <v>0</v>
      </c>
      <c r="J1343" s="105"/>
      <c r="K1343" s="105"/>
      <c r="L1343" s="105">
        <v>0</v>
      </c>
      <c r="M1343" s="105"/>
      <c r="N1343" s="105">
        <v>0</v>
      </c>
      <c r="O1343" s="105">
        <v>0</v>
      </c>
      <c r="P1343" s="105">
        <v>0</v>
      </c>
      <c r="Q1343" s="105">
        <v>0</v>
      </c>
      <c r="R1343" s="105"/>
      <c r="S1343" s="105"/>
      <c r="T1343" s="105">
        <v>0</v>
      </c>
      <c r="U1343" s="111">
        <v>549</v>
      </c>
      <c r="W1343" s="111">
        <v>2160322</v>
      </c>
      <c r="X1343" s="111">
        <v>0</v>
      </c>
      <c r="Y1343" s="111" t="s">
        <v>1748</v>
      </c>
    </row>
    <row r="1344" spans="1:25" x14ac:dyDescent="0.25">
      <c r="A1344" s="104">
        <v>26</v>
      </c>
      <c r="B1344" s="196" t="s">
        <v>1168</v>
      </c>
      <c r="C1344" s="194" t="s">
        <v>880</v>
      </c>
      <c r="D1344" s="105">
        <v>300805</v>
      </c>
      <c r="E1344" s="105"/>
      <c r="F1344" s="105">
        <v>281447.68924366555</v>
      </c>
      <c r="G1344" s="105"/>
      <c r="H1344" s="105">
        <v>13071.044499316471</v>
      </c>
      <c r="I1344" s="105">
        <v>6286.2662570179818</v>
      </c>
      <c r="J1344" s="105"/>
      <c r="K1344" s="105"/>
      <c r="L1344" s="105">
        <v>0.89872117977899058</v>
      </c>
      <c r="M1344" s="105"/>
      <c r="N1344" s="105">
        <v>6285.3675358382025</v>
      </c>
      <c r="O1344" s="105">
        <v>3187.7627552672061</v>
      </c>
      <c r="P1344" s="105">
        <v>3097.6047805709968</v>
      </c>
      <c r="Q1344" s="105">
        <v>0</v>
      </c>
      <c r="R1344" s="105"/>
      <c r="S1344" s="105"/>
      <c r="T1344" s="105">
        <v>300805</v>
      </c>
      <c r="U1344" s="111">
        <v>550</v>
      </c>
      <c r="W1344" s="111">
        <v>0</v>
      </c>
      <c r="X1344" s="111">
        <v>0</v>
      </c>
      <c r="Y1344" s="111" t="s">
        <v>1748</v>
      </c>
    </row>
    <row r="1345" spans="1:25" x14ac:dyDescent="0.25">
      <c r="A1345" s="104">
        <v>27</v>
      </c>
      <c r="B1345" s="196" t="s">
        <v>1169</v>
      </c>
      <c r="C1345" s="194" t="s">
        <v>880</v>
      </c>
      <c r="D1345" s="105">
        <v>249049</v>
      </c>
      <c r="E1345" s="105"/>
      <c r="F1345" s="105">
        <v>233022.27542243534</v>
      </c>
      <c r="G1345" s="105"/>
      <c r="H1345" s="105">
        <v>10822.062670202517</v>
      </c>
      <c r="I1345" s="105">
        <v>5204.6619073621496</v>
      </c>
      <c r="J1345" s="105"/>
      <c r="K1345" s="105"/>
      <c r="L1345" s="105">
        <v>0.74408873224440364</v>
      </c>
      <c r="M1345" s="105"/>
      <c r="N1345" s="105">
        <v>5203.917818629905</v>
      </c>
      <c r="O1345" s="105">
        <v>2639.2816822743716</v>
      </c>
      <c r="P1345" s="105">
        <v>2564.6361363555329</v>
      </c>
      <c r="Q1345" s="105">
        <v>0</v>
      </c>
      <c r="R1345" s="105"/>
      <c r="S1345" s="105"/>
      <c r="T1345" s="105">
        <v>249049</v>
      </c>
      <c r="U1345" s="111">
        <v>551</v>
      </c>
      <c r="W1345" s="111">
        <v>300805</v>
      </c>
      <c r="X1345" s="111">
        <v>0</v>
      </c>
      <c r="Y1345" s="111" t="s">
        <v>1748</v>
      </c>
    </row>
    <row r="1346" spans="1:25" x14ac:dyDescent="0.25">
      <c r="A1346" s="104">
        <v>28</v>
      </c>
      <c r="B1346" s="196" t="s">
        <v>1170</v>
      </c>
      <c r="C1346" s="194" t="s">
        <v>880</v>
      </c>
      <c r="D1346" s="105">
        <v>1712789</v>
      </c>
      <c r="E1346" s="105"/>
      <c r="F1346" s="105">
        <v>1602568.1295589125</v>
      </c>
      <c r="G1346" s="105"/>
      <c r="H1346" s="105">
        <v>74426.758986518704</v>
      </c>
      <c r="I1346" s="105">
        <v>35794.111454568811</v>
      </c>
      <c r="J1346" s="105"/>
      <c r="K1346" s="105"/>
      <c r="L1346" s="105">
        <v>5.1173343222103274</v>
      </c>
      <c r="M1346" s="105"/>
      <c r="N1346" s="105">
        <v>35788.9941202466</v>
      </c>
      <c r="O1346" s="105">
        <v>18151.17761284341</v>
      </c>
      <c r="P1346" s="105">
        <v>17637.816507403189</v>
      </c>
      <c r="Q1346" s="105">
        <v>0</v>
      </c>
      <c r="R1346" s="105"/>
      <c r="S1346" s="105"/>
      <c r="T1346" s="105">
        <v>1712789</v>
      </c>
      <c r="U1346" s="111">
        <v>552</v>
      </c>
      <c r="W1346" s="111">
        <v>249049</v>
      </c>
      <c r="X1346" s="111">
        <v>0</v>
      </c>
      <c r="Y1346" s="111" t="s">
        <v>1748</v>
      </c>
    </row>
    <row r="1347" spans="1:25" x14ac:dyDescent="0.25">
      <c r="A1347" s="104">
        <v>29</v>
      </c>
      <c r="B1347" s="196" t="s">
        <v>1171</v>
      </c>
      <c r="C1347" s="194" t="s">
        <v>880</v>
      </c>
      <c r="D1347" s="105">
        <v>1532183.0000000002</v>
      </c>
      <c r="E1347" s="105"/>
      <c r="F1347" s="105">
        <v>1433584.4312708473</v>
      </c>
      <c r="G1347" s="105"/>
      <c r="H1347" s="105">
        <v>66578.787500527615</v>
      </c>
      <c r="I1347" s="105">
        <v>32019.781228625128</v>
      </c>
      <c r="J1347" s="105"/>
      <c r="K1347" s="105"/>
      <c r="L1347" s="105">
        <v>4.5777341247562813</v>
      </c>
      <c r="M1347" s="105"/>
      <c r="N1347" s="105">
        <v>32015.203494500372</v>
      </c>
      <c r="O1347" s="105">
        <v>16237.216474638299</v>
      </c>
      <c r="P1347" s="105">
        <v>15777.987019862074</v>
      </c>
      <c r="Q1347" s="105">
        <v>0</v>
      </c>
      <c r="R1347" s="105"/>
      <c r="S1347" s="105"/>
      <c r="T1347" s="105">
        <v>1532183</v>
      </c>
      <c r="U1347" s="111">
        <v>553</v>
      </c>
      <c r="W1347" s="111">
        <v>1712789</v>
      </c>
      <c r="X1347" s="111">
        <v>0</v>
      </c>
      <c r="Y1347" s="111" t="s">
        <v>1748</v>
      </c>
    </row>
    <row r="1348" spans="1:25" x14ac:dyDescent="0.25">
      <c r="A1348" s="104">
        <v>30</v>
      </c>
      <c r="B1348" s="196" t="s">
        <v>1172</v>
      </c>
      <c r="C1348" s="194" t="s">
        <v>880</v>
      </c>
      <c r="D1348" s="105">
        <v>0</v>
      </c>
      <c r="E1348" s="105"/>
      <c r="F1348" s="105">
        <v>0</v>
      </c>
      <c r="G1348" s="105"/>
      <c r="H1348" s="105">
        <v>0</v>
      </c>
      <c r="I1348" s="105">
        <v>0</v>
      </c>
      <c r="J1348" s="105"/>
      <c r="K1348" s="105"/>
      <c r="L1348" s="105">
        <v>0</v>
      </c>
      <c r="M1348" s="105"/>
      <c r="N1348" s="105">
        <v>0</v>
      </c>
      <c r="O1348" s="105">
        <v>0</v>
      </c>
      <c r="P1348" s="105">
        <v>0</v>
      </c>
      <c r="Q1348" s="105">
        <v>0</v>
      </c>
      <c r="R1348" s="105"/>
      <c r="S1348" s="105"/>
      <c r="T1348" s="105">
        <v>0</v>
      </c>
      <c r="U1348" s="111">
        <v>554</v>
      </c>
      <c r="W1348" s="111">
        <v>1532183</v>
      </c>
      <c r="X1348" s="111">
        <v>0</v>
      </c>
      <c r="Y1348" s="111" t="s">
        <v>1748</v>
      </c>
    </row>
    <row r="1349" spans="1:25" x14ac:dyDescent="0.25">
      <c r="A1349" s="104">
        <v>31</v>
      </c>
      <c r="B1349" s="196" t="s">
        <v>1173</v>
      </c>
      <c r="C1349" s="194" t="s">
        <v>880</v>
      </c>
      <c r="D1349" s="105">
        <v>1807958</v>
      </c>
      <c r="E1349" s="105"/>
      <c r="F1349" s="105">
        <v>1691612.8433689571</v>
      </c>
      <c r="G1349" s="105"/>
      <c r="H1349" s="105">
        <v>78562.189693971872</v>
      </c>
      <c r="I1349" s="105">
        <v>37782.966937071244</v>
      </c>
      <c r="J1349" s="105"/>
      <c r="K1349" s="105"/>
      <c r="L1349" s="105">
        <v>5.4016726675117246</v>
      </c>
      <c r="M1349" s="105"/>
      <c r="N1349" s="105">
        <v>37777.565264403733</v>
      </c>
      <c r="O1349" s="105">
        <v>19159.725322010563</v>
      </c>
      <c r="P1349" s="105">
        <v>18617.839942393173</v>
      </c>
      <c r="Q1349" s="105">
        <v>0</v>
      </c>
      <c r="R1349" s="105"/>
      <c r="S1349" s="105"/>
      <c r="T1349" s="105">
        <v>1807958</v>
      </c>
      <c r="U1349" s="111">
        <v>555</v>
      </c>
      <c r="W1349" s="111">
        <v>0</v>
      </c>
      <c r="X1349" s="111">
        <v>0</v>
      </c>
      <c r="Y1349" s="111" t="s">
        <v>1748</v>
      </c>
    </row>
    <row r="1350" spans="1:25" x14ac:dyDescent="0.25">
      <c r="A1350" s="104">
        <v>32</v>
      </c>
      <c r="B1350" s="196" t="s">
        <v>1174</v>
      </c>
      <c r="C1350" s="194" t="s">
        <v>880</v>
      </c>
      <c r="D1350" s="105">
        <v>0</v>
      </c>
      <c r="E1350" s="105"/>
      <c r="F1350" s="105">
        <v>0</v>
      </c>
      <c r="G1350" s="105"/>
      <c r="H1350" s="105">
        <v>0</v>
      </c>
      <c r="I1350" s="105">
        <v>0</v>
      </c>
      <c r="J1350" s="105"/>
      <c r="K1350" s="105"/>
      <c r="L1350" s="105">
        <v>0</v>
      </c>
      <c r="M1350" s="105"/>
      <c r="N1350" s="105">
        <v>0</v>
      </c>
      <c r="O1350" s="105">
        <v>0</v>
      </c>
      <c r="P1350" s="105">
        <v>0</v>
      </c>
      <c r="Q1350" s="105">
        <v>0</v>
      </c>
      <c r="R1350" s="105"/>
      <c r="S1350" s="105"/>
      <c r="T1350" s="105">
        <v>0</v>
      </c>
      <c r="U1350" s="111">
        <v>556</v>
      </c>
      <c r="W1350" s="111">
        <v>1807958</v>
      </c>
      <c r="X1350" s="111">
        <v>0</v>
      </c>
      <c r="Y1350" s="111" t="s">
        <v>1748</v>
      </c>
    </row>
    <row r="1351" spans="1:25" x14ac:dyDescent="0.25">
      <c r="A1351" s="104"/>
      <c r="B1351" s="193"/>
      <c r="C1351" s="194"/>
      <c r="D1351" s="105"/>
      <c r="E1351" s="105"/>
      <c r="F1351" s="105"/>
      <c r="G1351" s="105"/>
      <c r="H1351" s="105"/>
      <c r="I1351" s="105"/>
      <c r="J1351" s="105"/>
      <c r="K1351" s="105"/>
      <c r="L1351" s="105"/>
      <c r="M1351" s="105"/>
      <c r="N1351" s="105"/>
      <c r="O1351" s="105"/>
      <c r="P1351" s="105"/>
      <c r="Q1351" s="105"/>
      <c r="R1351" s="105"/>
      <c r="S1351" s="105"/>
      <c r="T1351" s="105"/>
      <c r="U1351" s="111">
        <v>557</v>
      </c>
      <c r="W1351" s="111">
        <v>0</v>
      </c>
      <c r="X1351" s="111">
        <v>0</v>
      </c>
      <c r="Y1351" s="111" t="s">
        <v>1748</v>
      </c>
    </row>
    <row r="1352" spans="1:25" x14ac:dyDescent="0.25">
      <c r="A1352" s="104">
        <v>33</v>
      </c>
      <c r="B1352" s="196" t="s">
        <v>1175</v>
      </c>
      <c r="C1352" s="194"/>
      <c r="D1352" s="105">
        <v>37521269.000000007</v>
      </c>
      <c r="E1352" s="105"/>
      <c r="F1352" s="105">
        <v>35106711.848340236</v>
      </c>
      <c r="G1352" s="105"/>
      <c r="H1352" s="105">
        <v>1630432.2626612715</v>
      </c>
      <c r="I1352" s="105">
        <v>784124.88899850345</v>
      </c>
      <c r="J1352" s="105">
        <v>0</v>
      </c>
      <c r="K1352" s="105">
        <v>0</v>
      </c>
      <c r="L1352" s="105">
        <v>112.10305394685881</v>
      </c>
      <c r="M1352" s="105"/>
      <c r="N1352" s="105">
        <v>784012.78594455658</v>
      </c>
      <c r="O1352" s="105">
        <v>397629.37400828447</v>
      </c>
      <c r="P1352" s="105">
        <v>386383.41193627211</v>
      </c>
      <c r="Q1352" s="105">
        <v>0</v>
      </c>
      <c r="R1352" s="105"/>
      <c r="S1352" s="105"/>
      <c r="T1352" s="105"/>
      <c r="U1352" s="111"/>
      <c r="W1352" s="111"/>
      <c r="X1352" s="111"/>
      <c r="Y1352" s="111"/>
    </row>
    <row r="1353" spans="1:25" x14ac:dyDescent="0.25">
      <c r="A1353" s="104"/>
      <c r="B1353" s="196"/>
      <c r="C1353" s="194"/>
      <c r="D1353" s="105"/>
      <c r="E1353" s="105"/>
      <c r="F1353" s="105"/>
      <c r="G1353" s="105"/>
      <c r="H1353" s="105"/>
      <c r="I1353" s="105"/>
      <c r="J1353" s="105"/>
      <c r="K1353" s="105"/>
      <c r="L1353" s="105"/>
      <c r="M1353" s="105"/>
      <c r="N1353" s="105"/>
      <c r="O1353" s="105"/>
      <c r="P1353" s="105"/>
      <c r="Q1353" s="105"/>
      <c r="R1353" s="105"/>
      <c r="S1353" s="105"/>
      <c r="T1353" s="105"/>
      <c r="U1353" s="111"/>
      <c r="W1353" s="111"/>
      <c r="X1353" s="111"/>
      <c r="Y1353" s="111"/>
    </row>
    <row r="1354" spans="1:25" x14ac:dyDescent="0.25">
      <c r="A1354" s="104">
        <v>34</v>
      </c>
      <c r="B1354" s="193" t="s">
        <v>1176</v>
      </c>
      <c r="C1354" s="194"/>
      <c r="D1354" s="105">
        <v>62748605.000000015</v>
      </c>
      <c r="E1354" s="105"/>
      <c r="F1354" s="105">
        <v>58845866.095923439</v>
      </c>
      <c r="G1354" s="105"/>
      <c r="H1354" s="105">
        <v>2598881.4829739071</v>
      </c>
      <c r="I1354" s="105">
        <v>1303857.4211026721</v>
      </c>
      <c r="J1354" s="105">
        <v>0</v>
      </c>
      <c r="K1354" s="105">
        <v>0</v>
      </c>
      <c r="L1354" s="105">
        <v>218.34653536164973</v>
      </c>
      <c r="M1354" s="105"/>
      <c r="N1354" s="105">
        <v>1303639.0745673105</v>
      </c>
      <c r="O1354" s="105">
        <v>660772.10580862663</v>
      </c>
      <c r="P1354" s="105">
        <v>642866.96875868388</v>
      </c>
      <c r="Q1354" s="105">
        <v>0</v>
      </c>
      <c r="R1354" s="105"/>
      <c r="S1354" s="105"/>
      <c r="T1354" s="105"/>
      <c r="U1354" s="111"/>
      <c r="W1354" s="111"/>
      <c r="X1354" s="111"/>
      <c r="Y1354" s="111"/>
    </row>
    <row r="1355" spans="1:25" x14ac:dyDescent="0.25">
      <c r="A1355" s="104"/>
      <c r="B1355" s="193"/>
      <c r="C1355" s="194"/>
      <c r="D1355" s="105"/>
      <c r="E1355" s="105"/>
      <c r="F1355" s="105"/>
      <c r="G1355" s="105"/>
      <c r="H1355" s="105"/>
      <c r="I1355" s="105"/>
      <c r="J1355" s="105"/>
      <c r="K1355" s="105"/>
      <c r="L1355" s="105"/>
      <c r="M1355" s="105"/>
      <c r="N1355" s="105"/>
      <c r="O1355" s="105"/>
      <c r="P1355" s="105"/>
      <c r="Q1355" s="105"/>
      <c r="R1355" s="105"/>
      <c r="S1355" s="105"/>
      <c r="T1355" s="105"/>
      <c r="U1355" s="111"/>
      <c r="W1355" s="111"/>
      <c r="X1355" s="111"/>
      <c r="Y1355" s="111"/>
    </row>
    <row r="1356" spans="1:25" x14ac:dyDescent="0.25">
      <c r="A1356" s="104"/>
      <c r="B1356" s="193"/>
      <c r="C1356" s="194"/>
      <c r="D1356" s="105"/>
      <c r="E1356" s="105"/>
      <c r="F1356" s="105"/>
      <c r="G1356" s="105"/>
      <c r="H1356" s="105"/>
      <c r="I1356" s="105"/>
      <c r="J1356" s="105"/>
      <c r="K1356" s="105"/>
      <c r="L1356" s="105"/>
      <c r="M1356" s="105"/>
      <c r="N1356" s="105"/>
      <c r="O1356" s="105"/>
      <c r="P1356" s="105"/>
      <c r="Q1356" s="105"/>
      <c r="R1356" s="105"/>
      <c r="S1356" s="105"/>
      <c r="T1356" s="105"/>
      <c r="U1356" s="111"/>
      <c r="W1356" s="111"/>
      <c r="X1356" s="111"/>
      <c r="Y1356" s="111"/>
    </row>
    <row r="1357" spans="1:25" x14ac:dyDescent="0.25">
      <c r="A1357" s="104"/>
      <c r="B1357" s="193"/>
      <c r="C1357" s="194"/>
      <c r="D1357" s="105"/>
      <c r="E1357" s="105"/>
      <c r="F1357" s="105"/>
      <c r="G1357" s="105"/>
      <c r="H1357" s="105"/>
      <c r="I1357" s="105"/>
      <c r="J1357" s="105"/>
      <c r="K1357" s="105"/>
      <c r="L1357" s="105"/>
      <c r="M1357" s="105"/>
      <c r="N1357" s="105"/>
      <c r="O1357" s="105"/>
      <c r="P1357" s="105"/>
      <c r="Q1357" s="105"/>
      <c r="R1357" s="105"/>
      <c r="S1357" s="105"/>
      <c r="T1357" s="105"/>
      <c r="U1357" s="111"/>
      <c r="W1357" s="111"/>
      <c r="X1357" s="111"/>
      <c r="Y1357" s="111"/>
    </row>
    <row r="1358" spans="1:25" x14ac:dyDescent="0.25">
      <c r="A1358" s="104"/>
      <c r="B1358" s="193"/>
      <c r="C1358" s="194"/>
      <c r="D1358" s="105"/>
      <c r="E1358" s="105"/>
      <c r="F1358" s="105"/>
      <c r="G1358" s="105"/>
      <c r="H1358" s="105"/>
      <c r="I1358" s="105"/>
      <c r="J1358" s="105"/>
      <c r="K1358" s="105"/>
      <c r="L1358" s="105"/>
      <c r="M1358" s="105"/>
      <c r="N1358" s="105"/>
      <c r="O1358" s="105"/>
      <c r="P1358" s="105"/>
      <c r="Q1358" s="105"/>
      <c r="R1358" s="105"/>
      <c r="S1358" s="105"/>
      <c r="T1358" s="105"/>
      <c r="U1358" s="111"/>
      <c r="W1358" s="111"/>
      <c r="X1358" s="111"/>
      <c r="Y1358" s="111"/>
    </row>
    <row r="1359" spans="1:25" x14ac:dyDescent="0.25">
      <c r="A1359" s="104"/>
      <c r="B1359" s="193" t="s">
        <v>1177</v>
      </c>
      <c r="C1359" s="194"/>
      <c r="D1359" s="105"/>
      <c r="E1359" s="105"/>
      <c r="F1359" s="105"/>
      <c r="G1359" s="105"/>
      <c r="H1359" s="105"/>
      <c r="I1359" s="105"/>
      <c r="J1359" s="105"/>
      <c r="K1359" s="105"/>
      <c r="L1359" s="105"/>
      <c r="M1359" s="105"/>
      <c r="N1359" s="105"/>
      <c r="O1359" s="105"/>
      <c r="P1359" s="105"/>
      <c r="Q1359" s="105"/>
      <c r="R1359" s="105"/>
      <c r="S1359" s="105"/>
      <c r="T1359" s="105"/>
      <c r="U1359" s="111"/>
      <c r="W1359" s="111"/>
      <c r="X1359" s="111"/>
      <c r="Y1359" s="111"/>
    </row>
    <row r="1360" spans="1:25" x14ac:dyDescent="0.25">
      <c r="A1360" s="104">
        <v>1</v>
      </c>
      <c r="B1360" s="193" t="s">
        <v>1178</v>
      </c>
      <c r="C1360" s="194" t="s">
        <v>2021</v>
      </c>
      <c r="D1360" s="105">
        <v>1672041.9999999998</v>
      </c>
      <c r="E1360" s="105"/>
      <c r="F1360" s="105">
        <v>1514486.9253856032</v>
      </c>
      <c r="G1360" s="105"/>
      <c r="H1360" s="105">
        <v>157550.2254668074</v>
      </c>
      <c r="I1360" s="105">
        <v>4.8491475892310003</v>
      </c>
      <c r="J1360" s="105"/>
      <c r="K1360" s="105"/>
      <c r="L1360" s="105">
        <v>4.8491475892310003</v>
      </c>
      <c r="M1360" s="105"/>
      <c r="N1360" s="105">
        <v>0</v>
      </c>
      <c r="O1360" s="105">
        <v>0</v>
      </c>
      <c r="P1360" s="105">
        <v>0</v>
      </c>
      <c r="Q1360" s="105">
        <v>0</v>
      </c>
      <c r="R1360" s="105"/>
      <c r="S1360" s="105"/>
      <c r="T1360" s="105">
        <v>1672042</v>
      </c>
      <c r="U1360" s="111"/>
      <c r="W1360" s="111"/>
      <c r="X1360" s="111"/>
      <c r="Y1360" s="111"/>
    </row>
    <row r="1361" spans="1:25" x14ac:dyDescent="0.25">
      <c r="A1361" s="104">
        <v>2</v>
      </c>
      <c r="B1361" s="193" t="s">
        <v>1179</v>
      </c>
      <c r="C1361" s="194" t="s">
        <v>2021</v>
      </c>
      <c r="D1361" s="105">
        <v>3437436</v>
      </c>
      <c r="E1361" s="105"/>
      <c r="F1361" s="105">
        <v>3113529.3723780783</v>
      </c>
      <c r="G1361" s="105"/>
      <c r="H1361" s="105">
        <v>323896.65859333711</v>
      </c>
      <c r="I1361" s="105">
        <v>9.9690285845306832</v>
      </c>
      <c r="J1361" s="105"/>
      <c r="K1361" s="105"/>
      <c r="L1361" s="105">
        <v>9.9690285845306832</v>
      </c>
      <c r="M1361" s="105"/>
      <c r="N1361" s="105">
        <v>0</v>
      </c>
      <c r="O1361" s="105">
        <v>0</v>
      </c>
      <c r="P1361" s="105">
        <v>0</v>
      </c>
      <c r="Q1361" s="105">
        <v>0</v>
      </c>
      <c r="R1361" s="105"/>
      <c r="S1361" s="105"/>
      <c r="T1361" s="105">
        <v>3437436</v>
      </c>
      <c r="U1361" s="111">
        <v>560</v>
      </c>
      <c r="W1361" s="111">
        <v>1672042</v>
      </c>
      <c r="X1361" s="111">
        <v>0</v>
      </c>
      <c r="Y1361" s="111" t="s">
        <v>1748</v>
      </c>
    </row>
    <row r="1362" spans="1:25" x14ac:dyDescent="0.25">
      <c r="A1362" s="104">
        <v>3</v>
      </c>
      <c r="B1362" s="193" t="s">
        <v>1180</v>
      </c>
      <c r="C1362" s="194" t="s">
        <v>2021</v>
      </c>
      <c r="D1362" s="105">
        <v>527591.99999999988</v>
      </c>
      <c r="E1362" s="105"/>
      <c r="F1362" s="105">
        <v>477877.46117504296</v>
      </c>
      <c r="G1362" s="105"/>
      <c r="H1362" s="105">
        <v>49713.008736912023</v>
      </c>
      <c r="I1362" s="105">
        <v>1.5300880449758809</v>
      </c>
      <c r="J1362" s="105"/>
      <c r="K1362" s="105"/>
      <c r="L1362" s="105">
        <v>1.5300880449758809</v>
      </c>
      <c r="M1362" s="105"/>
      <c r="N1362" s="105">
        <v>0</v>
      </c>
      <c r="O1362" s="105">
        <v>0</v>
      </c>
      <c r="P1362" s="105">
        <v>0</v>
      </c>
      <c r="Q1362" s="105">
        <v>0</v>
      </c>
      <c r="R1362" s="105"/>
      <c r="S1362" s="105"/>
      <c r="T1362" s="105">
        <v>527592</v>
      </c>
      <c r="U1362" s="111">
        <v>561</v>
      </c>
      <c r="W1362" s="111">
        <v>3437436</v>
      </c>
      <c r="X1362" s="111">
        <v>0</v>
      </c>
      <c r="Y1362" s="111" t="s">
        <v>1748</v>
      </c>
    </row>
    <row r="1363" spans="1:25" x14ac:dyDescent="0.25">
      <c r="A1363" s="104">
        <v>4</v>
      </c>
      <c r="B1363" s="193" t="s">
        <v>1181</v>
      </c>
      <c r="C1363" s="194" t="s">
        <v>2021</v>
      </c>
      <c r="D1363" s="105">
        <v>45680</v>
      </c>
      <c r="E1363" s="105"/>
      <c r="F1363" s="105">
        <v>41375.613023844111</v>
      </c>
      <c r="G1363" s="105"/>
      <c r="H1363" s="105">
        <v>4304.2544979873483</v>
      </c>
      <c r="I1363" s="105">
        <v>0.1324781685364794</v>
      </c>
      <c r="J1363" s="105"/>
      <c r="K1363" s="105"/>
      <c r="L1363" s="105">
        <v>0.1324781685364794</v>
      </c>
      <c r="M1363" s="105"/>
      <c r="N1363" s="105">
        <v>0</v>
      </c>
      <c r="O1363" s="105">
        <v>0</v>
      </c>
      <c r="P1363" s="105">
        <v>0</v>
      </c>
      <c r="Q1363" s="105">
        <v>0</v>
      </c>
      <c r="R1363" s="105"/>
      <c r="S1363" s="105"/>
      <c r="T1363" s="105">
        <v>45680</v>
      </c>
      <c r="U1363" s="111">
        <v>562</v>
      </c>
      <c r="W1363" s="111">
        <v>527592</v>
      </c>
      <c r="X1363" s="111">
        <v>0</v>
      </c>
      <c r="Y1363" s="111" t="s">
        <v>1748</v>
      </c>
    </row>
    <row r="1364" spans="1:25" x14ac:dyDescent="0.25">
      <c r="A1364" s="104">
        <v>5</v>
      </c>
      <c r="B1364" s="193" t="s">
        <v>1182</v>
      </c>
      <c r="C1364" s="194" t="s">
        <v>2021</v>
      </c>
      <c r="D1364" s="105">
        <v>0</v>
      </c>
      <c r="E1364" s="105"/>
      <c r="F1364" s="105">
        <v>0</v>
      </c>
      <c r="G1364" s="105"/>
      <c r="H1364" s="105">
        <v>0</v>
      </c>
      <c r="I1364" s="105">
        <v>0</v>
      </c>
      <c r="J1364" s="105"/>
      <c r="K1364" s="105"/>
      <c r="L1364" s="105">
        <v>0</v>
      </c>
      <c r="M1364" s="105"/>
      <c r="N1364" s="105">
        <v>0</v>
      </c>
      <c r="O1364" s="105">
        <v>0</v>
      </c>
      <c r="P1364" s="105">
        <v>0</v>
      </c>
      <c r="Q1364" s="105">
        <v>0</v>
      </c>
      <c r="R1364" s="105"/>
      <c r="S1364" s="105"/>
      <c r="T1364" s="105">
        <v>0</v>
      </c>
      <c r="U1364" s="111">
        <v>563</v>
      </c>
      <c r="W1364" s="111">
        <v>45680</v>
      </c>
      <c r="X1364" s="111">
        <v>0</v>
      </c>
      <c r="Y1364" s="111" t="s">
        <v>1748</v>
      </c>
    </row>
    <row r="1365" spans="1:25" x14ac:dyDescent="0.25">
      <c r="A1365" s="104">
        <v>6</v>
      </c>
      <c r="B1365" s="193" t="s">
        <v>1183</v>
      </c>
      <c r="C1365" s="194" t="s">
        <v>2021</v>
      </c>
      <c r="D1365" s="105">
        <v>256223.99999999997</v>
      </c>
      <c r="E1365" s="105"/>
      <c r="F1365" s="105">
        <v>232080.23361255327</v>
      </c>
      <c r="G1365" s="105"/>
      <c r="H1365" s="105">
        <v>24143.023303246722</v>
      </c>
      <c r="I1365" s="105">
        <v>0.74308419998009845</v>
      </c>
      <c r="J1365" s="105"/>
      <c r="K1365" s="105"/>
      <c r="L1365" s="105">
        <v>0.74308419998009845</v>
      </c>
      <c r="M1365" s="105"/>
      <c r="N1365" s="105">
        <v>0</v>
      </c>
      <c r="O1365" s="105">
        <v>0</v>
      </c>
      <c r="P1365" s="105">
        <v>0</v>
      </c>
      <c r="Q1365" s="105">
        <v>0</v>
      </c>
      <c r="R1365" s="105"/>
      <c r="S1365" s="105"/>
      <c r="T1365" s="105">
        <v>256224</v>
      </c>
      <c r="U1365" s="111">
        <v>565</v>
      </c>
      <c r="W1365" s="111">
        <v>0</v>
      </c>
      <c r="X1365" s="111">
        <v>0</v>
      </c>
      <c r="Y1365" s="111" t="s">
        <v>1748</v>
      </c>
    </row>
    <row r="1366" spans="1:25" x14ac:dyDescent="0.25">
      <c r="A1366" s="104">
        <v>7</v>
      </c>
      <c r="B1366" s="193" t="s">
        <v>1184</v>
      </c>
      <c r="C1366" s="194" t="s">
        <v>2021</v>
      </c>
      <c r="D1366" s="105">
        <v>0</v>
      </c>
      <c r="E1366" s="105"/>
      <c r="F1366" s="105">
        <v>0</v>
      </c>
      <c r="G1366" s="105"/>
      <c r="H1366" s="105">
        <v>0</v>
      </c>
      <c r="I1366" s="105">
        <v>0</v>
      </c>
      <c r="J1366" s="105"/>
      <c r="K1366" s="105"/>
      <c r="L1366" s="105">
        <v>0</v>
      </c>
      <c r="M1366" s="105"/>
      <c r="N1366" s="105">
        <v>0</v>
      </c>
      <c r="O1366" s="105">
        <v>0</v>
      </c>
      <c r="P1366" s="105">
        <v>0</v>
      </c>
      <c r="Q1366" s="105">
        <v>0</v>
      </c>
      <c r="R1366" s="105"/>
      <c r="S1366" s="105"/>
      <c r="T1366" s="105">
        <v>0</v>
      </c>
      <c r="U1366" s="111">
        <v>566</v>
      </c>
      <c r="W1366" s="111">
        <v>256224</v>
      </c>
      <c r="X1366" s="111">
        <v>0</v>
      </c>
      <c r="Y1366" s="111" t="s">
        <v>1748</v>
      </c>
    </row>
    <row r="1367" spans="1:25" x14ac:dyDescent="0.25">
      <c r="A1367" s="13">
        <v>8</v>
      </c>
      <c r="B1367" s="13" t="s">
        <v>1185</v>
      </c>
      <c r="C1367" s="194" t="s">
        <v>2021</v>
      </c>
      <c r="D1367" s="105">
        <v>0</v>
      </c>
      <c r="E1367" s="105"/>
      <c r="F1367" s="105">
        <v>0</v>
      </c>
      <c r="G1367" s="105"/>
      <c r="H1367" s="105">
        <v>0</v>
      </c>
      <c r="I1367" s="105">
        <v>0</v>
      </c>
      <c r="J1367" s="105"/>
      <c r="K1367" s="105"/>
      <c r="L1367" s="105">
        <v>0</v>
      </c>
      <c r="M1367" s="105"/>
      <c r="N1367" s="105">
        <v>0</v>
      </c>
      <c r="O1367" s="105">
        <v>0</v>
      </c>
      <c r="P1367" s="105">
        <v>0</v>
      </c>
      <c r="Q1367" s="105">
        <v>0</v>
      </c>
      <c r="R1367" s="105"/>
      <c r="S1367" s="105"/>
      <c r="T1367" s="105">
        <v>0</v>
      </c>
      <c r="U1367" s="111">
        <v>567</v>
      </c>
      <c r="W1367" s="111">
        <v>0</v>
      </c>
      <c r="X1367" s="111">
        <v>0</v>
      </c>
      <c r="Y1367" s="111" t="s">
        <v>1748</v>
      </c>
    </row>
    <row r="1368" spans="1:25" x14ac:dyDescent="0.25">
      <c r="A1368" s="13">
        <v>9</v>
      </c>
      <c r="B1368" s="13" t="s">
        <v>1186</v>
      </c>
      <c r="C1368" s="194" t="s">
        <v>2021</v>
      </c>
      <c r="D1368" s="105">
        <v>1149232</v>
      </c>
      <c r="E1368" s="105"/>
      <c r="F1368" s="105">
        <v>1040940.8604776361</v>
      </c>
      <c r="G1368" s="105"/>
      <c r="H1368" s="105">
        <v>108287.80659437383</v>
      </c>
      <c r="I1368" s="105">
        <v>3.3329279900069024</v>
      </c>
      <c r="J1368" s="105"/>
      <c r="K1368" s="105"/>
      <c r="L1368" s="105">
        <v>3.3329279900069024</v>
      </c>
      <c r="M1368" s="105"/>
      <c r="N1368" s="105">
        <v>0</v>
      </c>
      <c r="O1368" s="105">
        <v>0</v>
      </c>
      <c r="P1368" s="105">
        <v>0</v>
      </c>
      <c r="Q1368" s="105">
        <v>0</v>
      </c>
      <c r="R1368" s="105"/>
      <c r="S1368" s="105"/>
      <c r="T1368" s="105">
        <v>1149232</v>
      </c>
      <c r="U1368" s="15">
        <v>569</v>
      </c>
      <c r="W1368" s="111">
        <v>0</v>
      </c>
      <c r="X1368" s="111">
        <v>0</v>
      </c>
      <c r="Y1368" s="111" t="s">
        <v>1748</v>
      </c>
    </row>
    <row r="1369" spans="1:25" x14ac:dyDescent="0.25">
      <c r="A1369" s="13">
        <v>10</v>
      </c>
      <c r="B1369" s="13" t="s">
        <v>1187</v>
      </c>
      <c r="C1369" s="194" t="s">
        <v>2021</v>
      </c>
      <c r="D1369" s="105">
        <v>321555</v>
      </c>
      <c r="E1369" s="105"/>
      <c r="F1369" s="105">
        <v>291255.14986607252</v>
      </c>
      <c r="G1369" s="105"/>
      <c r="H1369" s="105">
        <v>30298.917581005295</v>
      </c>
      <c r="I1369" s="105">
        <v>0.93255292214859098</v>
      </c>
      <c r="J1369" s="105"/>
      <c r="K1369" s="105"/>
      <c r="L1369" s="105">
        <v>0.93255292214859098</v>
      </c>
      <c r="M1369" s="105"/>
      <c r="N1369" s="105">
        <v>0</v>
      </c>
      <c r="O1369" s="105">
        <v>0</v>
      </c>
      <c r="P1369" s="105">
        <v>0</v>
      </c>
      <c r="Q1369" s="105">
        <v>0</v>
      </c>
      <c r="R1369" s="105"/>
      <c r="S1369" s="105"/>
      <c r="T1369" s="105">
        <v>321555</v>
      </c>
      <c r="U1369" s="15">
        <v>570</v>
      </c>
      <c r="W1369" s="111">
        <v>1149232</v>
      </c>
      <c r="X1369" s="111">
        <v>0</v>
      </c>
      <c r="Y1369" s="111" t="s">
        <v>1748</v>
      </c>
    </row>
    <row r="1370" spans="1:25" x14ac:dyDescent="0.25">
      <c r="A1370" s="13">
        <v>11</v>
      </c>
      <c r="B1370" s="13" t="s">
        <v>1188</v>
      </c>
      <c r="C1370" s="194" t="s">
        <v>2021</v>
      </c>
      <c r="D1370" s="105">
        <v>0</v>
      </c>
      <c r="E1370" s="105"/>
      <c r="F1370" s="105">
        <v>0</v>
      </c>
      <c r="G1370" s="105"/>
      <c r="H1370" s="105">
        <v>0</v>
      </c>
      <c r="I1370" s="105">
        <v>0</v>
      </c>
      <c r="J1370" s="105"/>
      <c r="K1370" s="105"/>
      <c r="L1370" s="105">
        <v>0</v>
      </c>
      <c r="M1370" s="105"/>
      <c r="N1370" s="105">
        <v>0</v>
      </c>
      <c r="O1370" s="105">
        <v>0</v>
      </c>
      <c r="P1370" s="105">
        <v>0</v>
      </c>
      <c r="Q1370" s="105">
        <v>0</v>
      </c>
      <c r="R1370" s="105"/>
      <c r="S1370" s="105"/>
      <c r="T1370" s="105">
        <v>0</v>
      </c>
      <c r="U1370" s="111">
        <v>571</v>
      </c>
      <c r="W1370" s="111">
        <v>321555</v>
      </c>
      <c r="X1370" s="111">
        <v>0</v>
      </c>
      <c r="Y1370" s="111" t="s">
        <v>1748</v>
      </c>
    </row>
    <row r="1371" spans="1:25" x14ac:dyDescent="0.25">
      <c r="A1371" s="13">
        <v>12</v>
      </c>
      <c r="B1371" s="13" t="s">
        <v>1189</v>
      </c>
      <c r="C1371" s="194" t="s">
        <v>2021</v>
      </c>
      <c r="D1371" s="105">
        <v>0</v>
      </c>
      <c r="E1371" s="105"/>
      <c r="F1371" s="105">
        <v>0</v>
      </c>
      <c r="G1371" s="105"/>
      <c r="H1371" s="105">
        <v>0</v>
      </c>
      <c r="I1371" s="105">
        <v>0</v>
      </c>
      <c r="J1371" s="105"/>
      <c r="K1371" s="105"/>
      <c r="L1371" s="105">
        <v>0</v>
      </c>
      <c r="M1371" s="105"/>
      <c r="N1371" s="105">
        <v>0</v>
      </c>
      <c r="O1371" s="105">
        <v>0</v>
      </c>
      <c r="P1371" s="105">
        <v>0</v>
      </c>
      <c r="Q1371" s="105">
        <v>0</v>
      </c>
      <c r="R1371" s="105"/>
      <c r="S1371" s="105"/>
      <c r="T1371" s="105">
        <v>0</v>
      </c>
      <c r="U1371" s="111">
        <v>572</v>
      </c>
      <c r="W1371" s="111">
        <v>0</v>
      </c>
      <c r="X1371" s="111">
        <v>0</v>
      </c>
      <c r="Y1371" s="111" t="s">
        <v>1748</v>
      </c>
    </row>
    <row r="1372" spans="1:25" x14ac:dyDescent="0.25">
      <c r="A1372" s="13"/>
      <c r="B1372" s="13"/>
      <c r="C1372" s="207"/>
      <c r="D1372" s="105"/>
      <c r="E1372" s="105"/>
      <c r="F1372" s="105"/>
      <c r="G1372" s="105"/>
      <c r="H1372" s="105"/>
      <c r="I1372" s="105"/>
      <c r="J1372" s="105"/>
      <c r="K1372" s="105"/>
      <c r="L1372" s="105"/>
      <c r="M1372" s="105"/>
      <c r="N1372" s="105"/>
      <c r="O1372" s="105"/>
      <c r="P1372" s="105"/>
      <c r="Q1372" s="105"/>
      <c r="R1372" s="105"/>
      <c r="S1372" s="105"/>
      <c r="T1372" s="105"/>
      <c r="U1372" s="111">
        <v>573</v>
      </c>
      <c r="W1372" s="111">
        <v>0</v>
      </c>
      <c r="X1372" s="111">
        <v>0</v>
      </c>
      <c r="Y1372" s="111" t="s">
        <v>1748</v>
      </c>
    </row>
    <row r="1373" spans="1:25" x14ac:dyDescent="0.25">
      <c r="A1373" s="104">
        <v>13</v>
      </c>
      <c r="B1373" s="193" t="s">
        <v>1190</v>
      </c>
      <c r="C1373" s="194" t="s">
        <v>2021</v>
      </c>
      <c r="D1373" s="105">
        <v>7409760.9999999991</v>
      </c>
      <c r="E1373" s="105"/>
      <c r="F1373" s="105">
        <v>6711545.61591883</v>
      </c>
      <c r="G1373" s="105"/>
      <c r="H1373" s="105">
        <v>698193.89477366977</v>
      </c>
      <c r="I1373" s="105">
        <v>21.489307499409637</v>
      </c>
      <c r="J1373" s="105">
        <v>0</v>
      </c>
      <c r="K1373" s="105">
        <v>0</v>
      </c>
      <c r="L1373" s="105">
        <v>21.489307499409637</v>
      </c>
      <c r="M1373" s="105"/>
      <c r="N1373" s="105">
        <v>0</v>
      </c>
      <c r="O1373" s="105">
        <v>0</v>
      </c>
      <c r="P1373" s="105">
        <v>0</v>
      </c>
      <c r="Q1373" s="105">
        <v>0</v>
      </c>
      <c r="R1373" s="105"/>
      <c r="S1373" s="105"/>
      <c r="T1373" s="105"/>
      <c r="U1373" s="111"/>
      <c r="W1373" s="111"/>
      <c r="X1373" s="111"/>
      <c r="Y1373" s="111"/>
    </row>
    <row r="1374" spans="1:25" x14ac:dyDescent="0.25">
      <c r="A1374" s="13"/>
      <c r="B1374" s="13"/>
      <c r="C1374" s="103"/>
      <c r="D1374" s="105"/>
      <c r="E1374" s="105"/>
      <c r="F1374" s="105"/>
      <c r="G1374" s="105"/>
      <c r="H1374" s="105"/>
      <c r="I1374" s="105"/>
      <c r="J1374" s="105"/>
      <c r="K1374" s="105"/>
      <c r="L1374" s="105"/>
      <c r="M1374" s="105"/>
      <c r="N1374" s="105"/>
      <c r="O1374" s="105"/>
      <c r="P1374" s="105"/>
      <c r="Q1374" s="105"/>
      <c r="R1374" s="105"/>
      <c r="S1374" s="105"/>
      <c r="T1374" s="105"/>
      <c r="W1374" s="111"/>
    </row>
    <row r="1375" spans="1:25" x14ac:dyDescent="0.25">
      <c r="A1375" s="13"/>
      <c r="B1375" s="13" t="s">
        <v>2326</v>
      </c>
      <c r="C1375" s="103"/>
      <c r="D1375" s="105"/>
      <c r="E1375" s="105"/>
      <c r="F1375" s="105"/>
      <c r="G1375" s="105"/>
      <c r="H1375" s="105"/>
      <c r="I1375" s="105"/>
      <c r="J1375" s="105"/>
      <c r="K1375" s="105"/>
      <c r="L1375" s="105"/>
      <c r="M1375" s="105"/>
      <c r="N1375" s="105"/>
      <c r="O1375" s="105"/>
      <c r="P1375" s="105"/>
      <c r="Q1375" s="105"/>
      <c r="R1375" s="105"/>
      <c r="S1375" s="105"/>
      <c r="T1375" s="105"/>
      <c r="U1375" s="111"/>
      <c r="W1375" s="111"/>
      <c r="X1375" s="111"/>
      <c r="Y1375" s="111"/>
    </row>
    <row r="1376" spans="1:25" x14ac:dyDescent="0.25">
      <c r="A1376" s="13">
        <v>1</v>
      </c>
      <c r="B1376" s="13" t="s">
        <v>1191</v>
      </c>
      <c r="C1376" s="103" t="s">
        <v>1408</v>
      </c>
      <c r="D1376" s="105">
        <v>1432223</v>
      </c>
      <c r="E1376" s="105"/>
      <c r="F1376" s="105">
        <v>1359013.242070257</v>
      </c>
      <c r="G1376" s="105"/>
      <c r="H1376" s="105">
        <v>70160.568358165954</v>
      </c>
      <c r="I1376" s="105">
        <v>3049.1895715770702</v>
      </c>
      <c r="J1376" s="105"/>
      <c r="K1376" s="105"/>
      <c r="L1376" s="105">
        <v>469.24310898184092</v>
      </c>
      <c r="M1376" s="105"/>
      <c r="N1376" s="105">
        <v>2579.9464625952291</v>
      </c>
      <c r="O1376" s="105">
        <v>2561.0440127967026</v>
      </c>
      <c r="P1376" s="105">
        <v>18.902449798526337</v>
      </c>
      <c r="Q1376" s="105">
        <v>0</v>
      </c>
      <c r="R1376" s="105"/>
      <c r="S1376" s="105"/>
      <c r="T1376" s="105">
        <v>1432223</v>
      </c>
      <c r="U1376" s="111"/>
      <c r="W1376" s="111"/>
      <c r="X1376" s="111"/>
      <c r="Y1376" s="111"/>
    </row>
    <row r="1377" spans="1:25" x14ac:dyDescent="0.25">
      <c r="A1377" s="13">
        <v>2</v>
      </c>
      <c r="B1377" s="202" t="s">
        <v>1192</v>
      </c>
      <c r="C1377" s="103" t="s">
        <v>1408</v>
      </c>
      <c r="D1377" s="105">
        <v>352346</v>
      </c>
      <c r="E1377" s="105"/>
      <c r="F1377" s="105">
        <v>334335.42108350917</v>
      </c>
      <c r="G1377" s="105"/>
      <c r="H1377" s="105">
        <v>17260.437528741226</v>
      </c>
      <c r="I1377" s="105">
        <v>750.14138774959929</v>
      </c>
      <c r="J1377" s="105"/>
      <c r="K1377" s="105"/>
      <c r="L1377" s="105">
        <v>115.44007635495012</v>
      </c>
      <c r="M1377" s="105"/>
      <c r="N1377" s="105">
        <v>634.70131139464922</v>
      </c>
      <c r="O1377" s="105">
        <v>630.05105610848807</v>
      </c>
      <c r="P1377" s="105">
        <v>4.6502552861611361</v>
      </c>
      <c r="Q1377" s="105">
        <v>0</v>
      </c>
      <c r="R1377" s="105"/>
      <c r="S1377" s="105"/>
      <c r="T1377" s="105">
        <v>352346</v>
      </c>
      <c r="U1377" s="111">
        <v>580</v>
      </c>
      <c r="W1377" s="111">
        <v>1432223</v>
      </c>
      <c r="X1377" s="111">
        <v>0</v>
      </c>
      <c r="Y1377" s="111" t="s">
        <v>1748</v>
      </c>
    </row>
    <row r="1378" spans="1:25" x14ac:dyDescent="0.25">
      <c r="A1378" s="13">
        <v>3</v>
      </c>
      <c r="B1378" s="13" t="s">
        <v>1193</v>
      </c>
      <c r="C1378" s="103" t="s">
        <v>1408</v>
      </c>
      <c r="D1378" s="105">
        <v>1156140</v>
      </c>
      <c r="E1378" s="105"/>
      <c r="F1378" s="105">
        <v>1097042.5483232059</v>
      </c>
      <c r="G1378" s="105"/>
      <c r="H1378" s="105">
        <v>56636.040268596436</v>
      </c>
      <c r="I1378" s="105">
        <v>2461.4114081976854</v>
      </c>
      <c r="J1378" s="105"/>
      <c r="K1378" s="105"/>
      <c r="L1378" s="105">
        <v>378.78928631802836</v>
      </c>
      <c r="M1378" s="105"/>
      <c r="N1378" s="105">
        <v>2082.6221218796572</v>
      </c>
      <c r="O1378" s="105">
        <v>2067.3634098564121</v>
      </c>
      <c r="P1378" s="105">
        <v>15.258712023245151</v>
      </c>
      <c r="Q1378" s="105">
        <v>0</v>
      </c>
      <c r="R1378" s="105"/>
      <c r="S1378" s="105"/>
      <c r="T1378" s="105">
        <v>1156140</v>
      </c>
      <c r="U1378" s="111">
        <v>581</v>
      </c>
      <c r="W1378" s="111">
        <v>352346</v>
      </c>
      <c r="X1378" s="111">
        <v>0</v>
      </c>
      <c r="Y1378" s="111" t="s">
        <v>1748</v>
      </c>
    </row>
    <row r="1379" spans="1:25" x14ac:dyDescent="0.25">
      <c r="A1379" s="13">
        <v>4</v>
      </c>
      <c r="B1379" s="13" t="s">
        <v>1194</v>
      </c>
      <c r="C1379" s="103" t="s">
        <v>1408</v>
      </c>
      <c r="D1379" s="105">
        <v>2662524.9999999995</v>
      </c>
      <c r="E1379" s="105"/>
      <c r="F1379" s="105">
        <v>2526426.912808348</v>
      </c>
      <c r="G1379" s="105"/>
      <c r="H1379" s="105">
        <v>130429.59599714975</v>
      </c>
      <c r="I1379" s="105">
        <v>5668.4911945020003</v>
      </c>
      <c r="J1379" s="105"/>
      <c r="K1379" s="105"/>
      <c r="L1379" s="105">
        <v>872.3302926582495</v>
      </c>
      <c r="M1379" s="105"/>
      <c r="N1379" s="105">
        <v>4796.1609018437512</v>
      </c>
      <c r="O1379" s="105">
        <v>4761.0209514660364</v>
      </c>
      <c r="P1379" s="105">
        <v>35.139950377714463</v>
      </c>
      <c r="Q1379" s="105">
        <v>0</v>
      </c>
      <c r="R1379" s="105"/>
      <c r="S1379" s="105"/>
      <c r="T1379" s="105">
        <v>2662525</v>
      </c>
      <c r="U1379" s="111">
        <v>582</v>
      </c>
      <c r="W1379" s="111">
        <v>1156140</v>
      </c>
      <c r="X1379" s="111">
        <v>0</v>
      </c>
      <c r="Y1379" s="111" t="s">
        <v>1748</v>
      </c>
    </row>
    <row r="1380" spans="1:25" x14ac:dyDescent="0.25">
      <c r="A1380" s="13">
        <v>5</v>
      </c>
      <c r="B1380" s="13" t="s">
        <v>1195</v>
      </c>
      <c r="C1380" s="103" t="s">
        <v>1408</v>
      </c>
      <c r="D1380" s="105">
        <v>0</v>
      </c>
      <c r="E1380" s="105"/>
      <c r="F1380" s="105">
        <v>0</v>
      </c>
      <c r="G1380" s="105"/>
      <c r="H1380" s="105">
        <v>0</v>
      </c>
      <c r="I1380" s="105">
        <v>0</v>
      </c>
      <c r="J1380" s="105"/>
      <c r="K1380" s="105"/>
      <c r="L1380" s="105">
        <v>0</v>
      </c>
      <c r="M1380" s="105"/>
      <c r="N1380" s="105">
        <v>0</v>
      </c>
      <c r="O1380" s="105">
        <v>0</v>
      </c>
      <c r="P1380" s="105">
        <v>0</v>
      </c>
      <c r="Q1380" s="105">
        <v>0</v>
      </c>
      <c r="R1380" s="105"/>
      <c r="S1380" s="105"/>
      <c r="T1380" s="105">
        <v>0</v>
      </c>
      <c r="U1380" s="111">
        <v>583</v>
      </c>
      <c r="W1380" s="111">
        <v>2662525</v>
      </c>
      <c r="X1380" s="111">
        <v>0</v>
      </c>
      <c r="Y1380" s="111" t="s">
        <v>1748</v>
      </c>
    </row>
    <row r="1381" spans="1:25" x14ac:dyDescent="0.25">
      <c r="A1381" s="13">
        <v>6</v>
      </c>
      <c r="B1381" s="13" t="s">
        <v>1196</v>
      </c>
      <c r="C1381" s="103" t="s">
        <v>1408</v>
      </c>
      <c r="D1381" s="105">
        <v>0</v>
      </c>
      <c r="E1381" s="105"/>
      <c r="F1381" s="105">
        <v>0</v>
      </c>
      <c r="G1381" s="105"/>
      <c r="H1381" s="105">
        <v>0</v>
      </c>
      <c r="I1381" s="105">
        <v>0</v>
      </c>
      <c r="J1381" s="105"/>
      <c r="K1381" s="105"/>
      <c r="L1381" s="105">
        <v>0</v>
      </c>
      <c r="M1381" s="105"/>
      <c r="N1381" s="105">
        <v>0</v>
      </c>
      <c r="O1381" s="105">
        <v>0</v>
      </c>
      <c r="P1381" s="105">
        <v>0</v>
      </c>
      <c r="Q1381" s="105">
        <v>0</v>
      </c>
      <c r="R1381" s="105"/>
      <c r="S1381" s="105"/>
      <c r="T1381" s="105">
        <v>0</v>
      </c>
      <c r="U1381" s="111">
        <v>584</v>
      </c>
      <c r="W1381" s="111">
        <v>0</v>
      </c>
      <c r="X1381" s="111">
        <v>0</v>
      </c>
      <c r="Y1381" s="111" t="s">
        <v>1748</v>
      </c>
    </row>
    <row r="1382" spans="1:25" x14ac:dyDescent="0.25">
      <c r="A1382" s="13">
        <v>7</v>
      </c>
      <c r="B1382" s="13" t="s">
        <v>1197</v>
      </c>
      <c r="C1382" s="103" t="s">
        <v>1408</v>
      </c>
      <c r="D1382" s="105">
        <v>5283130.9999999991</v>
      </c>
      <c r="E1382" s="105"/>
      <c r="F1382" s="105">
        <v>5013077.5644518193</v>
      </c>
      <c r="G1382" s="105"/>
      <c r="H1382" s="105">
        <v>258805.69832396609</v>
      </c>
      <c r="I1382" s="105">
        <v>11247.737224214061</v>
      </c>
      <c r="J1382" s="105"/>
      <c r="K1382" s="105"/>
      <c r="L1382" s="105">
        <v>1730.9265495654952</v>
      </c>
      <c r="M1382" s="105"/>
      <c r="N1382" s="105">
        <v>9516.8106746485664</v>
      </c>
      <c r="O1382" s="105">
        <v>9447.0840199959475</v>
      </c>
      <c r="P1382" s="105">
        <v>69.726654652619217</v>
      </c>
      <c r="Q1382" s="105">
        <v>0</v>
      </c>
      <c r="R1382" s="105"/>
      <c r="S1382" s="105"/>
      <c r="T1382" s="105">
        <v>5283131</v>
      </c>
      <c r="U1382" s="111">
        <v>585</v>
      </c>
      <c r="W1382" s="111">
        <v>0</v>
      </c>
      <c r="X1382" s="111">
        <v>0</v>
      </c>
      <c r="Y1382" s="111" t="s">
        <v>1748</v>
      </c>
    </row>
    <row r="1383" spans="1:25" x14ac:dyDescent="0.25">
      <c r="A1383" s="13">
        <v>8</v>
      </c>
      <c r="B1383" s="13" t="s">
        <v>1198</v>
      </c>
      <c r="C1383" s="103" t="s">
        <v>1408</v>
      </c>
      <c r="D1383" s="105">
        <v>0</v>
      </c>
      <c r="E1383" s="105"/>
      <c r="F1383" s="105">
        <v>0</v>
      </c>
      <c r="G1383" s="105"/>
      <c r="H1383" s="105">
        <v>0</v>
      </c>
      <c r="I1383" s="105">
        <v>0</v>
      </c>
      <c r="J1383" s="105"/>
      <c r="K1383" s="105"/>
      <c r="L1383" s="105">
        <v>0</v>
      </c>
      <c r="M1383" s="105"/>
      <c r="N1383" s="105">
        <v>0</v>
      </c>
      <c r="O1383" s="105">
        <v>0</v>
      </c>
      <c r="P1383" s="105">
        <v>0</v>
      </c>
      <c r="Q1383" s="105">
        <v>0</v>
      </c>
      <c r="R1383" s="105"/>
      <c r="S1383" s="105"/>
      <c r="T1383" s="105">
        <v>0</v>
      </c>
      <c r="U1383" s="111">
        <v>586</v>
      </c>
      <c r="W1383" s="111">
        <v>5283131</v>
      </c>
      <c r="X1383" s="111">
        <v>0</v>
      </c>
      <c r="Y1383" s="111" t="s">
        <v>1748</v>
      </c>
    </row>
    <row r="1384" spans="1:25" x14ac:dyDescent="0.25">
      <c r="A1384" s="13">
        <v>9</v>
      </c>
      <c r="B1384" s="13" t="s">
        <v>1199</v>
      </c>
      <c r="C1384" s="103" t="s">
        <v>1408</v>
      </c>
      <c r="D1384" s="105">
        <v>3424186</v>
      </c>
      <c r="E1384" s="105"/>
      <c r="F1384" s="105">
        <v>3249154.7177440836</v>
      </c>
      <c r="G1384" s="105"/>
      <c r="H1384" s="105">
        <v>167741.22180978442</v>
      </c>
      <c r="I1384" s="105">
        <v>7290.0604461317835</v>
      </c>
      <c r="J1384" s="105"/>
      <c r="K1384" s="105"/>
      <c r="L1384" s="105">
        <v>1121.8753534694624</v>
      </c>
      <c r="M1384" s="105"/>
      <c r="N1384" s="105">
        <v>6168.185092662321</v>
      </c>
      <c r="O1384" s="105">
        <v>6122.9927560179458</v>
      </c>
      <c r="P1384" s="105">
        <v>45.192336644375011</v>
      </c>
      <c r="Q1384" s="105">
        <v>0</v>
      </c>
      <c r="R1384" s="105"/>
      <c r="S1384" s="105"/>
      <c r="T1384" s="105">
        <v>3424186</v>
      </c>
      <c r="U1384" s="111">
        <v>587</v>
      </c>
      <c r="W1384" s="111">
        <v>0</v>
      </c>
      <c r="X1384" s="111">
        <v>0</v>
      </c>
      <c r="Y1384" s="111" t="s">
        <v>1748</v>
      </c>
    </row>
    <row r="1385" spans="1:25" x14ac:dyDescent="0.25">
      <c r="A1385" s="13">
        <v>10</v>
      </c>
      <c r="B1385" s="13" t="s">
        <v>1200</v>
      </c>
      <c r="C1385" s="103" t="s">
        <v>1408</v>
      </c>
      <c r="D1385" s="105">
        <v>0</v>
      </c>
      <c r="E1385" s="105"/>
      <c r="F1385" s="105">
        <v>0</v>
      </c>
      <c r="G1385" s="105"/>
      <c r="H1385" s="105">
        <v>0</v>
      </c>
      <c r="I1385" s="105">
        <v>0</v>
      </c>
      <c r="J1385" s="105"/>
      <c r="K1385" s="105"/>
      <c r="L1385" s="105">
        <v>0</v>
      </c>
      <c r="M1385" s="105"/>
      <c r="N1385" s="105">
        <v>0</v>
      </c>
      <c r="O1385" s="105">
        <v>0</v>
      </c>
      <c r="P1385" s="105">
        <v>0</v>
      </c>
      <c r="Q1385" s="105">
        <v>0</v>
      </c>
      <c r="R1385" s="105"/>
      <c r="S1385" s="105"/>
      <c r="T1385" s="105">
        <v>0</v>
      </c>
      <c r="U1385" s="111">
        <v>588</v>
      </c>
      <c r="W1385" s="111">
        <v>3424186</v>
      </c>
      <c r="X1385" s="111">
        <v>0</v>
      </c>
      <c r="Y1385" s="111" t="s">
        <v>1748</v>
      </c>
    </row>
    <row r="1386" spans="1:25" x14ac:dyDescent="0.25">
      <c r="A1386" s="13">
        <v>11</v>
      </c>
      <c r="B1386" s="13" t="s">
        <v>1201</v>
      </c>
      <c r="C1386" s="103" t="s">
        <v>1408</v>
      </c>
      <c r="D1386" s="105">
        <v>0</v>
      </c>
      <c r="E1386" s="105"/>
      <c r="F1386" s="105">
        <v>0</v>
      </c>
      <c r="G1386" s="105"/>
      <c r="H1386" s="105">
        <v>0</v>
      </c>
      <c r="I1386" s="105">
        <v>0</v>
      </c>
      <c r="J1386" s="105"/>
      <c r="K1386" s="105"/>
      <c r="L1386" s="105">
        <v>0</v>
      </c>
      <c r="M1386" s="105"/>
      <c r="N1386" s="105">
        <v>0</v>
      </c>
      <c r="O1386" s="105">
        <v>0</v>
      </c>
      <c r="P1386" s="105">
        <v>0</v>
      </c>
      <c r="Q1386" s="105">
        <v>0</v>
      </c>
      <c r="R1386" s="105"/>
      <c r="S1386" s="105"/>
      <c r="T1386" s="105">
        <v>0</v>
      </c>
      <c r="U1386" s="111">
        <v>589</v>
      </c>
      <c r="W1386" s="111">
        <v>0</v>
      </c>
      <c r="X1386" s="111">
        <v>0</v>
      </c>
      <c r="Y1386" s="111" t="s">
        <v>1748</v>
      </c>
    </row>
    <row r="1387" spans="1:25" x14ac:dyDescent="0.25">
      <c r="A1387" s="13">
        <v>12</v>
      </c>
      <c r="B1387" s="202" t="s">
        <v>1433</v>
      </c>
      <c r="C1387" s="103" t="s">
        <v>1408</v>
      </c>
      <c r="D1387" s="105">
        <v>0</v>
      </c>
      <c r="E1387" s="105"/>
      <c r="F1387" s="105">
        <v>0</v>
      </c>
      <c r="G1387" s="105"/>
      <c r="H1387" s="105">
        <v>0</v>
      </c>
      <c r="I1387" s="105">
        <v>0</v>
      </c>
      <c r="J1387" s="105"/>
      <c r="K1387" s="105"/>
      <c r="L1387" s="105">
        <v>0</v>
      </c>
      <c r="M1387" s="105"/>
      <c r="N1387" s="105">
        <v>0</v>
      </c>
      <c r="O1387" s="105">
        <v>0</v>
      </c>
      <c r="P1387" s="105">
        <v>0</v>
      </c>
      <c r="Q1387" s="105">
        <v>0</v>
      </c>
      <c r="R1387" s="105"/>
      <c r="S1387" s="105"/>
      <c r="T1387" s="105">
        <v>0</v>
      </c>
      <c r="U1387" s="111">
        <v>590</v>
      </c>
      <c r="W1387" s="111">
        <v>0</v>
      </c>
      <c r="X1387" s="111">
        <v>0</v>
      </c>
      <c r="Y1387" s="111" t="s">
        <v>1748</v>
      </c>
    </row>
    <row r="1388" spans="1:25" x14ac:dyDescent="0.25">
      <c r="A1388" s="13">
        <v>13</v>
      </c>
      <c r="B1388" s="13" t="s">
        <v>1202</v>
      </c>
      <c r="C1388" s="103" t="s">
        <v>1408</v>
      </c>
      <c r="D1388" s="105">
        <v>634557</v>
      </c>
      <c r="E1388" s="105"/>
      <c r="F1388" s="105">
        <v>602120.87492546625</v>
      </c>
      <c r="G1388" s="105"/>
      <c r="H1388" s="105">
        <v>31085.159067863533</v>
      </c>
      <c r="I1388" s="105">
        <v>1350.9660066702118</v>
      </c>
      <c r="J1388" s="105"/>
      <c r="K1388" s="105"/>
      <c r="L1388" s="105">
        <v>207.90163229203137</v>
      </c>
      <c r="M1388" s="105"/>
      <c r="N1388" s="105">
        <v>1143.0643743781804</v>
      </c>
      <c r="O1388" s="105">
        <v>1134.6895040983404</v>
      </c>
      <c r="P1388" s="105">
        <v>8.3748702798401347</v>
      </c>
      <c r="Q1388" s="105">
        <v>0</v>
      </c>
      <c r="R1388" s="105"/>
      <c r="S1388" s="105"/>
      <c r="T1388" s="105">
        <v>634557</v>
      </c>
      <c r="U1388" s="111">
        <v>591</v>
      </c>
      <c r="W1388" s="111">
        <v>0</v>
      </c>
      <c r="X1388" s="111">
        <v>0</v>
      </c>
      <c r="Y1388" s="111" t="s">
        <v>1748</v>
      </c>
    </row>
    <row r="1389" spans="1:25" x14ac:dyDescent="0.25">
      <c r="A1389" s="13">
        <v>14</v>
      </c>
      <c r="B1389" s="13" t="s">
        <v>1203</v>
      </c>
      <c r="C1389" s="103" t="s">
        <v>1408</v>
      </c>
      <c r="D1389" s="105">
        <v>7440116</v>
      </c>
      <c r="E1389" s="105"/>
      <c r="F1389" s="105">
        <v>7059805.747106974</v>
      </c>
      <c r="G1389" s="105"/>
      <c r="H1389" s="105">
        <v>364470.31447664526</v>
      </c>
      <c r="I1389" s="105">
        <v>15839.938416380484</v>
      </c>
      <c r="J1389" s="105"/>
      <c r="K1389" s="105"/>
      <c r="L1389" s="105">
        <v>2437.6253998333627</v>
      </c>
      <c r="M1389" s="105"/>
      <c r="N1389" s="105">
        <v>13402.313016547121</v>
      </c>
      <c r="O1389" s="105">
        <v>13304.118518075016</v>
      </c>
      <c r="P1389" s="105">
        <v>98.194498472104257</v>
      </c>
      <c r="Q1389" s="105">
        <v>0</v>
      </c>
      <c r="R1389" s="105"/>
      <c r="S1389" s="105"/>
      <c r="T1389" s="105">
        <v>7440116</v>
      </c>
      <c r="U1389" s="111">
        <v>592</v>
      </c>
      <c r="W1389" s="111">
        <v>634557</v>
      </c>
      <c r="X1389" s="111">
        <v>0</v>
      </c>
      <c r="Y1389" s="111" t="s">
        <v>1748</v>
      </c>
    </row>
    <row r="1390" spans="1:25" x14ac:dyDescent="0.25">
      <c r="A1390" s="13">
        <v>15</v>
      </c>
      <c r="B1390" s="13" t="s">
        <v>1204</v>
      </c>
      <c r="C1390" s="103" t="s">
        <v>1408</v>
      </c>
      <c r="D1390" s="105">
        <v>341754.99999999994</v>
      </c>
      <c r="E1390" s="105"/>
      <c r="F1390" s="105">
        <v>324285.79246648087</v>
      </c>
      <c r="G1390" s="105"/>
      <c r="H1390" s="105">
        <v>16741.614287192013</v>
      </c>
      <c r="I1390" s="105">
        <v>727.59324632708831</v>
      </c>
      <c r="J1390" s="105"/>
      <c r="K1390" s="105"/>
      <c r="L1390" s="105">
        <v>111.97011827773262</v>
      </c>
      <c r="M1390" s="105"/>
      <c r="N1390" s="105">
        <v>615.62312804935573</v>
      </c>
      <c r="O1390" s="105">
        <v>611.11265256411684</v>
      </c>
      <c r="P1390" s="105">
        <v>4.5104754852389393</v>
      </c>
      <c r="Q1390" s="105">
        <v>0</v>
      </c>
      <c r="R1390" s="105"/>
      <c r="S1390" s="105"/>
      <c r="T1390" s="105">
        <v>341755</v>
      </c>
      <c r="U1390" s="111">
        <v>593</v>
      </c>
      <c r="W1390" s="111">
        <v>7440116</v>
      </c>
      <c r="X1390" s="111">
        <v>0</v>
      </c>
      <c r="Y1390" s="111" t="s">
        <v>1748</v>
      </c>
    </row>
    <row r="1391" spans="1:25" x14ac:dyDescent="0.25">
      <c r="A1391" s="13">
        <v>16</v>
      </c>
      <c r="B1391" s="13" t="s">
        <v>1205</v>
      </c>
      <c r="C1391" s="103" t="s">
        <v>1408</v>
      </c>
      <c r="D1391" s="105">
        <v>57972</v>
      </c>
      <c r="E1391" s="105"/>
      <c r="F1391" s="105">
        <v>55008.693247697418</v>
      </c>
      <c r="G1391" s="105"/>
      <c r="H1391" s="105">
        <v>2839.8848984128845</v>
      </c>
      <c r="I1391" s="105">
        <v>123.42185388969867</v>
      </c>
      <c r="J1391" s="105"/>
      <c r="K1391" s="105"/>
      <c r="L1391" s="105">
        <v>18.993523713761952</v>
      </c>
      <c r="M1391" s="105"/>
      <c r="N1391" s="105">
        <v>104.42833017593672</v>
      </c>
      <c r="O1391" s="105">
        <v>103.66321690815637</v>
      </c>
      <c r="P1391" s="105">
        <v>0.76511326778034483</v>
      </c>
      <c r="Q1391" s="105">
        <v>0</v>
      </c>
      <c r="R1391" s="105"/>
      <c r="S1391" s="105"/>
      <c r="T1391" s="105">
        <v>57972</v>
      </c>
      <c r="U1391" s="111">
        <v>594</v>
      </c>
      <c r="W1391" s="111">
        <v>341755</v>
      </c>
      <c r="X1391" s="111">
        <v>0</v>
      </c>
      <c r="Y1391" s="111" t="s">
        <v>1748</v>
      </c>
    </row>
    <row r="1392" spans="1:25" x14ac:dyDescent="0.25">
      <c r="A1392" s="13">
        <v>17</v>
      </c>
      <c r="B1392" s="13" t="s">
        <v>1206</v>
      </c>
      <c r="C1392" s="103" t="s">
        <v>1408</v>
      </c>
      <c r="D1392" s="105">
        <v>0</v>
      </c>
      <c r="E1392" s="105"/>
      <c r="F1392" s="105">
        <v>0</v>
      </c>
      <c r="G1392" s="105"/>
      <c r="H1392" s="105">
        <v>0</v>
      </c>
      <c r="I1392" s="105">
        <v>0</v>
      </c>
      <c r="J1392" s="105"/>
      <c r="K1392" s="105"/>
      <c r="L1392" s="105">
        <v>0</v>
      </c>
      <c r="M1392" s="105"/>
      <c r="N1392" s="105">
        <v>0</v>
      </c>
      <c r="O1392" s="105">
        <v>0</v>
      </c>
      <c r="P1392" s="105">
        <v>0</v>
      </c>
      <c r="Q1392" s="105">
        <v>0</v>
      </c>
      <c r="R1392" s="105"/>
      <c r="S1392" s="105"/>
      <c r="T1392" s="105">
        <v>0</v>
      </c>
      <c r="U1392" s="111">
        <v>595</v>
      </c>
      <c r="W1392" s="111">
        <v>57972</v>
      </c>
      <c r="X1392" s="111">
        <v>0</v>
      </c>
      <c r="Y1392" s="111" t="s">
        <v>1748</v>
      </c>
    </row>
    <row r="1393" spans="1:25" x14ac:dyDescent="0.25">
      <c r="A1393" s="13">
        <v>18</v>
      </c>
      <c r="B1393" s="13" t="s">
        <v>1207</v>
      </c>
      <c r="C1393" s="103" t="s">
        <v>1408</v>
      </c>
      <c r="D1393" s="105">
        <v>0</v>
      </c>
      <c r="E1393" s="105"/>
      <c r="F1393" s="105">
        <v>0</v>
      </c>
      <c r="G1393" s="105"/>
      <c r="H1393" s="105">
        <v>0</v>
      </c>
      <c r="I1393" s="105">
        <v>0</v>
      </c>
      <c r="J1393" s="105"/>
      <c r="K1393" s="105"/>
      <c r="L1393" s="105">
        <v>0</v>
      </c>
      <c r="M1393" s="105"/>
      <c r="N1393" s="105">
        <v>0</v>
      </c>
      <c r="O1393" s="105">
        <v>0</v>
      </c>
      <c r="P1393" s="105">
        <v>0</v>
      </c>
      <c r="Q1393" s="105">
        <v>0</v>
      </c>
      <c r="R1393" s="105"/>
      <c r="S1393" s="105"/>
      <c r="T1393" s="105">
        <v>0</v>
      </c>
      <c r="U1393" s="111">
        <v>596</v>
      </c>
      <c r="W1393" s="111">
        <v>0</v>
      </c>
      <c r="X1393" s="111">
        <v>0</v>
      </c>
      <c r="Y1393" s="111" t="s">
        <v>1748</v>
      </c>
    </row>
    <row r="1394" spans="1:25" x14ac:dyDescent="0.25">
      <c r="A1394" s="13">
        <v>19</v>
      </c>
      <c r="B1394" s="13" t="s">
        <v>849</v>
      </c>
      <c r="C1394" s="103" t="s">
        <v>1408</v>
      </c>
      <c r="D1394" s="105">
        <v>9209.0000000000018</v>
      </c>
      <c r="E1394" s="105"/>
      <c r="F1394" s="105">
        <v>8738.2711674264392</v>
      </c>
      <c r="G1394" s="105"/>
      <c r="H1394" s="105">
        <v>451.1229564183443</v>
      </c>
      <c r="I1394" s="105">
        <v>19.605876155216919</v>
      </c>
      <c r="J1394" s="105"/>
      <c r="K1394" s="105"/>
      <c r="L1394" s="105">
        <v>3.0171696660462604</v>
      </c>
      <c r="M1394" s="105"/>
      <c r="N1394" s="105">
        <v>16.588706489170658</v>
      </c>
      <c r="O1394" s="105">
        <v>16.467166295922379</v>
      </c>
      <c r="P1394" s="105">
        <v>0.1215401932482784</v>
      </c>
      <c r="Q1394" s="105">
        <v>0</v>
      </c>
      <c r="R1394" s="105"/>
      <c r="S1394" s="105"/>
      <c r="T1394" s="105">
        <v>9209</v>
      </c>
      <c r="U1394" s="111">
        <v>597</v>
      </c>
      <c r="W1394" s="111">
        <v>0</v>
      </c>
      <c r="X1394" s="111">
        <v>0</v>
      </c>
      <c r="Y1394" s="111" t="s">
        <v>1748</v>
      </c>
    </row>
    <row r="1395" spans="1:25" x14ac:dyDescent="0.25">
      <c r="A1395" s="13"/>
      <c r="B1395" s="13"/>
      <c r="C1395" s="103"/>
      <c r="D1395" s="105"/>
      <c r="E1395" s="105"/>
      <c r="F1395" s="105"/>
      <c r="G1395" s="105"/>
      <c r="H1395" s="105"/>
      <c r="I1395" s="105"/>
      <c r="J1395" s="105"/>
      <c r="K1395" s="105"/>
      <c r="L1395" s="105"/>
      <c r="M1395" s="105"/>
      <c r="N1395" s="105"/>
      <c r="O1395" s="105"/>
      <c r="P1395" s="105"/>
      <c r="Q1395" s="105"/>
      <c r="R1395" s="105"/>
      <c r="S1395" s="105"/>
      <c r="T1395" s="105"/>
      <c r="U1395" s="111">
        <v>598</v>
      </c>
      <c r="W1395" s="111">
        <v>9209</v>
      </c>
      <c r="X1395" s="111">
        <v>0</v>
      </c>
      <c r="Y1395" s="111" t="s">
        <v>1748</v>
      </c>
    </row>
    <row r="1396" spans="1:25" x14ac:dyDescent="0.25">
      <c r="A1396" s="104">
        <v>20</v>
      </c>
      <c r="B1396" s="193" t="s">
        <v>850</v>
      </c>
      <c r="C1396" s="194" t="s">
        <v>1408</v>
      </c>
      <c r="D1396" s="105">
        <v>22794160</v>
      </c>
      <c r="E1396" s="105"/>
      <c r="F1396" s="105">
        <v>21629009.785395268</v>
      </c>
      <c r="G1396" s="105"/>
      <c r="H1396" s="105">
        <v>1116621.6579729361</v>
      </c>
      <c r="I1396" s="105">
        <v>48528.556631794905</v>
      </c>
      <c r="J1396" s="105"/>
      <c r="K1396" s="105"/>
      <c r="L1396" s="105">
        <v>7468.1125111309611</v>
      </c>
      <c r="M1396" s="105"/>
      <c r="N1396" s="105">
        <v>41060.444120663939</v>
      </c>
      <c r="O1396" s="105">
        <v>40759.607264183083</v>
      </c>
      <c r="P1396" s="105">
        <v>300.83685648085333</v>
      </c>
      <c r="Q1396" s="105">
        <v>0</v>
      </c>
      <c r="R1396" s="105"/>
      <c r="S1396" s="105"/>
      <c r="T1396" s="105"/>
      <c r="U1396" s="111"/>
      <c r="W1396" s="111"/>
      <c r="X1396" s="111"/>
      <c r="Y1396" s="111"/>
    </row>
    <row r="1397" spans="1:25" x14ac:dyDescent="0.25">
      <c r="A1397" s="13"/>
      <c r="B1397" s="13"/>
      <c r="C1397" s="103"/>
      <c r="D1397" s="105"/>
      <c r="E1397" s="105"/>
      <c r="F1397" s="105"/>
      <c r="G1397" s="105"/>
      <c r="H1397" s="105"/>
      <c r="I1397" s="105"/>
      <c r="J1397" s="105"/>
      <c r="K1397" s="105"/>
      <c r="L1397" s="105"/>
      <c r="M1397" s="105"/>
      <c r="N1397" s="105"/>
      <c r="O1397" s="105"/>
      <c r="P1397" s="105"/>
      <c r="Q1397" s="105"/>
      <c r="R1397" s="105"/>
      <c r="S1397" s="105"/>
      <c r="T1397" s="105"/>
      <c r="U1397" s="111"/>
      <c r="W1397" s="111"/>
      <c r="X1397" s="111"/>
      <c r="Y1397" s="111"/>
    </row>
    <row r="1398" spans="1:25" x14ac:dyDescent="0.25">
      <c r="A1398" s="104">
        <v>21</v>
      </c>
      <c r="B1398" s="193" t="s">
        <v>851</v>
      </c>
      <c r="C1398" s="13"/>
      <c r="D1398" s="105">
        <v>92952526.000000015</v>
      </c>
      <c r="E1398" s="105"/>
      <c r="F1398" s="105">
        <v>87186421.497237533</v>
      </c>
      <c r="G1398" s="105"/>
      <c r="H1398" s="105">
        <v>4413697.0357205123</v>
      </c>
      <c r="I1398" s="105">
        <v>1352407.4670419665</v>
      </c>
      <c r="J1398" s="105"/>
      <c r="K1398" s="105"/>
      <c r="L1398" s="105">
        <v>7707.9483539920202</v>
      </c>
      <c r="M1398" s="105"/>
      <c r="N1398" s="105">
        <v>1344699.5186879744</v>
      </c>
      <c r="O1398" s="105">
        <v>701531.71307280974</v>
      </c>
      <c r="P1398" s="105">
        <v>643167.80561516469</v>
      </c>
      <c r="Q1398" s="105">
        <v>0</v>
      </c>
      <c r="R1398" s="105"/>
      <c r="S1398" s="105"/>
      <c r="T1398" s="105"/>
      <c r="U1398" s="111"/>
      <c r="W1398" s="111"/>
      <c r="X1398" s="111"/>
      <c r="Y1398" s="111"/>
    </row>
    <row r="1399" spans="1:25" x14ac:dyDescent="0.25">
      <c r="A1399" s="104"/>
      <c r="B1399" s="193"/>
      <c r="C1399" s="13"/>
      <c r="D1399" s="105"/>
      <c r="E1399" s="105"/>
      <c r="F1399" s="105"/>
      <c r="G1399" s="105"/>
      <c r="H1399" s="105"/>
      <c r="I1399" s="105"/>
      <c r="J1399" s="105"/>
      <c r="K1399" s="105"/>
      <c r="L1399" s="105"/>
      <c r="M1399" s="105"/>
      <c r="N1399" s="105"/>
      <c r="O1399" s="105"/>
      <c r="P1399" s="105"/>
      <c r="Q1399" s="105"/>
      <c r="R1399" s="105"/>
      <c r="S1399" s="105"/>
      <c r="T1399" s="105"/>
      <c r="U1399" s="111"/>
      <c r="W1399" s="111"/>
      <c r="X1399" s="111"/>
      <c r="Y1399" s="111"/>
    </row>
    <row r="1400" spans="1:25" x14ac:dyDescent="0.25">
      <c r="A1400" s="104"/>
      <c r="B1400" s="193"/>
      <c r="C1400" s="13"/>
      <c r="D1400" s="105"/>
      <c r="E1400" s="105"/>
      <c r="F1400" s="105"/>
      <c r="G1400" s="105"/>
      <c r="H1400" s="105"/>
      <c r="I1400" s="105"/>
      <c r="J1400" s="105"/>
      <c r="K1400" s="105"/>
      <c r="L1400" s="105"/>
      <c r="M1400" s="105"/>
      <c r="N1400" s="105"/>
      <c r="O1400" s="105"/>
      <c r="P1400" s="105"/>
      <c r="Q1400" s="105"/>
      <c r="R1400" s="105"/>
      <c r="S1400" s="105"/>
      <c r="T1400" s="105"/>
      <c r="W1400" s="111"/>
    </row>
    <row r="1401" spans="1:25" x14ac:dyDescent="0.25">
      <c r="A1401" s="104"/>
      <c r="B1401" s="193"/>
      <c r="C1401" s="13"/>
      <c r="D1401" s="105"/>
      <c r="E1401" s="105"/>
      <c r="F1401" s="105"/>
      <c r="G1401" s="105"/>
      <c r="H1401" s="105"/>
      <c r="I1401" s="105"/>
      <c r="J1401" s="105"/>
      <c r="K1401" s="105"/>
      <c r="L1401" s="105"/>
      <c r="M1401" s="105"/>
      <c r="N1401" s="105"/>
      <c r="O1401" s="105"/>
      <c r="P1401" s="105"/>
      <c r="Q1401" s="105"/>
      <c r="R1401" s="105"/>
      <c r="S1401" s="105"/>
      <c r="T1401" s="105"/>
      <c r="W1401" s="111"/>
    </row>
    <row r="1402" spans="1:25" x14ac:dyDescent="0.25">
      <c r="A1402" s="104"/>
      <c r="B1402" s="193"/>
      <c r="C1402" s="13"/>
      <c r="D1402" s="105"/>
      <c r="E1402" s="105"/>
      <c r="F1402" s="105"/>
      <c r="G1402" s="105"/>
      <c r="H1402" s="105"/>
      <c r="I1402" s="105"/>
      <c r="J1402" s="105"/>
      <c r="K1402" s="105"/>
      <c r="L1402" s="105"/>
      <c r="M1402" s="105"/>
      <c r="N1402" s="105"/>
      <c r="O1402" s="105"/>
      <c r="P1402" s="105"/>
      <c r="Q1402" s="105"/>
      <c r="R1402" s="105"/>
      <c r="S1402" s="105"/>
      <c r="T1402" s="105"/>
      <c r="W1402" s="111"/>
    </row>
    <row r="1403" spans="1:25" x14ac:dyDescent="0.25">
      <c r="A1403" s="13"/>
      <c r="B1403" s="193" t="s">
        <v>852</v>
      </c>
      <c r="C1403" s="13"/>
      <c r="D1403" s="105"/>
      <c r="E1403" s="105"/>
      <c r="F1403" s="105"/>
      <c r="G1403" s="105"/>
      <c r="H1403" s="105"/>
      <c r="I1403" s="105"/>
      <c r="J1403" s="105"/>
      <c r="K1403" s="105"/>
      <c r="L1403" s="105"/>
      <c r="M1403" s="105"/>
      <c r="N1403" s="105"/>
      <c r="O1403" s="105"/>
      <c r="P1403" s="105"/>
      <c r="Q1403" s="105"/>
      <c r="R1403" s="105"/>
      <c r="S1403" s="105"/>
      <c r="T1403" s="105"/>
      <c r="W1403" s="111"/>
    </row>
    <row r="1404" spans="1:25" x14ac:dyDescent="0.25">
      <c r="A1404" s="104">
        <v>1</v>
      </c>
      <c r="B1404" s="193" t="s">
        <v>853</v>
      </c>
      <c r="C1404" s="197" t="s">
        <v>1858</v>
      </c>
      <c r="D1404" s="105">
        <v>3641154</v>
      </c>
      <c r="E1404" s="105"/>
      <c r="F1404" s="105">
        <v>3459212.6491932455</v>
      </c>
      <c r="G1404" s="105"/>
      <c r="H1404" s="105">
        <v>180900.20544863981</v>
      </c>
      <c r="I1404" s="105">
        <v>1041.145358114652</v>
      </c>
      <c r="J1404" s="105"/>
      <c r="K1404" s="105"/>
      <c r="L1404" s="105">
        <v>23.989524380521935</v>
      </c>
      <c r="M1404" s="105"/>
      <c r="N1404" s="105">
        <v>1017.1558337341302</v>
      </c>
      <c r="O1404" s="105">
        <v>407.82191446887293</v>
      </c>
      <c r="P1404" s="105">
        <v>609.33391926525724</v>
      </c>
      <c r="Q1404" s="105">
        <v>0</v>
      </c>
      <c r="R1404" s="105"/>
      <c r="S1404" s="105"/>
      <c r="T1404" s="105">
        <v>3641154</v>
      </c>
      <c r="W1404" s="111">
        <v>3641154</v>
      </c>
      <c r="X1404" s="15">
        <v>0</v>
      </c>
      <c r="Y1404" s="15" t="s">
        <v>1748</v>
      </c>
    </row>
    <row r="1405" spans="1:25" x14ac:dyDescent="0.25">
      <c r="A1405" s="13">
        <v>2</v>
      </c>
      <c r="B1405" s="193" t="s">
        <v>854</v>
      </c>
      <c r="C1405" s="197" t="s">
        <v>1858</v>
      </c>
      <c r="D1405" s="105">
        <v>724506</v>
      </c>
      <c r="E1405" s="105"/>
      <c r="F1405" s="105">
        <v>688303.85081663716</v>
      </c>
      <c r="G1405" s="105"/>
      <c r="H1405" s="105">
        <v>35994.985174692483</v>
      </c>
      <c r="I1405" s="105">
        <v>207.16400867038692</v>
      </c>
      <c r="J1405" s="105"/>
      <c r="K1405" s="105"/>
      <c r="L1405" s="105">
        <v>4.7733642550780395</v>
      </c>
      <c r="M1405" s="105"/>
      <c r="N1405" s="105">
        <v>202.39064441530888</v>
      </c>
      <c r="O1405" s="105">
        <v>81.147192336326682</v>
      </c>
      <c r="P1405" s="105">
        <v>121.24345207898222</v>
      </c>
      <c r="Q1405" s="105">
        <v>0</v>
      </c>
      <c r="R1405" s="105"/>
      <c r="S1405" s="105"/>
      <c r="T1405" s="105">
        <v>724506</v>
      </c>
      <c r="U1405" s="15">
        <v>901</v>
      </c>
      <c r="W1405" s="111">
        <v>724506</v>
      </c>
      <c r="X1405" s="111">
        <v>0</v>
      </c>
      <c r="Y1405" s="111" t="s">
        <v>1748</v>
      </c>
    </row>
    <row r="1406" spans="1:25" x14ac:dyDescent="0.25">
      <c r="A1406" s="104">
        <v>3</v>
      </c>
      <c r="B1406" s="13" t="s">
        <v>855</v>
      </c>
      <c r="C1406" s="197" t="s">
        <v>1858</v>
      </c>
      <c r="D1406" s="105">
        <v>14347203</v>
      </c>
      <c r="E1406" s="105"/>
      <c r="F1406" s="105">
        <v>13630301.29957241</v>
      </c>
      <c r="G1406" s="105"/>
      <c r="H1406" s="105">
        <v>712799.28569715575</v>
      </c>
      <c r="I1406" s="105">
        <v>4102.4147304339804</v>
      </c>
      <c r="J1406" s="105"/>
      <c r="K1406" s="105"/>
      <c r="L1406" s="105">
        <v>94.525685033041029</v>
      </c>
      <c r="M1406" s="105"/>
      <c r="N1406" s="105">
        <v>4007.8890454009393</v>
      </c>
      <c r="O1406" s="105">
        <v>1606.9366455616973</v>
      </c>
      <c r="P1406" s="105">
        <v>2400.9523998392419</v>
      </c>
      <c r="Q1406" s="105">
        <v>0</v>
      </c>
      <c r="R1406" s="105"/>
      <c r="S1406" s="105"/>
      <c r="T1406" s="105">
        <v>14347203</v>
      </c>
      <c r="U1406" s="111">
        <v>902</v>
      </c>
      <c r="W1406" s="111">
        <v>14347203</v>
      </c>
      <c r="X1406" s="111">
        <v>0</v>
      </c>
      <c r="Y1406" s="111" t="s">
        <v>1748</v>
      </c>
    </row>
    <row r="1407" spans="1:25" x14ac:dyDescent="0.25">
      <c r="A1407" s="13">
        <v>4</v>
      </c>
      <c r="B1407" s="193" t="s">
        <v>856</v>
      </c>
      <c r="C1407" s="197" t="s">
        <v>1858</v>
      </c>
      <c r="D1407" s="105">
        <v>0</v>
      </c>
      <c r="E1407" s="105"/>
      <c r="F1407" s="105">
        <v>0</v>
      </c>
      <c r="G1407" s="105"/>
      <c r="H1407" s="105">
        <v>0</v>
      </c>
      <c r="I1407" s="105">
        <v>0</v>
      </c>
      <c r="J1407" s="105"/>
      <c r="K1407" s="105"/>
      <c r="L1407" s="105">
        <v>0</v>
      </c>
      <c r="M1407" s="105"/>
      <c r="N1407" s="105">
        <v>0</v>
      </c>
      <c r="O1407" s="105">
        <v>0</v>
      </c>
      <c r="P1407" s="105">
        <v>0</v>
      </c>
      <c r="Q1407" s="105">
        <v>0</v>
      </c>
      <c r="R1407" s="105"/>
      <c r="S1407" s="105"/>
      <c r="T1407" s="105">
        <v>0</v>
      </c>
      <c r="U1407" s="15">
        <v>903</v>
      </c>
      <c r="W1407" s="111">
        <v>0</v>
      </c>
      <c r="X1407" s="111">
        <v>0</v>
      </c>
      <c r="Y1407" s="111" t="s">
        <v>1748</v>
      </c>
    </row>
    <row r="1408" spans="1:25" x14ac:dyDescent="0.25">
      <c r="A1408" s="104">
        <v>5</v>
      </c>
      <c r="B1408" s="13" t="s">
        <v>857</v>
      </c>
      <c r="C1408" s="197" t="s">
        <v>1858</v>
      </c>
      <c r="D1408" s="105">
        <v>0</v>
      </c>
      <c r="E1408" s="105"/>
      <c r="F1408" s="105">
        <v>0</v>
      </c>
      <c r="G1408" s="105"/>
      <c r="H1408" s="105">
        <v>0</v>
      </c>
      <c r="I1408" s="105">
        <v>0</v>
      </c>
      <c r="J1408" s="105"/>
      <c r="K1408" s="105"/>
      <c r="L1408" s="105">
        <v>0</v>
      </c>
      <c r="M1408" s="105"/>
      <c r="N1408" s="105">
        <v>0</v>
      </c>
      <c r="O1408" s="105">
        <v>0</v>
      </c>
      <c r="P1408" s="105">
        <v>0</v>
      </c>
      <c r="Q1408" s="105">
        <v>0</v>
      </c>
      <c r="R1408" s="105"/>
      <c r="S1408" s="105"/>
      <c r="T1408" s="105">
        <v>0</v>
      </c>
      <c r="U1408" s="111">
        <v>904</v>
      </c>
      <c r="W1408" s="111">
        <v>0</v>
      </c>
      <c r="X1408" s="111">
        <v>0</v>
      </c>
      <c r="Y1408" s="111" t="s">
        <v>1748</v>
      </c>
    </row>
    <row r="1409" spans="1:25" x14ac:dyDescent="0.25">
      <c r="A1409" s="13"/>
      <c r="B1409" s="193"/>
      <c r="C1409" s="194"/>
      <c r="D1409" s="105"/>
      <c r="E1409" s="105"/>
      <c r="F1409" s="105"/>
      <c r="G1409" s="105"/>
      <c r="H1409" s="105"/>
      <c r="I1409" s="105"/>
      <c r="J1409" s="105"/>
      <c r="K1409" s="105"/>
      <c r="L1409" s="105"/>
      <c r="M1409" s="105"/>
      <c r="N1409" s="105"/>
      <c r="O1409" s="105"/>
      <c r="P1409" s="105"/>
      <c r="Q1409" s="105"/>
      <c r="R1409" s="105"/>
      <c r="S1409" s="105"/>
      <c r="T1409" s="105"/>
      <c r="U1409" s="15">
        <v>905</v>
      </c>
      <c r="W1409" s="111"/>
      <c r="X1409" s="111"/>
      <c r="Y1409" s="111"/>
    </row>
    <row r="1410" spans="1:25" x14ac:dyDescent="0.25">
      <c r="A1410" s="104">
        <v>6</v>
      </c>
      <c r="B1410" s="13" t="s">
        <v>858</v>
      </c>
      <c r="C1410" s="103"/>
      <c r="D1410" s="105">
        <v>18712862.999999996</v>
      </c>
      <c r="E1410" s="105"/>
      <c r="F1410" s="105">
        <v>17777817.799582291</v>
      </c>
      <c r="G1410" s="105"/>
      <c r="H1410" s="105">
        <v>929694.47632048803</v>
      </c>
      <c r="I1410" s="105">
        <v>5350.7240972190202</v>
      </c>
      <c r="J1410" s="105"/>
      <c r="K1410" s="105"/>
      <c r="L1410" s="105">
        <v>123.28857366864101</v>
      </c>
      <c r="M1410" s="105"/>
      <c r="N1410" s="105">
        <v>5227.435523550379</v>
      </c>
      <c r="O1410" s="105">
        <v>2095.9057523668971</v>
      </c>
      <c r="P1410" s="105">
        <v>3131.5297711834814</v>
      </c>
      <c r="Q1410" s="105">
        <v>0</v>
      </c>
      <c r="R1410" s="105"/>
      <c r="S1410" s="105"/>
      <c r="T1410" s="105"/>
      <c r="U1410" s="111"/>
      <c r="W1410" s="111"/>
    </row>
    <row r="1411" spans="1:25" x14ac:dyDescent="0.25">
      <c r="A1411" s="104"/>
      <c r="B1411" s="13"/>
      <c r="C1411" s="103"/>
      <c r="D1411" s="105"/>
      <c r="E1411" s="105"/>
      <c r="F1411" s="105"/>
      <c r="G1411" s="105"/>
      <c r="H1411" s="105"/>
      <c r="I1411" s="105"/>
      <c r="J1411" s="105"/>
      <c r="K1411" s="105"/>
      <c r="L1411" s="105"/>
      <c r="M1411" s="105"/>
      <c r="N1411" s="105"/>
      <c r="O1411" s="105"/>
      <c r="P1411" s="105"/>
      <c r="Q1411" s="105"/>
      <c r="R1411" s="105"/>
      <c r="S1411" s="105"/>
      <c r="T1411" s="105"/>
      <c r="W1411" s="111"/>
    </row>
    <row r="1412" spans="1:25" x14ac:dyDescent="0.25">
      <c r="A1412" s="13"/>
      <c r="B1412" s="193" t="s">
        <v>859</v>
      </c>
      <c r="C1412" s="13"/>
      <c r="D1412" s="105"/>
      <c r="E1412" s="105"/>
      <c r="F1412" s="105"/>
      <c r="G1412" s="105"/>
      <c r="H1412" s="105"/>
      <c r="I1412" s="105"/>
      <c r="J1412" s="105"/>
      <c r="K1412" s="105"/>
      <c r="L1412" s="105"/>
      <c r="M1412" s="105"/>
      <c r="N1412" s="105"/>
      <c r="O1412" s="105"/>
      <c r="P1412" s="105"/>
      <c r="Q1412" s="105"/>
      <c r="R1412" s="105"/>
      <c r="S1412" s="105"/>
      <c r="T1412" s="105"/>
      <c r="W1412" s="111"/>
    </row>
    <row r="1413" spans="1:25" x14ac:dyDescent="0.25">
      <c r="A1413" s="13">
        <v>7</v>
      </c>
      <c r="B1413" s="13" t="s">
        <v>860</v>
      </c>
      <c r="C1413" s="197" t="s">
        <v>1859</v>
      </c>
      <c r="D1413" s="105">
        <v>624043.99999999988</v>
      </c>
      <c r="E1413" s="105"/>
      <c r="F1413" s="105">
        <v>616104.90533865418</v>
      </c>
      <c r="G1413" s="105"/>
      <c r="H1413" s="105">
        <v>7938.2478546905377</v>
      </c>
      <c r="I1413" s="105">
        <v>0.84680665519580456</v>
      </c>
      <c r="J1413" s="105"/>
      <c r="K1413" s="105"/>
      <c r="L1413" s="105">
        <v>0.84680665519580456</v>
      </c>
      <c r="M1413" s="105"/>
      <c r="N1413" s="105">
        <v>0</v>
      </c>
      <c r="O1413" s="105">
        <v>0</v>
      </c>
      <c r="P1413" s="105">
        <v>0</v>
      </c>
      <c r="Q1413" s="105">
        <v>0</v>
      </c>
      <c r="R1413" s="105"/>
      <c r="S1413" s="105"/>
      <c r="T1413" s="105">
        <v>624044</v>
      </c>
      <c r="W1413" s="111">
        <v>624044</v>
      </c>
      <c r="X1413" s="15">
        <v>0</v>
      </c>
      <c r="Y1413" s="15" t="s">
        <v>1748</v>
      </c>
    </row>
    <row r="1414" spans="1:25" x14ac:dyDescent="0.25">
      <c r="A1414" s="13">
        <v>8</v>
      </c>
      <c r="B1414" s="193" t="s">
        <v>861</v>
      </c>
      <c r="C1414" s="197" t="s">
        <v>1859</v>
      </c>
      <c r="D1414" s="105">
        <v>1077180.9999999998</v>
      </c>
      <c r="E1414" s="105"/>
      <c r="F1414" s="105">
        <v>1063477.0914191897</v>
      </c>
      <c r="G1414" s="105"/>
      <c r="H1414" s="105">
        <v>13702.446882532975</v>
      </c>
      <c r="I1414" s="105">
        <v>1.4616982771254461</v>
      </c>
      <c r="J1414" s="105"/>
      <c r="K1414" s="105"/>
      <c r="L1414" s="105">
        <v>1.4616982771254461</v>
      </c>
      <c r="M1414" s="105"/>
      <c r="N1414" s="105">
        <v>0</v>
      </c>
      <c r="O1414" s="105">
        <v>0</v>
      </c>
      <c r="P1414" s="105">
        <v>0</v>
      </c>
      <c r="Q1414" s="105">
        <v>0</v>
      </c>
      <c r="R1414" s="105"/>
      <c r="S1414" s="105"/>
      <c r="T1414" s="105">
        <v>1077181</v>
      </c>
      <c r="U1414" s="15">
        <v>907</v>
      </c>
      <c r="W1414" s="111">
        <v>1077181</v>
      </c>
      <c r="X1414" s="111">
        <v>0</v>
      </c>
      <c r="Y1414" s="111" t="s">
        <v>1748</v>
      </c>
    </row>
    <row r="1415" spans="1:25" x14ac:dyDescent="0.25">
      <c r="A1415" s="13">
        <v>9</v>
      </c>
      <c r="B1415" s="13" t="s">
        <v>862</v>
      </c>
      <c r="C1415" s="197" t="s">
        <v>1859</v>
      </c>
      <c r="D1415" s="105">
        <v>0</v>
      </c>
      <c r="E1415" s="105"/>
      <c r="F1415" s="105">
        <v>0</v>
      </c>
      <c r="G1415" s="105"/>
      <c r="H1415" s="105">
        <v>0</v>
      </c>
      <c r="I1415" s="105">
        <v>0</v>
      </c>
      <c r="J1415" s="105"/>
      <c r="K1415" s="105"/>
      <c r="L1415" s="105">
        <v>0</v>
      </c>
      <c r="M1415" s="105"/>
      <c r="N1415" s="105">
        <v>0</v>
      </c>
      <c r="O1415" s="105">
        <v>0</v>
      </c>
      <c r="P1415" s="105">
        <v>0</v>
      </c>
      <c r="Q1415" s="105">
        <v>0</v>
      </c>
      <c r="R1415" s="105"/>
      <c r="S1415" s="105"/>
      <c r="T1415" s="105">
        <v>0</v>
      </c>
      <c r="U1415" s="15">
        <v>908</v>
      </c>
      <c r="W1415" s="111">
        <v>0</v>
      </c>
      <c r="X1415" s="111">
        <v>0</v>
      </c>
      <c r="Y1415" s="111" t="s">
        <v>1748</v>
      </c>
    </row>
    <row r="1416" spans="1:25" x14ac:dyDescent="0.25">
      <c r="A1416" s="13">
        <v>10</v>
      </c>
      <c r="B1416" s="193" t="s">
        <v>863</v>
      </c>
      <c r="C1416" s="197" t="s">
        <v>1859</v>
      </c>
      <c r="D1416" s="105">
        <v>0</v>
      </c>
      <c r="E1416" s="105"/>
      <c r="F1416" s="105">
        <v>0</v>
      </c>
      <c r="G1416" s="105"/>
      <c r="H1416" s="105">
        <v>0</v>
      </c>
      <c r="I1416" s="105">
        <v>0</v>
      </c>
      <c r="J1416" s="105"/>
      <c r="K1416" s="105"/>
      <c r="L1416" s="105">
        <v>0</v>
      </c>
      <c r="M1416" s="105"/>
      <c r="N1416" s="105">
        <v>0</v>
      </c>
      <c r="O1416" s="105">
        <v>0</v>
      </c>
      <c r="P1416" s="105">
        <v>0</v>
      </c>
      <c r="Q1416" s="105">
        <v>0</v>
      </c>
      <c r="R1416" s="105"/>
      <c r="S1416" s="105"/>
      <c r="T1416" s="105">
        <v>0</v>
      </c>
      <c r="U1416" s="15">
        <v>909</v>
      </c>
      <c r="W1416" s="111">
        <v>0</v>
      </c>
      <c r="X1416" s="111">
        <v>0</v>
      </c>
      <c r="Y1416" s="111" t="s">
        <v>1748</v>
      </c>
    </row>
    <row r="1417" spans="1:25" x14ac:dyDescent="0.25">
      <c r="A1417" s="13">
        <v>11</v>
      </c>
      <c r="B1417" s="13" t="s">
        <v>1004</v>
      </c>
      <c r="C1417" s="197" t="s">
        <v>1859</v>
      </c>
      <c r="D1417" s="105">
        <v>0</v>
      </c>
      <c r="E1417" s="105"/>
      <c r="F1417" s="105">
        <v>0</v>
      </c>
      <c r="G1417" s="105"/>
      <c r="H1417" s="105">
        <v>0</v>
      </c>
      <c r="I1417" s="105">
        <v>0</v>
      </c>
      <c r="J1417" s="105"/>
      <c r="K1417" s="105"/>
      <c r="L1417" s="105">
        <v>0</v>
      </c>
      <c r="M1417" s="105"/>
      <c r="N1417" s="105">
        <v>0</v>
      </c>
      <c r="O1417" s="105">
        <v>0</v>
      </c>
      <c r="P1417" s="105">
        <v>0</v>
      </c>
      <c r="Q1417" s="105">
        <v>0</v>
      </c>
      <c r="R1417" s="105"/>
      <c r="S1417" s="105"/>
      <c r="T1417" s="105">
        <v>0</v>
      </c>
      <c r="U1417" s="15">
        <v>910</v>
      </c>
      <c r="W1417" s="111">
        <v>0</v>
      </c>
      <c r="X1417" s="111">
        <v>0</v>
      </c>
      <c r="Y1417" s="111" t="s">
        <v>1748</v>
      </c>
    </row>
    <row r="1418" spans="1:25" x14ac:dyDescent="0.25">
      <c r="A1418" s="13">
        <v>12</v>
      </c>
      <c r="B1418" s="193" t="s">
        <v>1005</v>
      </c>
      <c r="C1418" s="197" t="s">
        <v>1859</v>
      </c>
      <c r="D1418" s="105">
        <v>0</v>
      </c>
      <c r="E1418" s="105"/>
      <c r="F1418" s="105">
        <v>0</v>
      </c>
      <c r="G1418" s="105"/>
      <c r="H1418" s="105">
        <v>0</v>
      </c>
      <c r="I1418" s="105">
        <v>0</v>
      </c>
      <c r="J1418" s="105"/>
      <c r="K1418" s="105"/>
      <c r="L1418" s="105">
        <v>0</v>
      </c>
      <c r="M1418" s="105"/>
      <c r="N1418" s="105">
        <v>0</v>
      </c>
      <c r="O1418" s="105">
        <v>0</v>
      </c>
      <c r="P1418" s="105">
        <v>0</v>
      </c>
      <c r="Q1418" s="105">
        <v>0</v>
      </c>
      <c r="R1418" s="105"/>
      <c r="S1418" s="105"/>
      <c r="T1418" s="105">
        <v>0</v>
      </c>
      <c r="U1418" s="15">
        <v>912</v>
      </c>
      <c r="W1418" s="111">
        <v>0</v>
      </c>
      <c r="X1418" s="111">
        <v>0</v>
      </c>
      <c r="Y1418" s="111" t="s">
        <v>1748</v>
      </c>
    </row>
    <row r="1419" spans="1:25" x14ac:dyDescent="0.25">
      <c r="A1419" s="13">
        <v>13</v>
      </c>
      <c r="B1419" s="13" t="s">
        <v>1006</v>
      </c>
      <c r="C1419" s="197" t="s">
        <v>1859</v>
      </c>
      <c r="D1419" s="105">
        <v>0</v>
      </c>
      <c r="E1419" s="105"/>
      <c r="F1419" s="105">
        <v>0</v>
      </c>
      <c r="G1419" s="105"/>
      <c r="H1419" s="105">
        <v>0</v>
      </c>
      <c r="I1419" s="105">
        <v>0</v>
      </c>
      <c r="J1419" s="105"/>
      <c r="K1419" s="105"/>
      <c r="L1419" s="105">
        <v>0</v>
      </c>
      <c r="M1419" s="105"/>
      <c r="N1419" s="105">
        <v>0</v>
      </c>
      <c r="O1419" s="105">
        <v>0</v>
      </c>
      <c r="P1419" s="105">
        <v>0</v>
      </c>
      <c r="Q1419" s="105">
        <v>0</v>
      </c>
      <c r="R1419" s="105"/>
      <c r="S1419" s="105"/>
      <c r="T1419" s="105">
        <v>0</v>
      </c>
      <c r="U1419" s="15">
        <v>913</v>
      </c>
      <c r="W1419" s="111">
        <v>0</v>
      </c>
      <c r="X1419" s="111">
        <v>0</v>
      </c>
      <c r="Y1419" s="111" t="s">
        <v>1748</v>
      </c>
    </row>
    <row r="1420" spans="1:25" x14ac:dyDescent="0.25">
      <c r="A1420" s="13"/>
      <c r="B1420" s="193"/>
      <c r="C1420" s="13"/>
      <c r="D1420" s="105"/>
      <c r="E1420" s="105"/>
      <c r="F1420" s="105"/>
      <c r="G1420" s="105"/>
      <c r="H1420" s="105"/>
      <c r="I1420" s="105"/>
      <c r="J1420" s="105"/>
      <c r="K1420" s="105"/>
      <c r="L1420" s="105"/>
      <c r="M1420" s="105"/>
      <c r="N1420" s="105"/>
      <c r="O1420" s="105"/>
      <c r="P1420" s="105"/>
      <c r="Q1420" s="105"/>
      <c r="R1420" s="105"/>
      <c r="S1420" s="105"/>
      <c r="T1420" s="105"/>
      <c r="U1420" s="15">
        <v>916</v>
      </c>
      <c r="W1420" s="111"/>
      <c r="X1420" s="111"/>
      <c r="Y1420" s="111"/>
    </row>
    <row r="1421" spans="1:25" x14ac:dyDescent="0.25">
      <c r="A1421" s="13">
        <v>14</v>
      </c>
      <c r="B1421" s="202" t="s">
        <v>1295</v>
      </c>
      <c r="C1421" s="13"/>
      <c r="D1421" s="105">
        <v>1701224.9999999998</v>
      </c>
      <c r="E1421" s="105"/>
      <c r="F1421" s="105">
        <v>1679581.996757844</v>
      </c>
      <c r="G1421" s="105"/>
      <c r="H1421" s="105">
        <v>21640.694737223512</v>
      </c>
      <c r="I1421" s="105">
        <v>2.3085049323212505</v>
      </c>
      <c r="J1421" s="105"/>
      <c r="K1421" s="105"/>
      <c r="L1421" s="105">
        <v>2.3085049323212505</v>
      </c>
      <c r="M1421" s="105"/>
      <c r="N1421" s="105">
        <v>0</v>
      </c>
      <c r="O1421" s="105">
        <v>0</v>
      </c>
      <c r="P1421" s="105">
        <v>0</v>
      </c>
      <c r="Q1421" s="105">
        <v>0</v>
      </c>
      <c r="R1421" s="105"/>
      <c r="S1421" s="105"/>
      <c r="T1421" s="105"/>
      <c r="W1421" s="111"/>
    </row>
    <row r="1422" spans="1:25" x14ac:dyDescent="0.25">
      <c r="A1422" s="13"/>
      <c r="B1422" s="13"/>
      <c r="C1422" s="13"/>
      <c r="D1422" s="105"/>
      <c r="E1422" s="105"/>
      <c r="F1422" s="105"/>
      <c r="G1422" s="105"/>
      <c r="H1422" s="105"/>
      <c r="I1422" s="105"/>
      <c r="J1422" s="105"/>
      <c r="K1422" s="105"/>
      <c r="L1422" s="105"/>
      <c r="M1422" s="105"/>
      <c r="N1422" s="105"/>
      <c r="O1422" s="105"/>
      <c r="P1422" s="105"/>
      <c r="Q1422" s="105"/>
      <c r="R1422" s="105"/>
      <c r="S1422" s="105"/>
      <c r="T1422" s="105"/>
      <c r="W1422" s="111"/>
    </row>
    <row r="1423" spans="1:25" x14ac:dyDescent="0.25">
      <c r="A1423" s="13">
        <v>15</v>
      </c>
      <c r="B1423" s="208" t="s">
        <v>1296</v>
      </c>
      <c r="C1423" s="13"/>
      <c r="D1423" s="105">
        <v>113366614.00000001</v>
      </c>
      <c r="E1423" s="105"/>
      <c r="F1423" s="105">
        <v>106643821.29357767</v>
      </c>
      <c r="G1423" s="105"/>
      <c r="H1423" s="105">
        <v>5365032.2067782236</v>
      </c>
      <c r="I1423" s="105">
        <v>1357760.4996441177</v>
      </c>
      <c r="J1423" s="105"/>
      <c r="K1423" s="105"/>
      <c r="L1423" s="105">
        <v>7833.5454325929823</v>
      </c>
      <c r="M1423" s="105"/>
      <c r="N1423" s="105">
        <v>1349926.9542115247</v>
      </c>
      <c r="O1423" s="105">
        <v>703627.61882517661</v>
      </c>
      <c r="P1423" s="105">
        <v>646299.33538634819</v>
      </c>
      <c r="Q1423" s="105"/>
      <c r="R1423" s="105"/>
      <c r="S1423" s="105"/>
      <c r="T1423" s="105"/>
      <c r="W1423" s="111"/>
    </row>
    <row r="1424" spans="1:25" x14ac:dyDescent="0.25">
      <c r="A1424" s="13"/>
      <c r="B1424" s="13"/>
      <c r="C1424" s="13"/>
      <c r="D1424" s="105"/>
      <c r="E1424" s="105"/>
      <c r="F1424" s="105"/>
      <c r="G1424" s="105"/>
      <c r="H1424" s="105"/>
      <c r="I1424" s="105"/>
      <c r="J1424" s="105"/>
      <c r="K1424" s="105"/>
      <c r="L1424" s="105"/>
      <c r="M1424" s="105"/>
      <c r="N1424" s="105"/>
      <c r="O1424" s="105"/>
      <c r="P1424" s="105"/>
      <c r="Q1424" s="105"/>
      <c r="R1424" s="105"/>
      <c r="S1424" s="105"/>
      <c r="T1424" s="105"/>
      <c r="W1424" s="111"/>
    </row>
    <row r="1425" spans="1:25" x14ac:dyDescent="0.25">
      <c r="A1425" s="13"/>
      <c r="B1425" s="13" t="s">
        <v>1297</v>
      </c>
      <c r="C1425" s="13"/>
      <c r="D1425" s="105"/>
      <c r="E1425" s="105"/>
      <c r="F1425" s="105"/>
      <c r="G1425" s="105"/>
      <c r="H1425" s="105"/>
      <c r="I1425" s="105"/>
      <c r="J1425" s="105"/>
      <c r="K1425" s="105"/>
      <c r="L1425" s="105"/>
      <c r="M1425" s="105"/>
      <c r="N1425" s="105"/>
      <c r="O1425" s="105"/>
      <c r="P1425" s="105"/>
      <c r="Q1425" s="105"/>
      <c r="R1425" s="105"/>
      <c r="S1425" s="105"/>
      <c r="T1425" s="105"/>
      <c r="W1425" s="111"/>
    </row>
    <row r="1426" spans="1:25" x14ac:dyDescent="0.25">
      <c r="A1426" s="13">
        <v>16</v>
      </c>
      <c r="B1426" s="13" t="s">
        <v>1298</v>
      </c>
      <c r="C1426" s="197" t="s">
        <v>1396</v>
      </c>
      <c r="D1426" s="105">
        <v>37810562</v>
      </c>
      <c r="E1426" s="105"/>
      <c r="F1426" s="105">
        <v>35568344.812148474</v>
      </c>
      <c r="G1426" s="105"/>
      <c r="H1426" s="105">
        <v>1789370.5715369149</v>
      </c>
      <c r="I1426" s="105">
        <v>452846.61631461343</v>
      </c>
      <c r="J1426" s="105"/>
      <c r="K1426" s="105"/>
      <c r="L1426" s="105">
        <v>2612.6806191712999</v>
      </c>
      <c r="M1426" s="105"/>
      <c r="N1426" s="105">
        <v>450233.93569544214</v>
      </c>
      <c r="O1426" s="105">
        <v>234677.1661231913</v>
      </c>
      <c r="P1426" s="105">
        <v>215556.76957225087</v>
      </c>
      <c r="Q1426" s="105">
        <v>0</v>
      </c>
      <c r="R1426" s="105"/>
      <c r="S1426" s="105"/>
      <c r="T1426" s="105">
        <v>37810562</v>
      </c>
      <c r="W1426" s="111">
        <v>37810562</v>
      </c>
      <c r="X1426" s="15">
        <v>0</v>
      </c>
      <c r="Y1426" s="15" t="s">
        <v>1748</v>
      </c>
    </row>
    <row r="1427" spans="1:25" x14ac:dyDescent="0.25">
      <c r="A1427" s="13">
        <v>17</v>
      </c>
      <c r="B1427" s="13" t="s">
        <v>1299</v>
      </c>
      <c r="C1427" s="197" t="s">
        <v>1396</v>
      </c>
      <c r="D1427" s="105">
        <v>76625</v>
      </c>
      <c r="E1427" s="105"/>
      <c r="F1427" s="105">
        <v>72081.034427123217</v>
      </c>
      <c r="G1427" s="105"/>
      <c r="H1427" s="105">
        <v>3626.2491957674711</v>
      </c>
      <c r="I1427" s="105">
        <v>917.71637710931816</v>
      </c>
      <c r="J1427" s="105"/>
      <c r="K1427" s="105"/>
      <c r="L1427" s="105">
        <v>5.2947282942792775</v>
      </c>
      <c r="M1427" s="105"/>
      <c r="N1427" s="105">
        <v>912.42164881503891</v>
      </c>
      <c r="O1427" s="105">
        <v>475.58504563326869</v>
      </c>
      <c r="P1427" s="105">
        <v>436.83660318177027</v>
      </c>
      <c r="Q1427" s="105">
        <v>0</v>
      </c>
      <c r="R1427" s="105"/>
      <c r="S1427" s="105"/>
      <c r="T1427" s="105">
        <v>76625</v>
      </c>
      <c r="U1427" s="15">
        <v>920</v>
      </c>
      <c r="W1427" s="111">
        <v>76625</v>
      </c>
      <c r="X1427" s="111">
        <v>0</v>
      </c>
      <c r="Y1427" s="111" t="s">
        <v>1748</v>
      </c>
    </row>
    <row r="1428" spans="1:25" x14ac:dyDescent="0.25">
      <c r="A1428" s="13">
        <v>18</v>
      </c>
      <c r="B1428" s="13" t="s">
        <v>1300</v>
      </c>
      <c r="C1428" s="197" t="s">
        <v>1396</v>
      </c>
      <c r="D1428" s="105">
        <v>-4521751</v>
      </c>
      <c r="E1428" s="105"/>
      <c r="F1428" s="105">
        <v>-4253605.0832219096</v>
      </c>
      <c r="G1428" s="105"/>
      <c r="H1428" s="105">
        <v>-213990.15891955313</v>
      </c>
      <c r="I1428" s="105">
        <v>-54155.757858537509</v>
      </c>
      <c r="J1428" s="105"/>
      <c r="K1428" s="105"/>
      <c r="L1428" s="105">
        <v>-312.44950028561976</v>
      </c>
      <c r="M1428" s="105"/>
      <c r="N1428" s="105">
        <v>-53843.308358251888</v>
      </c>
      <c r="O1428" s="105">
        <v>-28064.954723357627</v>
      </c>
      <c r="P1428" s="105">
        <v>-25778.353634894265</v>
      </c>
      <c r="Q1428" s="105">
        <v>0</v>
      </c>
      <c r="R1428" s="105"/>
      <c r="S1428" s="105"/>
      <c r="T1428" s="105">
        <v>-4521751</v>
      </c>
      <c r="U1428" s="15">
        <v>921</v>
      </c>
      <c r="W1428" s="111">
        <v>-4521751</v>
      </c>
      <c r="X1428" s="111">
        <v>0</v>
      </c>
      <c r="Y1428" s="111" t="s">
        <v>1748</v>
      </c>
    </row>
    <row r="1429" spans="1:25" x14ac:dyDescent="0.25">
      <c r="A1429" s="13">
        <v>19</v>
      </c>
      <c r="B1429" s="13" t="s">
        <v>1301</v>
      </c>
      <c r="C1429" s="197" t="s">
        <v>1396</v>
      </c>
      <c r="D1429" s="105">
        <v>0</v>
      </c>
      <c r="E1429" s="105"/>
      <c r="F1429" s="105">
        <v>0</v>
      </c>
      <c r="G1429" s="105"/>
      <c r="H1429" s="105">
        <v>0</v>
      </c>
      <c r="I1429" s="105">
        <v>0</v>
      </c>
      <c r="J1429" s="105"/>
      <c r="K1429" s="105"/>
      <c r="L1429" s="105">
        <v>0</v>
      </c>
      <c r="M1429" s="105"/>
      <c r="N1429" s="105">
        <v>0</v>
      </c>
      <c r="O1429" s="105">
        <v>0</v>
      </c>
      <c r="P1429" s="105">
        <v>0</v>
      </c>
      <c r="Q1429" s="105">
        <v>0</v>
      </c>
      <c r="R1429" s="105"/>
      <c r="S1429" s="105"/>
      <c r="T1429" s="105">
        <v>0</v>
      </c>
      <c r="U1429" s="15">
        <v>922</v>
      </c>
      <c r="W1429" s="111">
        <v>0</v>
      </c>
      <c r="X1429" s="111">
        <v>0</v>
      </c>
      <c r="Y1429" s="111" t="s">
        <v>1748</v>
      </c>
    </row>
    <row r="1430" spans="1:25" x14ac:dyDescent="0.25">
      <c r="A1430" s="13">
        <v>20</v>
      </c>
      <c r="B1430" s="13" t="s">
        <v>1302</v>
      </c>
      <c r="C1430" s="197" t="s">
        <v>1396</v>
      </c>
      <c r="D1430" s="105">
        <v>0</v>
      </c>
      <c r="E1430" s="105"/>
      <c r="F1430" s="105">
        <v>0</v>
      </c>
      <c r="G1430" s="105"/>
      <c r="H1430" s="105">
        <v>0</v>
      </c>
      <c r="I1430" s="105">
        <v>0</v>
      </c>
      <c r="J1430" s="105"/>
      <c r="K1430" s="105"/>
      <c r="L1430" s="105">
        <v>0</v>
      </c>
      <c r="M1430" s="105"/>
      <c r="N1430" s="105">
        <v>0</v>
      </c>
      <c r="O1430" s="105">
        <v>0</v>
      </c>
      <c r="P1430" s="105">
        <v>0</v>
      </c>
      <c r="Q1430" s="105">
        <v>0</v>
      </c>
      <c r="R1430" s="105"/>
      <c r="S1430" s="105"/>
      <c r="T1430" s="105">
        <v>0</v>
      </c>
      <c r="U1430" s="15">
        <v>923</v>
      </c>
      <c r="W1430" s="111">
        <v>0</v>
      </c>
      <c r="X1430" s="111">
        <v>0</v>
      </c>
      <c r="Y1430" s="111" t="s">
        <v>1748</v>
      </c>
    </row>
    <row r="1431" spans="1:25" x14ac:dyDescent="0.25">
      <c r="A1431" s="13">
        <v>21</v>
      </c>
      <c r="B1431" s="13" t="s">
        <v>1303</v>
      </c>
      <c r="C1431" s="197" t="s">
        <v>1396</v>
      </c>
      <c r="D1431" s="105">
        <v>757233</v>
      </c>
      <c r="E1431" s="105"/>
      <c r="F1431" s="105">
        <v>712328.06450053887</v>
      </c>
      <c r="G1431" s="105"/>
      <c r="H1431" s="105">
        <v>35835.765836979961</v>
      </c>
      <c r="I1431" s="105">
        <v>9069.1696624811811</v>
      </c>
      <c r="J1431" s="105"/>
      <c r="K1431" s="105"/>
      <c r="L1431" s="105">
        <v>52.324215209944271</v>
      </c>
      <c r="M1431" s="105"/>
      <c r="N1431" s="105">
        <v>9016.8454472712365</v>
      </c>
      <c r="O1431" s="105">
        <v>4699.8850356935327</v>
      </c>
      <c r="P1431" s="105">
        <v>4316.9604115777029</v>
      </c>
      <c r="Q1431" s="105">
        <v>0</v>
      </c>
      <c r="R1431" s="105"/>
      <c r="S1431" s="105"/>
      <c r="T1431" s="105">
        <v>757233</v>
      </c>
      <c r="U1431" s="15">
        <v>924</v>
      </c>
      <c r="W1431" s="111">
        <v>757233</v>
      </c>
      <c r="X1431" s="111">
        <v>0</v>
      </c>
      <c r="Y1431" s="111" t="s">
        <v>1748</v>
      </c>
    </row>
    <row r="1432" spans="1:25" x14ac:dyDescent="0.25">
      <c r="A1432" s="13">
        <v>22</v>
      </c>
      <c r="B1432" s="13" t="s">
        <v>1304</v>
      </c>
      <c r="C1432" s="197" t="s">
        <v>1396</v>
      </c>
      <c r="D1432" s="105">
        <v>30537150</v>
      </c>
      <c r="E1432" s="105"/>
      <c r="F1432" s="105">
        <v>28726255.927650578</v>
      </c>
      <c r="G1432" s="105"/>
      <c r="H1432" s="105">
        <v>1445159.0946627161</v>
      </c>
      <c r="I1432" s="105">
        <v>365734.97768670565</v>
      </c>
      <c r="J1432" s="105"/>
      <c r="K1432" s="105"/>
      <c r="L1432" s="105">
        <v>2110.0934699073464</v>
      </c>
      <c r="M1432" s="105"/>
      <c r="N1432" s="105">
        <v>363624.88421679829</v>
      </c>
      <c r="O1432" s="105">
        <v>189533.59708006488</v>
      </c>
      <c r="P1432" s="105">
        <v>174091.28713673342</v>
      </c>
      <c r="Q1432" s="105">
        <v>0</v>
      </c>
      <c r="R1432" s="105"/>
      <c r="S1432" s="105"/>
      <c r="T1432" s="105">
        <v>30537150</v>
      </c>
      <c r="U1432" s="15">
        <v>925</v>
      </c>
      <c r="W1432" s="111">
        <v>30537150</v>
      </c>
      <c r="X1432" s="111">
        <v>0</v>
      </c>
      <c r="Y1432" s="111" t="s">
        <v>1748</v>
      </c>
    </row>
    <row r="1433" spans="1:25" x14ac:dyDescent="0.25">
      <c r="A1433" s="13">
        <v>23</v>
      </c>
      <c r="B1433" s="13" t="s">
        <v>1305</v>
      </c>
      <c r="C1433" s="197" t="s">
        <v>1396</v>
      </c>
      <c r="D1433" s="105">
        <v>0</v>
      </c>
      <c r="E1433" s="105"/>
      <c r="F1433" s="105">
        <v>0</v>
      </c>
      <c r="G1433" s="105"/>
      <c r="H1433" s="105">
        <v>0</v>
      </c>
      <c r="I1433" s="105">
        <v>0</v>
      </c>
      <c r="J1433" s="105"/>
      <c r="K1433" s="105"/>
      <c r="L1433" s="105">
        <v>0</v>
      </c>
      <c r="M1433" s="105"/>
      <c r="N1433" s="105">
        <v>0</v>
      </c>
      <c r="O1433" s="105">
        <v>0</v>
      </c>
      <c r="P1433" s="105">
        <v>0</v>
      </c>
      <c r="Q1433" s="105">
        <v>0</v>
      </c>
      <c r="R1433" s="105"/>
      <c r="S1433" s="105"/>
      <c r="T1433" s="105">
        <v>0</v>
      </c>
      <c r="U1433" s="15">
        <v>926</v>
      </c>
      <c r="W1433" s="111">
        <v>0</v>
      </c>
      <c r="X1433" s="111">
        <v>0</v>
      </c>
      <c r="Y1433" s="111" t="s">
        <v>1748</v>
      </c>
    </row>
    <row r="1434" spans="1:25" x14ac:dyDescent="0.25">
      <c r="A1434" s="13">
        <v>24</v>
      </c>
      <c r="B1434" s="13" t="s">
        <v>1306</v>
      </c>
      <c r="C1434" s="197" t="s">
        <v>1396</v>
      </c>
      <c r="D1434" s="105">
        <v>0</v>
      </c>
      <c r="E1434" s="105"/>
      <c r="F1434" s="105">
        <v>0</v>
      </c>
      <c r="G1434" s="105"/>
      <c r="H1434" s="105">
        <v>0</v>
      </c>
      <c r="I1434" s="105">
        <v>0</v>
      </c>
      <c r="J1434" s="105"/>
      <c r="K1434" s="105"/>
      <c r="L1434" s="105">
        <v>0</v>
      </c>
      <c r="M1434" s="105"/>
      <c r="N1434" s="105">
        <v>0</v>
      </c>
      <c r="O1434" s="105">
        <v>0</v>
      </c>
      <c r="P1434" s="105">
        <v>0</v>
      </c>
      <c r="Q1434" s="105">
        <v>0</v>
      </c>
      <c r="R1434" s="105"/>
      <c r="S1434" s="105"/>
      <c r="T1434" s="105">
        <v>0</v>
      </c>
      <c r="U1434" s="15">
        <v>927</v>
      </c>
      <c r="W1434" s="111">
        <v>0</v>
      </c>
      <c r="X1434" s="111">
        <v>0</v>
      </c>
      <c r="Y1434" s="111" t="s">
        <v>1748</v>
      </c>
    </row>
    <row r="1435" spans="1:25" x14ac:dyDescent="0.25">
      <c r="A1435" s="13">
        <v>25</v>
      </c>
      <c r="B1435" s="13" t="s">
        <v>1307</v>
      </c>
      <c r="C1435" s="197" t="s">
        <v>1396</v>
      </c>
      <c r="D1435" s="105">
        <v>0</v>
      </c>
      <c r="E1435" s="105"/>
      <c r="F1435" s="105">
        <v>0</v>
      </c>
      <c r="G1435" s="105"/>
      <c r="H1435" s="105">
        <v>0</v>
      </c>
      <c r="I1435" s="105">
        <v>0</v>
      </c>
      <c r="J1435" s="105"/>
      <c r="K1435" s="105"/>
      <c r="L1435" s="105">
        <v>0</v>
      </c>
      <c r="M1435" s="105"/>
      <c r="N1435" s="105">
        <v>0</v>
      </c>
      <c r="O1435" s="105">
        <v>0</v>
      </c>
      <c r="P1435" s="105">
        <v>0</v>
      </c>
      <c r="Q1435" s="105">
        <v>0</v>
      </c>
      <c r="R1435" s="105"/>
      <c r="S1435" s="105"/>
      <c r="T1435" s="105">
        <v>0</v>
      </c>
      <c r="U1435" s="15">
        <v>929</v>
      </c>
      <c r="V1435" s="15">
        <v>930.2</v>
      </c>
      <c r="W1435" s="111">
        <v>0</v>
      </c>
      <c r="X1435" s="111">
        <v>0</v>
      </c>
      <c r="Y1435" s="111" t="s">
        <v>1748</v>
      </c>
    </row>
    <row r="1436" spans="1:25" x14ac:dyDescent="0.25">
      <c r="A1436" s="13">
        <v>26</v>
      </c>
      <c r="B1436" s="13" t="s">
        <v>1308</v>
      </c>
      <c r="C1436" s="197" t="s">
        <v>1396</v>
      </c>
      <c r="D1436" s="105">
        <v>0</v>
      </c>
      <c r="E1436" s="105"/>
      <c r="F1436" s="105">
        <v>0</v>
      </c>
      <c r="G1436" s="105"/>
      <c r="H1436" s="105">
        <v>0</v>
      </c>
      <c r="I1436" s="105">
        <v>0</v>
      </c>
      <c r="J1436" s="105"/>
      <c r="K1436" s="105"/>
      <c r="L1436" s="105">
        <v>0</v>
      </c>
      <c r="M1436" s="105"/>
      <c r="N1436" s="105">
        <v>0</v>
      </c>
      <c r="O1436" s="105">
        <v>0</v>
      </c>
      <c r="P1436" s="105">
        <v>0</v>
      </c>
      <c r="Q1436" s="105">
        <v>0</v>
      </c>
      <c r="R1436" s="105"/>
      <c r="S1436" s="105"/>
      <c r="T1436" s="105">
        <v>0</v>
      </c>
      <c r="U1436" s="15">
        <v>930.1</v>
      </c>
      <c r="V1436" s="145"/>
      <c r="W1436" s="111">
        <v>0</v>
      </c>
      <c r="X1436" s="111">
        <v>0</v>
      </c>
      <c r="Y1436" s="111" t="s">
        <v>1748</v>
      </c>
    </row>
    <row r="1437" spans="1:25" x14ac:dyDescent="0.25">
      <c r="A1437" s="13">
        <v>27</v>
      </c>
      <c r="B1437" s="13" t="s">
        <v>1309</v>
      </c>
      <c r="C1437" s="197" t="s">
        <v>1396</v>
      </c>
      <c r="D1437" s="105">
        <v>840741.00000000012</v>
      </c>
      <c r="E1437" s="105"/>
      <c r="F1437" s="105">
        <v>790883.9277689266</v>
      </c>
      <c r="G1437" s="105"/>
      <c r="H1437" s="105">
        <v>39787.750409118948</v>
      </c>
      <c r="I1437" s="105">
        <v>10069.321821954523</v>
      </c>
      <c r="J1437" s="105"/>
      <c r="K1437" s="105"/>
      <c r="L1437" s="105">
        <v>58.094553485946541</v>
      </c>
      <c r="M1437" s="105"/>
      <c r="N1437" s="105">
        <v>10011.227268468578</v>
      </c>
      <c r="O1437" s="105">
        <v>5218.190497236671</v>
      </c>
      <c r="P1437" s="105">
        <v>4793.0367712319057</v>
      </c>
      <c r="Q1437" s="105">
        <v>0</v>
      </c>
      <c r="R1437" s="105"/>
      <c r="S1437" s="105"/>
      <c r="T1437" s="105">
        <v>840741</v>
      </c>
      <c r="U1437" s="145">
        <v>931</v>
      </c>
      <c r="W1437" s="111">
        <v>840741</v>
      </c>
      <c r="X1437" s="111">
        <v>0</v>
      </c>
      <c r="Y1437" s="111" t="s">
        <v>1748</v>
      </c>
    </row>
    <row r="1438" spans="1:25" x14ac:dyDescent="0.25">
      <c r="A1438" s="13"/>
      <c r="B1438" s="13"/>
      <c r="C1438" s="13"/>
      <c r="D1438" s="105"/>
      <c r="E1438" s="105"/>
      <c r="F1438" s="105"/>
      <c r="G1438" s="105"/>
      <c r="H1438" s="105"/>
      <c r="I1438" s="105"/>
      <c r="J1438" s="105"/>
      <c r="K1438" s="105"/>
      <c r="L1438" s="105"/>
      <c r="M1438" s="105"/>
      <c r="N1438" s="105"/>
      <c r="O1438" s="105"/>
      <c r="P1438" s="105"/>
      <c r="Q1438" s="105"/>
      <c r="R1438" s="105"/>
      <c r="S1438" s="105"/>
      <c r="T1438" s="105"/>
      <c r="U1438" s="15">
        <v>935</v>
      </c>
      <c r="V1438" s="145"/>
      <c r="W1438" s="111"/>
      <c r="X1438" s="111"/>
      <c r="Y1438" s="111"/>
    </row>
    <row r="1439" spans="1:25" x14ac:dyDescent="0.25">
      <c r="A1439" s="13">
        <v>28</v>
      </c>
      <c r="B1439" s="13" t="s">
        <v>1310</v>
      </c>
      <c r="C1439" s="13"/>
      <c r="D1439" s="105">
        <v>65500560</v>
      </c>
      <c r="E1439" s="105"/>
      <c r="F1439" s="105">
        <v>61616288.683273725</v>
      </c>
      <c r="G1439" s="105"/>
      <c r="H1439" s="105">
        <v>3099789.2727219444</v>
      </c>
      <c r="I1439" s="105">
        <v>784482.04400432657</v>
      </c>
      <c r="J1439" s="105"/>
      <c r="K1439" s="105"/>
      <c r="L1439" s="105">
        <v>4526.038085783196</v>
      </c>
      <c r="M1439" s="105"/>
      <c r="N1439" s="105">
        <v>779956.00591854332</v>
      </c>
      <c r="O1439" s="105">
        <v>406539.46905846201</v>
      </c>
      <c r="P1439" s="105">
        <v>373416.53686008137</v>
      </c>
      <c r="Q1439" s="105">
        <v>0</v>
      </c>
      <c r="R1439" s="105"/>
      <c r="S1439" s="105"/>
      <c r="T1439" s="105"/>
      <c r="U1439" s="145"/>
      <c r="W1439" s="111"/>
    </row>
    <row r="1440" spans="1:25" x14ac:dyDescent="0.25">
      <c r="A1440" s="13"/>
      <c r="B1440" s="13"/>
      <c r="C1440" s="13"/>
      <c r="D1440" s="105"/>
      <c r="E1440" s="105"/>
      <c r="F1440" s="105"/>
      <c r="G1440" s="105"/>
      <c r="H1440" s="105"/>
      <c r="I1440" s="105"/>
      <c r="J1440" s="105"/>
      <c r="K1440" s="105"/>
      <c r="L1440" s="105"/>
      <c r="M1440" s="105"/>
      <c r="N1440" s="105"/>
      <c r="O1440" s="105"/>
      <c r="P1440" s="105"/>
      <c r="Q1440" s="105"/>
      <c r="R1440" s="105"/>
      <c r="S1440" s="105"/>
      <c r="T1440" s="105"/>
      <c r="W1440" s="111"/>
    </row>
    <row r="1441" spans="1:23" x14ac:dyDescent="0.25">
      <c r="A1441" s="13">
        <v>29</v>
      </c>
      <c r="B1441" s="13" t="s">
        <v>1311</v>
      </c>
      <c r="C1441" s="13"/>
      <c r="D1441" s="105">
        <v>178867174.00000003</v>
      </c>
      <c r="E1441" s="105"/>
      <c r="F1441" s="105">
        <v>168260109.9768514</v>
      </c>
      <c r="G1441" s="105"/>
      <c r="H1441" s="105">
        <v>8464821.4795001671</v>
      </c>
      <c r="I1441" s="105">
        <v>2142242.5436484446</v>
      </c>
      <c r="J1441" s="105"/>
      <c r="K1441" s="105"/>
      <c r="L1441" s="105">
        <v>12359.583518376177</v>
      </c>
      <c r="M1441" s="105"/>
      <c r="N1441" s="105">
        <v>2129882.9601300685</v>
      </c>
      <c r="O1441" s="105">
        <v>1110167.0878836387</v>
      </c>
      <c r="P1441" s="105">
        <v>1019715.8722464296</v>
      </c>
      <c r="Q1441" s="105">
        <v>0</v>
      </c>
      <c r="R1441" s="105"/>
      <c r="S1441" s="105"/>
      <c r="T1441" s="105"/>
      <c r="W1441" s="111">
        <v>0</v>
      </c>
    </row>
    <row r="1442" spans="1:23" x14ac:dyDescent="0.25">
      <c r="A1442" s="13"/>
      <c r="B1442" s="13"/>
      <c r="C1442" s="13"/>
      <c r="D1442" s="105"/>
      <c r="E1442" s="105"/>
      <c r="F1442" s="105"/>
      <c r="G1442" s="105"/>
      <c r="H1442" s="105"/>
      <c r="I1442" s="105"/>
      <c r="J1442" s="105"/>
      <c r="K1442" s="105"/>
      <c r="L1442" s="105"/>
      <c r="M1442" s="105"/>
      <c r="N1442" s="105"/>
      <c r="O1442" s="105"/>
      <c r="P1442" s="105"/>
      <c r="Q1442" s="105"/>
      <c r="R1442" s="105"/>
      <c r="S1442" s="105"/>
      <c r="T1442" s="105"/>
      <c r="U1442" s="15" t="s">
        <v>537</v>
      </c>
      <c r="W1442" s="111">
        <v>0</v>
      </c>
    </row>
    <row r="1443" spans="1:23" x14ac:dyDescent="0.25">
      <c r="D1443" s="105"/>
      <c r="E1443" s="105"/>
      <c r="F1443" s="105"/>
      <c r="G1443" s="105"/>
      <c r="H1443" s="105"/>
      <c r="I1443" s="105"/>
      <c r="J1443" s="105"/>
      <c r="K1443" s="105"/>
      <c r="L1443" s="105"/>
      <c r="M1443" s="105"/>
      <c r="N1443" s="105"/>
      <c r="O1443" s="105"/>
      <c r="P1443" s="105"/>
      <c r="Q1443" s="105"/>
      <c r="R1443" s="105"/>
      <c r="S1443" s="105"/>
      <c r="T1443" s="105"/>
      <c r="U1443" s="15" t="s">
        <v>537</v>
      </c>
      <c r="W1443" s="111"/>
    </row>
    <row r="1444" spans="1:23" x14ac:dyDescent="0.25">
      <c r="W1444" s="111"/>
    </row>
    <row r="1445" spans="1:23" x14ac:dyDescent="0.25">
      <c r="W1445" s="111"/>
    </row>
    <row r="1446" spans="1:23" x14ac:dyDescent="0.25">
      <c r="W1446" s="111"/>
    </row>
    <row r="1447" spans="1:23" x14ac:dyDescent="0.25">
      <c r="W1447" s="111"/>
    </row>
    <row r="1448" spans="1:23" x14ac:dyDescent="0.25">
      <c r="W1448" s="111"/>
    </row>
    <row r="1449" spans="1:23" x14ac:dyDescent="0.25">
      <c r="W1449" s="111"/>
    </row>
    <row r="1450" spans="1:23" x14ac:dyDescent="0.25">
      <c r="W1450" s="111"/>
    </row>
    <row r="1451" spans="1:23" x14ac:dyDescent="0.25">
      <c r="W1451" s="111"/>
    </row>
    <row r="1452" spans="1:23" x14ac:dyDescent="0.25">
      <c r="W1452" s="111"/>
    </row>
    <row r="1453" spans="1:23" x14ac:dyDescent="0.25">
      <c r="W1453" s="111"/>
    </row>
    <row r="1454" spans="1:23" x14ac:dyDescent="0.25">
      <c r="W1454" s="111"/>
    </row>
    <row r="1455" spans="1:23" x14ac:dyDescent="0.25">
      <c r="W1455" s="111"/>
    </row>
    <row r="1456" spans="1:23" x14ac:dyDescent="0.25">
      <c r="W1456" s="111"/>
    </row>
    <row r="1457" spans="23:23" x14ac:dyDescent="0.25">
      <c r="W1457" s="111"/>
    </row>
    <row r="1458" spans="23:23" x14ac:dyDescent="0.25">
      <c r="W1458" s="111"/>
    </row>
    <row r="1459" spans="23:23" x14ac:dyDescent="0.25">
      <c r="W1459" s="111"/>
    </row>
    <row r="1460" spans="23:23" x14ac:dyDescent="0.25">
      <c r="W1460" s="111"/>
    </row>
    <row r="1461" spans="23:23" x14ac:dyDescent="0.25">
      <c r="W1461" s="111"/>
    </row>
    <row r="1462" spans="23:23" x14ac:dyDescent="0.25">
      <c r="W1462" s="111"/>
    </row>
    <row r="1463" spans="23:23" x14ac:dyDescent="0.25">
      <c r="W1463" s="111"/>
    </row>
    <row r="1464" spans="23:23" x14ac:dyDescent="0.25">
      <c r="W1464" s="111"/>
    </row>
    <row r="1465" spans="23:23" x14ac:dyDescent="0.25">
      <c r="W1465" s="111"/>
    </row>
    <row r="1466" spans="23:23" x14ac:dyDescent="0.25">
      <c r="W1466" s="111"/>
    </row>
    <row r="1467" spans="23:23" x14ac:dyDescent="0.25">
      <c r="W1467" s="111"/>
    </row>
    <row r="1468" spans="23:23" x14ac:dyDescent="0.25">
      <c r="W1468" s="111"/>
    </row>
    <row r="1469" spans="23:23" x14ac:dyDescent="0.25">
      <c r="W1469" s="111"/>
    </row>
    <row r="1470" spans="23:23" x14ac:dyDescent="0.25">
      <c r="W1470" s="111"/>
    </row>
    <row r="1471" spans="23:23" x14ac:dyDescent="0.25">
      <c r="W1471" s="111"/>
    </row>
    <row r="1472" spans="23:23" x14ac:dyDescent="0.25">
      <c r="W1472" s="111"/>
    </row>
    <row r="1473" spans="23:23" x14ac:dyDescent="0.25">
      <c r="W1473" s="111"/>
    </row>
    <row r="1474" spans="23:23" x14ac:dyDescent="0.25">
      <c r="W1474" s="111"/>
    </row>
    <row r="1475" spans="23:23" x14ac:dyDescent="0.25">
      <c r="W1475" s="111"/>
    </row>
    <row r="1476" spans="23:23" x14ac:dyDescent="0.25">
      <c r="W1476" s="111"/>
    </row>
    <row r="1477" spans="23:23" x14ac:dyDescent="0.25">
      <c r="W1477" s="111"/>
    </row>
    <row r="1478" spans="23:23" x14ac:dyDescent="0.25">
      <c r="W1478" s="111"/>
    </row>
    <row r="1479" spans="23:23" x14ac:dyDescent="0.25">
      <c r="W1479" s="111"/>
    </row>
    <row r="1480" spans="23:23" x14ac:dyDescent="0.25">
      <c r="W1480" s="111"/>
    </row>
    <row r="1481" spans="23:23" x14ac:dyDescent="0.25">
      <c r="W1481" s="111"/>
    </row>
    <row r="1482" spans="23:23" x14ac:dyDescent="0.25">
      <c r="W1482" s="111"/>
    </row>
    <row r="1483" spans="23:23" x14ac:dyDescent="0.25">
      <c r="W1483" s="111"/>
    </row>
    <row r="1484" spans="23:23" x14ac:dyDescent="0.25">
      <c r="W1484" s="111"/>
    </row>
    <row r="1485" spans="23:23" x14ac:dyDescent="0.25">
      <c r="W1485" s="111"/>
    </row>
    <row r="1486" spans="23:23" x14ac:dyDescent="0.25">
      <c r="W1486" s="111"/>
    </row>
    <row r="1487" spans="23:23" x14ac:dyDescent="0.25">
      <c r="W1487" s="111"/>
    </row>
    <row r="1488" spans="23:23" x14ac:dyDescent="0.25">
      <c r="W1488" s="111"/>
    </row>
    <row r="1489" spans="23:23" x14ac:dyDescent="0.25">
      <c r="W1489" s="111"/>
    </row>
    <row r="1490" spans="23:23" x14ac:dyDescent="0.25">
      <c r="W1490" s="111"/>
    </row>
    <row r="1491" spans="23:23" x14ac:dyDescent="0.25">
      <c r="W1491" s="111"/>
    </row>
    <row r="1492" spans="23:23" x14ac:dyDescent="0.25">
      <c r="W1492" s="111"/>
    </row>
    <row r="1493" spans="23:23" x14ac:dyDescent="0.25">
      <c r="W1493" s="111"/>
    </row>
    <row r="1494" spans="23:23" x14ac:dyDescent="0.25">
      <c r="W1494" s="111"/>
    </row>
    <row r="1495" spans="23:23" x14ac:dyDescent="0.25">
      <c r="W1495" s="111"/>
    </row>
    <row r="1496" spans="23:23" x14ac:dyDescent="0.25">
      <c r="W1496" s="111"/>
    </row>
    <row r="1497" spans="23:23" x14ac:dyDescent="0.25">
      <c r="W1497" s="111"/>
    </row>
    <row r="1498" spans="23:23" x14ac:dyDescent="0.25">
      <c r="W1498" s="111"/>
    </row>
    <row r="1499" spans="23:23" x14ac:dyDescent="0.25">
      <c r="W1499" s="111"/>
    </row>
    <row r="1500" spans="23:23" x14ac:dyDescent="0.25">
      <c r="W1500" s="111"/>
    </row>
    <row r="1501" spans="23:23" x14ac:dyDescent="0.25">
      <c r="W1501" s="111"/>
    </row>
    <row r="1502" spans="23:23" x14ac:dyDescent="0.25">
      <c r="W1502" s="111"/>
    </row>
    <row r="1503" spans="23:23" x14ac:dyDescent="0.25">
      <c r="W1503" s="111"/>
    </row>
    <row r="1504" spans="23:23" x14ac:dyDescent="0.25">
      <c r="W1504" s="111"/>
    </row>
    <row r="1505" spans="23:23" x14ac:dyDescent="0.25">
      <c r="W1505" s="111"/>
    </row>
    <row r="1506" spans="23:23" x14ac:dyDescent="0.25">
      <c r="W1506" s="111"/>
    </row>
    <row r="1507" spans="23:23" x14ac:dyDescent="0.25">
      <c r="W1507" s="111"/>
    </row>
    <row r="1508" spans="23:23" x14ac:dyDescent="0.25">
      <c r="W1508" s="111"/>
    </row>
    <row r="1509" spans="23:23" x14ac:dyDescent="0.25">
      <c r="W1509" s="111"/>
    </row>
    <row r="1510" spans="23:23" x14ac:dyDescent="0.25">
      <c r="W1510" s="111"/>
    </row>
    <row r="1511" spans="23:23" x14ac:dyDescent="0.25">
      <c r="W1511" s="111"/>
    </row>
    <row r="1512" spans="23:23" x14ac:dyDescent="0.25">
      <c r="W1512" s="111"/>
    </row>
    <row r="1513" spans="23:23" x14ac:dyDescent="0.25">
      <c r="W1513" s="111"/>
    </row>
    <row r="1514" spans="23:23" x14ac:dyDescent="0.25">
      <c r="W1514" s="111"/>
    </row>
    <row r="1515" spans="23:23" x14ac:dyDescent="0.25">
      <c r="W1515" s="111"/>
    </row>
    <row r="1516" spans="23:23" x14ac:dyDescent="0.25">
      <c r="W1516" s="111"/>
    </row>
    <row r="1517" spans="23:23" x14ac:dyDescent="0.25">
      <c r="W1517" s="111"/>
    </row>
    <row r="1518" spans="23:23" x14ac:dyDescent="0.25">
      <c r="W1518" s="111"/>
    </row>
    <row r="1519" spans="23:23" x14ac:dyDescent="0.25">
      <c r="W1519" s="111"/>
    </row>
    <row r="1520" spans="23:23" x14ac:dyDescent="0.25">
      <c r="W1520" s="111"/>
    </row>
    <row r="1521" spans="23:23" x14ac:dyDescent="0.25">
      <c r="W1521" s="111"/>
    </row>
    <row r="1522" spans="23:23" x14ac:dyDescent="0.25">
      <c r="W1522" s="111"/>
    </row>
    <row r="1523" spans="23:23" x14ac:dyDescent="0.25">
      <c r="W1523" s="111"/>
    </row>
    <row r="1524" spans="23:23" x14ac:dyDescent="0.25">
      <c r="W1524" s="111"/>
    </row>
    <row r="1525" spans="23:23" x14ac:dyDescent="0.25">
      <c r="W1525" s="111"/>
    </row>
    <row r="1526" spans="23:23" x14ac:dyDescent="0.25">
      <c r="W1526" s="111"/>
    </row>
    <row r="1527" spans="23:23" x14ac:dyDescent="0.25">
      <c r="W1527" s="111"/>
    </row>
    <row r="1528" spans="23:23" x14ac:dyDescent="0.25">
      <c r="W1528" s="111"/>
    </row>
    <row r="1529" spans="23:23" x14ac:dyDescent="0.25">
      <c r="W1529" s="111"/>
    </row>
    <row r="1530" spans="23:23" x14ac:dyDescent="0.25">
      <c r="W1530" s="111"/>
    </row>
    <row r="1531" spans="23:23" x14ac:dyDescent="0.25">
      <c r="W1531" s="111"/>
    </row>
    <row r="1532" spans="23:23" x14ac:dyDescent="0.25">
      <c r="W1532" s="111"/>
    </row>
    <row r="1533" spans="23:23" x14ac:dyDescent="0.25">
      <c r="W1533" s="111"/>
    </row>
    <row r="1534" spans="23:23" x14ac:dyDescent="0.25">
      <c r="W1534" s="111"/>
    </row>
    <row r="1535" spans="23:23" x14ac:dyDescent="0.25">
      <c r="W1535" s="111"/>
    </row>
    <row r="1536" spans="23:23" x14ac:dyDescent="0.25">
      <c r="W1536" s="111"/>
    </row>
    <row r="1537" spans="23:23" x14ac:dyDescent="0.25">
      <c r="W1537" s="111"/>
    </row>
    <row r="1538" spans="23:23" x14ac:dyDescent="0.25">
      <c r="W1538" s="111"/>
    </row>
    <row r="1539" spans="23:23" x14ac:dyDescent="0.25">
      <c r="W1539" s="111"/>
    </row>
    <row r="1540" spans="23:23" x14ac:dyDescent="0.25">
      <c r="W1540" s="111"/>
    </row>
    <row r="1541" spans="23:23" x14ac:dyDescent="0.25">
      <c r="W1541" s="111"/>
    </row>
    <row r="1542" spans="23:23" x14ac:dyDescent="0.25">
      <c r="W1542" s="111"/>
    </row>
    <row r="1543" spans="23:23" x14ac:dyDescent="0.25">
      <c r="W1543" s="111"/>
    </row>
    <row r="1544" spans="23:23" x14ac:dyDescent="0.25">
      <c r="W1544" s="111"/>
    </row>
    <row r="1545" spans="23:23" x14ac:dyDescent="0.25">
      <c r="W1545" s="111"/>
    </row>
    <row r="1546" spans="23:23" x14ac:dyDescent="0.25">
      <c r="W1546" s="111"/>
    </row>
    <row r="1547" spans="23:23" x14ac:dyDescent="0.25">
      <c r="W1547" s="111"/>
    </row>
    <row r="1548" spans="23:23" x14ac:dyDescent="0.25">
      <c r="W1548" s="111"/>
    </row>
    <row r="1549" spans="23:23" x14ac:dyDescent="0.25">
      <c r="W1549" s="111"/>
    </row>
    <row r="1550" spans="23:23" x14ac:dyDescent="0.25">
      <c r="W1550" s="111"/>
    </row>
    <row r="1551" spans="23:23" x14ac:dyDescent="0.25">
      <c r="W1551" s="111"/>
    </row>
    <row r="1552" spans="23:23" x14ac:dyDescent="0.25">
      <c r="W1552" s="111"/>
    </row>
    <row r="1553" spans="23:23" x14ac:dyDescent="0.25">
      <c r="W1553" s="111"/>
    </row>
    <row r="1554" spans="23:23" x14ac:dyDescent="0.25">
      <c r="W1554" s="111"/>
    </row>
    <row r="1555" spans="23:23" x14ac:dyDescent="0.25">
      <c r="W1555" s="111"/>
    </row>
    <row r="1556" spans="23:23" x14ac:dyDescent="0.25">
      <c r="W1556" s="111"/>
    </row>
    <row r="1557" spans="23:23" x14ac:dyDescent="0.25">
      <c r="W1557" s="111"/>
    </row>
    <row r="1558" spans="23:23" x14ac:dyDescent="0.25">
      <c r="W1558" s="111"/>
    </row>
    <row r="1559" spans="23:23" x14ac:dyDescent="0.25">
      <c r="W1559" s="111"/>
    </row>
    <row r="1560" spans="23:23" x14ac:dyDescent="0.25">
      <c r="W1560" s="111"/>
    </row>
    <row r="1561" spans="23:23" x14ac:dyDescent="0.25">
      <c r="W1561" s="111"/>
    </row>
    <row r="1562" spans="23:23" x14ac:dyDescent="0.25">
      <c r="W1562" s="111"/>
    </row>
    <row r="1563" spans="23:23" x14ac:dyDescent="0.25">
      <c r="W1563" s="111"/>
    </row>
    <row r="1564" spans="23:23" x14ac:dyDescent="0.25">
      <c r="W1564" s="111"/>
    </row>
    <row r="1565" spans="23:23" x14ac:dyDescent="0.25">
      <c r="W1565" s="111"/>
    </row>
    <row r="1566" spans="23:23" x14ac:dyDescent="0.25">
      <c r="W1566" s="111"/>
    </row>
    <row r="1567" spans="23:23" x14ac:dyDescent="0.25">
      <c r="W1567" s="111"/>
    </row>
    <row r="1568" spans="23:23" x14ac:dyDescent="0.25">
      <c r="W1568" s="111"/>
    </row>
    <row r="1569" spans="23:23" x14ac:dyDescent="0.25">
      <c r="W1569" s="111"/>
    </row>
    <row r="1570" spans="23:23" x14ac:dyDescent="0.25">
      <c r="W1570" s="111"/>
    </row>
    <row r="1571" spans="23:23" x14ac:dyDescent="0.25">
      <c r="W1571" s="111"/>
    </row>
    <row r="1572" spans="23:23" x14ac:dyDescent="0.25">
      <c r="W1572" s="111"/>
    </row>
    <row r="1573" spans="23:23" x14ac:dyDescent="0.25">
      <c r="W1573" s="111"/>
    </row>
    <row r="1574" spans="23:23" x14ac:dyDescent="0.25">
      <c r="W1574" s="111"/>
    </row>
    <row r="1575" spans="23:23" x14ac:dyDescent="0.25">
      <c r="W1575" s="111"/>
    </row>
    <row r="1576" spans="23:23" x14ac:dyDescent="0.25">
      <c r="W1576" s="111"/>
    </row>
    <row r="1577" spans="23:23" x14ac:dyDescent="0.25">
      <c r="W1577" s="111"/>
    </row>
    <row r="1578" spans="23:23" x14ac:dyDescent="0.25">
      <c r="W1578" s="111"/>
    </row>
    <row r="1579" spans="23:23" x14ac:dyDescent="0.25">
      <c r="W1579" s="111"/>
    </row>
    <row r="1580" spans="23:23" x14ac:dyDescent="0.25">
      <c r="W1580" s="111"/>
    </row>
    <row r="1581" spans="23:23" x14ac:dyDescent="0.25">
      <c r="W1581" s="111"/>
    </row>
    <row r="1582" spans="23:23" x14ac:dyDescent="0.25">
      <c r="W1582" s="111"/>
    </row>
    <row r="1583" spans="23:23" x14ac:dyDescent="0.25">
      <c r="W1583" s="111"/>
    </row>
    <row r="1584" spans="23:23" x14ac:dyDescent="0.25">
      <c r="W1584" s="111"/>
    </row>
    <row r="1585" spans="23:23" x14ac:dyDescent="0.25">
      <c r="W1585" s="111"/>
    </row>
    <row r="1586" spans="23:23" x14ac:dyDescent="0.25">
      <c r="W1586" s="111"/>
    </row>
    <row r="1587" spans="23:23" x14ac:dyDescent="0.25">
      <c r="W1587" s="111"/>
    </row>
    <row r="1588" spans="23:23" x14ac:dyDescent="0.25">
      <c r="W1588" s="111"/>
    </row>
    <row r="1589" spans="23:23" x14ac:dyDescent="0.25">
      <c r="W1589" s="111"/>
    </row>
    <row r="1590" spans="23:23" x14ac:dyDescent="0.25">
      <c r="W1590" s="111"/>
    </row>
    <row r="1591" spans="23:23" x14ac:dyDescent="0.25">
      <c r="W1591" s="111"/>
    </row>
    <row r="1592" spans="23:23" x14ac:dyDescent="0.25">
      <c r="W1592" s="111"/>
    </row>
    <row r="1593" spans="23:23" x14ac:dyDescent="0.25">
      <c r="W1593" s="111"/>
    </row>
    <row r="1594" spans="23:23" x14ac:dyDescent="0.25">
      <c r="W1594" s="111"/>
    </row>
    <row r="1595" spans="23:23" x14ac:dyDescent="0.25">
      <c r="W1595" s="111"/>
    </row>
    <row r="1596" spans="23:23" x14ac:dyDescent="0.25">
      <c r="W1596" s="111"/>
    </row>
    <row r="1597" spans="23:23" x14ac:dyDescent="0.25">
      <c r="W1597" s="111"/>
    </row>
    <row r="1598" spans="23:23" x14ac:dyDescent="0.25">
      <c r="W1598" s="111"/>
    </row>
    <row r="1599" spans="23:23" x14ac:dyDescent="0.25">
      <c r="W1599" s="111"/>
    </row>
    <row r="1600" spans="23:23" x14ac:dyDescent="0.25">
      <c r="W1600" s="111"/>
    </row>
    <row r="1601" spans="23:23" x14ac:dyDescent="0.25">
      <c r="W1601" s="111"/>
    </row>
    <row r="1602" spans="23:23" x14ac:dyDescent="0.25">
      <c r="W1602" s="111"/>
    </row>
    <row r="1603" spans="23:23" x14ac:dyDescent="0.25">
      <c r="W1603" s="111"/>
    </row>
    <row r="1604" spans="23:23" x14ac:dyDescent="0.25">
      <c r="W1604" s="111"/>
    </row>
    <row r="1605" spans="23:23" x14ac:dyDescent="0.25">
      <c r="W1605" s="111"/>
    </row>
    <row r="1606" spans="23:23" x14ac:dyDescent="0.25">
      <c r="W1606" s="111"/>
    </row>
    <row r="1607" spans="23:23" x14ac:dyDescent="0.25">
      <c r="W1607" s="111"/>
    </row>
    <row r="1608" spans="23:23" x14ac:dyDescent="0.25">
      <c r="W1608" s="111"/>
    </row>
    <row r="1609" spans="23:23" x14ac:dyDescent="0.25">
      <c r="W1609" s="111"/>
    </row>
    <row r="1610" spans="23:23" x14ac:dyDescent="0.25">
      <c r="W1610" s="111"/>
    </row>
    <row r="1611" spans="23:23" x14ac:dyDescent="0.25">
      <c r="W1611" s="111"/>
    </row>
    <row r="1612" spans="23:23" x14ac:dyDescent="0.25">
      <c r="W1612" s="111"/>
    </row>
    <row r="1613" spans="23:23" x14ac:dyDescent="0.25">
      <c r="W1613" s="111"/>
    </row>
    <row r="1614" spans="23:23" x14ac:dyDescent="0.25">
      <c r="W1614" s="111"/>
    </row>
    <row r="1615" spans="23:23" x14ac:dyDescent="0.25">
      <c r="W1615" s="111"/>
    </row>
    <row r="1616" spans="23:23" x14ac:dyDescent="0.25">
      <c r="W1616" s="111"/>
    </row>
    <row r="1617" spans="23:23" x14ac:dyDescent="0.25">
      <c r="W1617" s="111"/>
    </row>
    <row r="1618" spans="23:23" x14ac:dyDescent="0.25">
      <c r="W1618" s="111"/>
    </row>
    <row r="1619" spans="23:23" x14ac:dyDescent="0.25">
      <c r="W1619" s="111"/>
    </row>
    <row r="1620" spans="23:23" x14ac:dyDescent="0.25">
      <c r="W1620" s="111"/>
    </row>
    <row r="1621" spans="23:23" x14ac:dyDescent="0.25">
      <c r="W1621" s="111"/>
    </row>
    <row r="1622" spans="23:23" x14ac:dyDescent="0.25">
      <c r="W1622" s="111"/>
    </row>
    <row r="1623" spans="23:23" x14ac:dyDescent="0.25">
      <c r="W1623" s="111"/>
    </row>
    <row r="1624" spans="23:23" x14ac:dyDescent="0.25">
      <c r="W1624" s="111"/>
    </row>
    <row r="1625" spans="23:23" x14ac:dyDescent="0.25">
      <c r="W1625" s="111"/>
    </row>
    <row r="1626" spans="23:23" x14ac:dyDescent="0.25">
      <c r="W1626" s="111"/>
    </row>
    <row r="1627" spans="23:23" x14ac:dyDescent="0.25">
      <c r="W1627" s="111"/>
    </row>
    <row r="1628" spans="23:23" x14ac:dyDescent="0.25">
      <c r="W1628" s="111"/>
    </row>
    <row r="1629" spans="23:23" x14ac:dyDescent="0.25">
      <c r="W1629" s="111"/>
    </row>
    <row r="1630" spans="23:23" x14ac:dyDescent="0.25">
      <c r="W1630" s="111"/>
    </row>
    <row r="1631" spans="23:23" x14ac:dyDescent="0.25">
      <c r="W1631" s="111"/>
    </row>
    <row r="1632" spans="23:23" x14ac:dyDescent="0.25">
      <c r="W1632" s="111"/>
    </row>
    <row r="1633" spans="23:23" x14ac:dyDescent="0.25">
      <c r="W1633" s="111"/>
    </row>
    <row r="1634" spans="23:23" x14ac:dyDescent="0.25">
      <c r="W1634" s="111"/>
    </row>
    <row r="1635" spans="23:23" x14ac:dyDescent="0.25">
      <c r="W1635" s="111"/>
    </row>
    <row r="1636" spans="23:23" x14ac:dyDescent="0.25">
      <c r="W1636" s="111"/>
    </row>
    <row r="1637" spans="23:23" x14ac:dyDescent="0.25">
      <c r="W1637" s="111"/>
    </row>
    <row r="1638" spans="23:23" x14ac:dyDescent="0.25">
      <c r="W1638" s="111"/>
    </row>
    <row r="1639" spans="23:23" x14ac:dyDescent="0.25">
      <c r="W1639" s="111"/>
    </row>
    <row r="1640" spans="23:23" x14ac:dyDescent="0.25">
      <c r="W1640" s="111"/>
    </row>
    <row r="1641" spans="23:23" x14ac:dyDescent="0.25">
      <c r="W1641" s="111"/>
    </row>
    <row r="1642" spans="23:23" x14ac:dyDescent="0.25">
      <c r="W1642" s="111"/>
    </row>
    <row r="1643" spans="23:23" x14ac:dyDescent="0.25">
      <c r="W1643" s="111"/>
    </row>
    <row r="1644" spans="23:23" x14ac:dyDescent="0.25">
      <c r="W1644" s="111"/>
    </row>
    <row r="1645" spans="23:23" x14ac:dyDescent="0.25">
      <c r="W1645" s="111"/>
    </row>
    <row r="1646" spans="23:23" x14ac:dyDescent="0.25">
      <c r="W1646" s="111"/>
    </row>
    <row r="1647" spans="23:23" x14ac:dyDescent="0.25">
      <c r="W1647" s="111"/>
    </row>
    <row r="1648" spans="23:23" x14ac:dyDescent="0.25">
      <c r="W1648" s="111"/>
    </row>
    <row r="1649" spans="23:23" x14ac:dyDescent="0.25">
      <c r="W1649" s="111"/>
    </row>
    <row r="1650" spans="23:23" x14ac:dyDescent="0.25">
      <c r="W1650" s="111"/>
    </row>
    <row r="1651" spans="23:23" x14ac:dyDescent="0.25">
      <c r="W1651" s="111"/>
    </row>
    <row r="1652" spans="23:23" x14ac:dyDescent="0.25">
      <c r="W1652" s="111"/>
    </row>
    <row r="1653" spans="23:23" x14ac:dyDescent="0.25">
      <c r="W1653" s="111"/>
    </row>
    <row r="1654" spans="23:23" x14ac:dyDescent="0.25">
      <c r="W1654" s="111"/>
    </row>
    <row r="1655" spans="23:23" x14ac:dyDescent="0.25">
      <c r="W1655" s="111"/>
    </row>
    <row r="1656" spans="23:23" x14ac:dyDescent="0.25">
      <c r="W1656" s="111"/>
    </row>
    <row r="1657" spans="23:23" x14ac:dyDescent="0.25">
      <c r="W1657" s="111"/>
    </row>
    <row r="1658" spans="23:23" x14ac:dyDescent="0.25">
      <c r="W1658" s="111"/>
    </row>
    <row r="1659" spans="23:23" x14ac:dyDescent="0.25">
      <c r="W1659" s="111"/>
    </row>
    <row r="1660" spans="23:23" x14ac:dyDescent="0.25">
      <c r="W1660" s="111"/>
    </row>
    <row r="1661" spans="23:23" x14ac:dyDescent="0.25">
      <c r="W1661" s="111"/>
    </row>
    <row r="1662" spans="23:23" x14ac:dyDescent="0.25">
      <c r="W1662" s="111"/>
    </row>
    <row r="1663" spans="23:23" x14ac:dyDescent="0.25">
      <c r="W1663" s="111"/>
    </row>
    <row r="1664" spans="23:23" x14ac:dyDescent="0.25">
      <c r="W1664" s="111"/>
    </row>
    <row r="1665" spans="23:23" x14ac:dyDescent="0.25">
      <c r="W1665" s="111"/>
    </row>
    <row r="1666" spans="23:23" x14ac:dyDescent="0.25">
      <c r="W1666" s="111"/>
    </row>
    <row r="1667" spans="23:23" x14ac:dyDescent="0.25">
      <c r="W1667" s="111"/>
    </row>
    <row r="1668" spans="23:23" x14ac:dyDescent="0.25">
      <c r="W1668" s="111"/>
    </row>
    <row r="1669" spans="23:23" x14ac:dyDescent="0.25">
      <c r="W1669" s="111"/>
    </row>
    <row r="1670" spans="23:23" x14ac:dyDescent="0.25">
      <c r="W1670" s="111"/>
    </row>
    <row r="1671" spans="23:23" x14ac:dyDescent="0.25">
      <c r="W1671" s="111"/>
    </row>
    <row r="1672" spans="23:23" x14ac:dyDescent="0.25">
      <c r="W1672" s="111"/>
    </row>
    <row r="1673" spans="23:23" x14ac:dyDescent="0.25">
      <c r="W1673" s="111"/>
    </row>
    <row r="1674" spans="23:23" x14ac:dyDescent="0.25">
      <c r="W1674" s="111"/>
    </row>
    <row r="1675" spans="23:23" x14ac:dyDescent="0.25">
      <c r="W1675" s="111"/>
    </row>
    <row r="1676" spans="23:23" x14ac:dyDescent="0.25">
      <c r="W1676" s="111"/>
    </row>
    <row r="1677" spans="23:23" x14ac:dyDescent="0.25">
      <c r="W1677" s="111"/>
    </row>
    <row r="1678" spans="23:23" x14ac:dyDescent="0.25">
      <c r="W1678" s="111"/>
    </row>
    <row r="1679" spans="23:23" x14ac:dyDescent="0.25">
      <c r="W1679" s="111"/>
    </row>
    <row r="1680" spans="23:23" x14ac:dyDescent="0.25">
      <c r="W1680" s="111"/>
    </row>
    <row r="1681" spans="23:23" x14ac:dyDescent="0.25">
      <c r="W1681" s="111"/>
    </row>
    <row r="1682" spans="23:23" x14ac:dyDescent="0.25">
      <c r="W1682" s="111"/>
    </row>
    <row r="1683" spans="23:23" x14ac:dyDescent="0.25">
      <c r="W1683" s="111"/>
    </row>
    <row r="1684" spans="23:23" x14ac:dyDescent="0.25">
      <c r="W1684" s="111"/>
    </row>
    <row r="1685" spans="23:23" x14ac:dyDescent="0.25">
      <c r="W1685" s="111"/>
    </row>
    <row r="1686" spans="23:23" x14ac:dyDescent="0.25">
      <c r="W1686" s="111"/>
    </row>
    <row r="1687" spans="23:23" x14ac:dyDescent="0.25">
      <c r="W1687" s="111"/>
    </row>
    <row r="1688" spans="23:23" x14ac:dyDescent="0.25">
      <c r="W1688" s="111"/>
    </row>
    <row r="1689" spans="23:23" x14ac:dyDescent="0.25">
      <c r="W1689" s="111"/>
    </row>
    <row r="1690" spans="23:23" x14ac:dyDescent="0.25">
      <c r="W1690" s="111"/>
    </row>
    <row r="1691" spans="23:23" x14ac:dyDescent="0.25">
      <c r="W1691" s="111"/>
    </row>
    <row r="1692" spans="23:23" x14ac:dyDescent="0.25">
      <c r="W1692" s="111"/>
    </row>
    <row r="1693" spans="23:23" x14ac:dyDescent="0.25">
      <c r="W1693" s="111"/>
    </row>
    <row r="1694" spans="23:23" x14ac:dyDescent="0.25">
      <c r="W1694" s="111"/>
    </row>
    <row r="1695" spans="23:23" x14ac:dyDescent="0.25">
      <c r="W1695" s="111"/>
    </row>
    <row r="1696" spans="23:23" x14ac:dyDescent="0.25">
      <c r="W1696" s="111"/>
    </row>
    <row r="1697" spans="23:23" x14ac:dyDescent="0.25">
      <c r="W1697" s="111"/>
    </row>
    <row r="1698" spans="23:23" x14ac:dyDescent="0.25">
      <c r="W1698" s="111"/>
    </row>
    <row r="1699" spans="23:23" x14ac:dyDescent="0.25">
      <c r="W1699" s="111"/>
    </row>
    <row r="1700" spans="23:23" x14ac:dyDescent="0.25">
      <c r="W1700" s="111"/>
    </row>
    <row r="1701" spans="23:23" x14ac:dyDescent="0.25">
      <c r="W1701" s="111"/>
    </row>
    <row r="1702" spans="23:23" x14ac:dyDescent="0.25">
      <c r="W1702" s="111"/>
    </row>
    <row r="1703" spans="23:23" x14ac:dyDescent="0.25">
      <c r="W1703" s="111"/>
    </row>
    <row r="1704" spans="23:23" x14ac:dyDescent="0.25">
      <c r="W1704" s="111"/>
    </row>
    <row r="1705" spans="23:23" x14ac:dyDescent="0.25">
      <c r="W1705" s="111"/>
    </row>
    <row r="1706" spans="23:23" x14ac:dyDescent="0.25">
      <c r="W1706" s="111"/>
    </row>
    <row r="1707" spans="23:23" x14ac:dyDescent="0.25">
      <c r="W1707" s="111"/>
    </row>
    <row r="1708" spans="23:23" x14ac:dyDescent="0.25">
      <c r="W1708" s="111"/>
    </row>
    <row r="1709" spans="23:23" x14ac:dyDescent="0.25">
      <c r="W1709" s="111"/>
    </row>
    <row r="1710" spans="23:23" x14ac:dyDescent="0.25">
      <c r="W1710" s="111"/>
    </row>
    <row r="1711" spans="23:23" x14ac:dyDescent="0.25">
      <c r="W1711" s="111"/>
    </row>
    <row r="1712" spans="23:23" x14ac:dyDescent="0.25">
      <c r="W1712" s="111"/>
    </row>
    <row r="1713" spans="23:23" x14ac:dyDescent="0.25">
      <c r="W1713" s="111"/>
    </row>
    <row r="1714" spans="23:23" x14ac:dyDescent="0.25">
      <c r="W1714" s="111"/>
    </row>
    <row r="1715" spans="23:23" x14ac:dyDescent="0.25">
      <c r="W1715" s="111"/>
    </row>
    <row r="1716" spans="23:23" x14ac:dyDescent="0.25">
      <c r="W1716" s="111"/>
    </row>
    <row r="1717" spans="23:23" x14ac:dyDescent="0.25">
      <c r="W1717" s="111"/>
    </row>
    <row r="1718" spans="23:23" x14ac:dyDescent="0.25">
      <c r="W1718" s="111"/>
    </row>
    <row r="1719" spans="23:23" x14ac:dyDescent="0.25">
      <c r="W1719" s="111"/>
    </row>
    <row r="1720" spans="23:23" x14ac:dyDescent="0.25">
      <c r="W1720" s="111"/>
    </row>
    <row r="1721" spans="23:23" x14ac:dyDescent="0.25">
      <c r="W1721" s="111"/>
    </row>
    <row r="1722" spans="23:23" x14ac:dyDescent="0.25">
      <c r="W1722" s="111"/>
    </row>
    <row r="1723" spans="23:23" x14ac:dyDescent="0.25">
      <c r="W1723" s="111"/>
    </row>
    <row r="1724" spans="23:23" x14ac:dyDescent="0.25">
      <c r="W1724" s="111"/>
    </row>
    <row r="1725" spans="23:23" x14ac:dyDescent="0.25">
      <c r="W1725" s="111"/>
    </row>
    <row r="1726" spans="23:23" x14ac:dyDescent="0.25">
      <c r="W1726" s="111"/>
    </row>
    <row r="1727" spans="23:23" x14ac:dyDescent="0.25">
      <c r="W1727" s="111"/>
    </row>
    <row r="1728" spans="23:23" x14ac:dyDescent="0.25">
      <c r="W1728" s="111"/>
    </row>
    <row r="1729" spans="23:23" x14ac:dyDescent="0.25">
      <c r="W1729" s="111"/>
    </row>
    <row r="1730" spans="23:23" x14ac:dyDescent="0.25">
      <c r="W1730" s="111"/>
    </row>
    <row r="1731" spans="23:23" x14ac:dyDescent="0.25">
      <c r="W1731" s="111"/>
    </row>
    <row r="1732" spans="23:23" x14ac:dyDescent="0.25">
      <c r="W1732" s="111"/>
    </row>
    <row r="1733" spans="23:23" x14ac:dyDescent="0.25">
      <c r="W1733" s="111"/>
    </row>
    <row r="1734" spans="23:23" x14ac:dyDescent="0.25">
      <c r="W1734" s="111"/>
    </row>
    <row r="1735" spans="23:23" x14ac:dyDescent="0.25">
      <c r="W1735" s="111"/>
    </row>
    <row r="1736" spans="23:23" x14ac:dyDescent="0.25">
      <c r="W1736" s="111"/>
    </row>
    <row r="1737" spans="23:23" x14ac:dyDescent="0.25">
      <c r="W1737" s="111"/>
    </row>
    <row r="1738" spans="23:23" x14ac:dyDescent="0.25">
      <c r="W1738" s="111"/>
    </row>
    <row r="1739" spans="23:23" x14ac:dyDescent="0.25">
      <c r="W1739" s="111"/>
    </row>
    <row r="1740" spans="23:23" x14ac:dyDescent="0.25">
      <c r="W1740" s="111"/>
    </row>
    <row r="1741" spans="23:23" x14ac:dyDescent="0.25">
      <c r="W1741" s="111"/>
    </row>
    <row r="1742" spans="23:23" x14ac:dyDescent="0.25">
      <c r="W1742" s="111"/>
    </row>
    <row r="1743" spans="23:23" x14ac:dyDescent="0.25">
      <c r="W1743" s="111"/>
    </row>
    <row r="1744" spans="23:23" x14ac:dyDescent="0.25">
      <c r="W1744" s="111"/>
    </row>
    <row r="1745" spans="23:23" x14ac:dyDescent="0.25">
      <c r="W1745" s="111"/>
    </row>
    <row r="1746" spans="23:23" x14ac:dyDescent="0.25">
      <c r="W1746" s="111"/>
    </row>
    <row r="1747" spans="23:23" x14ac:dyDescent="0.25">
      <c r="W1747" s="111"/>
    </row>
    <row r="1748" spans="23:23" x14ac:dyDescent="0.25">
      <c r="W1748" s="111"/>
    </row>
    <row r="1749" spans="23:23" x14ac:dyDescent="0.25">
      <c r="W1749" s="111"/>
    </row>
    <row r="1750" spans="23:23" x14ac:dyDescent="0.25">
      <c r="W1750" s="111"/>
    </row>
    <row r="1751" spans="23:23" x14ac:dyDescent="0.25">
      <c r="W1751" s="111"/>
    </row>
    <row r="1752" spans="23:23" x14ac:dyDescent="0.25">
      <c r="W1752" s="111"/>
    </row>
    <row r="1753" spans="23:23" x14ac:dyDescent="0.25">
      <c r="W1753" s="111"/>
    </row>
    <row r="1754" spans="23:23" x14ac:dyDescent="0.25">
      <c r="W1754" s="111"/>
    </row>
    <row r="1755" spans="23:23" x14ac:dyDescent="0.25">
      <c r="W1755" s="111"/>
    </row>
    <row r="1756" spans="23:23" x14ac:dyDescent="0.25">
      <c r="W1756" s="111"/>
    </row>
    <row r="1757" spans="23:23" x14ac:dyDescent="0.25">
      <c r="W1757" s="111"/>
    </row>
    <row r="1758" spans="23:23" x14ac:dyDescent="0.25">
      <c r="W1758" s="111"/>
    </row>
    <row r="1759" spans="23:23" x14ac:dyDescent="0.25">
      <c r="W1759" s="111"/>
    </row>
    <row r="1760" spans="23:23" x14ac:dyDescent="0.25">
      <c r="W1760" s="111"/>
    </row>
    <row r="1761" spans="23:23" x14ac:dyDescent="0.25">
      <c r="W1761" s="111"/>
    </row>
    <row r="1762" spans="23:23" x14ac:dyDescent="0.25">
      <c r="W1762" s="111"/>
    </row>
    <row r="1763" spans="23:23" x14ac:dyDescent="0.25">
      <c r="W1763" s="111"/>
    </row>
    <row r="1764" spans="23:23" x14ac:dyDescent="0.25">
      <c r="W1764" s="111"/>
    </row>
    <row r="1765" spans="23:23" x14ac:dyDescent="0.25">
      <c r="W1765" s="111"/>
    </row>
    <row r="1766" spans="23:23" x14ac:dyDescent="0.25">
      <c r="W1766" s="111"/>
    </row>
    <row r="1767" spans="23:23" x14ac:dyDescent="0.25">
      <c r="W1767" s="111"/>
    </row>
    <row r="1768" spans="23:23" x14ac:dyDescent="0.25">
      <c r="W1768" s="111"/>
    </row>
    <row r="1769" spans="23:23" x14ac:dyDescent="0.25">
      <c r="W1769" s="111"/>
    </row>
    <row r="1770" spans="23:23" x14ac:dyDescent="0.25">
      <c r="W1770" s="111"/>
    </row>
    <row r="1771" spans="23:23" x14ac:dyDescent="0.25">
      <c r="W1771" s="111"/>
    </row>
    <row r="1772" spans="23:23" x14ac:dyDescent="0.25">
      <c r="W1772" s="111"/>
    </row>
    <row r="1773" spans="23:23" x14ac:dyDescent="0.25">
      <c r="W1773" s="111"/>
    </row>
    <row r="1774" spans="23:23" x14ac:dyDescent="0.25">
      <c r="W1774" s="111"/>
    </row>
    <row r="1775" spans="23:23" x14ac:dyDescent="0.25">
      <c r="W1775" s="111"/>
    </row>
    <row r="1776" spans="23:23" x14ac:dyDescent="0.25">
      <c r="W1776" s="111"/>
    </row>
    <row r="1777" spans="23:23" x14ac:dyDescent="0.25">
      <c r="W1777" s="111"/>
    </row>
    <row r="1778" spans="23:23" x14ac:dyDescent="0.25">
      <c r="W1778" s="111"/>
    </row>
    <row r="1779" spans="23:23" x14ac:dyDescent="0.25">
      <c r="W1779" s="111"/>
    </row>
    <row r="1780" spans="23:23" x14ac:dyDescent="0.25">
      <c r="W1780" s="111"/>
    </row>
    <row r="1781" spans="23:23" x14ac:dyDescent="0.25">
      <c r="W1781" s="111"/>
    </row>
    <row r="1782" spans="23:23" x14ac:dyDescent="0.25">
      <c r="W1782" s="111"/>
    </row>
    <row r="1783" spans="23:23" x14ac:dyDescent="0.25">
      <c r="W1783" s="111"/>
    </row>
    <row r="1784" spans="23:23" x14ac:dyDescent="0.25">
      <c r="W1784" s="111"/>
    </row>
    <row r="1785" spans="23:23" x14ac:dyDescent="0.25">
      <c r="W1785" s="111"/>
    </row>
    <row r="1786" spans="23:23" x14ac:dyDescent="0.25">
      <c r="W1786" s="111"/>
    </row>
    <row r="1787" spans="23:23" x14ac:dyDescent="0.25">
      <c r="W1787" s="111"/>
    </row>
    <row r="1788" spans="23:23" x14ac:dyDescent="0.25">
      <c r="W1788" s="111"/>
    </row>
    <row r="1789" spans="23:23" x14ac:dyDescent="0.25">
      <c r="W1789" s="111"/>
    </row>
    <row r="1790" spans="23:23" x14ac:dyDescent="0.25">
      <c r="W1790" s="111"/>
    </row>
    <row r="1791" spans="23:23" x14ac:dyDescent="0.25">
      <c r="W1791" s="111"/>
    </row>
    <row r="1792" spans="23:23" x14ac:dyDescent="0.25">
      <c r="W1792" s="111"/>
    </row>
    <row r="1793" spans="23:23" x14ac:dyDescent="0.25">
      <c r="W1793" s="111"/>
    </row>
    <row r="1794" spans="23:23" x14ac:dyDescent="0.25">
      <c r="W1794" s="111"/>
    </row>
    <row r="1795" spans="23:23" x14ac:dyDescent="0.25">
      <c r="W1795" s="111"/>
    </row>
    <row r="1796" spans="23:23" x14ac:dyDescent="0.25">
      <c r="W1796" s="111"/>
    </row>
    <row r="1797" spans="23:23" x14ac:dyDescent="0.25">
      <c r="W1797" s="111"/>
    </row>
    <row r="1798" spans="23:23" x14ac:dyDescent="0.25">
      <c r="W1798" s="111"/>
    </row>
    <row r="1799" spans="23:23" x14ac:dyDescent="0.25">
      <c r="W1799" s="111"/>
    </row>
    <row r="1800" spans="23:23" x14ac:dyDescent="0.25">
      <c r="W1800" s="111"/>
    </row>
    <row r="1801" spans="23:23" x14ac:dyDescent="0.25">
      <c r="W1801" s="111"/>
    </row>
    <row r="1802" spans="23:23" x14ac:dyDescent="0.25">
      <c r="W1802" s="111"/>
    </row>
    <row r="1803" spans="23:23" x14ac:dyDescent="0.25">
      <c r="W1803" s="111"/>
    </row>
    <row r="1804" spans="23:23" x14ac:dyDescent="0.25">
      <c r="W1804" s="111"/>
    </row>
    <row r="1805" spans="23:23" x14ac:dyDescent="0.25">
      <c r="W1805" s="111"/>
    </row>
    <row r="1806" spans="23:23" x14ac:dyDescent="0.25">
      <c r="W1806" s="111"/>
    </row>
    <row r="1807" spans="23:23" x14ac:dyDescent="0.25">
      <c r="W1807" s="111"/>
    </row>
    <row r="1808" spans="23:23" x14ac:dyDescent="0.25">
      <c r="W1808" s="111"/>
    </row>
    <row r="1809" spans="23:23" x14ac:dyDescent="0.25">
      <c r="W1809" s="111"/>
    </row>
    <row r="1810" spans="23:23" x14ac:dyDescent="0.25">
      <c r="W1810" s="111"/>
    </row>
    <row r="1811" spans="23:23" x14ac:dyDescent="0.25">
      <c r="W1811" s="111"/>
    </row>
    <row r="1812" spans="23:23" x14ac:dyDescent="0.25">
      <c r="W1812" s="111"/>
    </row>
    <row r="1813" spans="23:23" x14ac:dyDescent="0.25">
      <c r="W1813" s="111"/>
    </row>
    <row r="1814" spans="23:23" x14ac:dyDescent="0.25">
      <c r="W1814" s="111"/>
    </row>
    <row r="1815" spans="23:23" x14ac:dyDescent="0.25">
      <c r="W1815" s="111"/>
    </row>
    <row r="1816" spans="23:23" x14ac:dyDescent="0.25">
      <c r="W1816" s="111"/>
    </row>
    <row r="1817" spans="23:23" x14ac:dyDescent="0.25">
      <c r="W1817" s="111"/>
    </row>
    <row r="1818" spans="23:23" x14ac:dyDescent="0.25">
      <c r="W1818" s="111"/>
    </row>
    <row r="1819" spans="23:23" x14ac:dyDescent="0.25">
      <c r="W1819" s="111"/>
    </row>
    <row r="1820" spans="23:23" x14ac:dyDescent="0.25">
      <c r="W1820" s="111"/>
    </row>
    <row r="1821" spans="23:23" x14ac:dyDescent="0.25">
      <c r="W1821" s="111"/>
    </row>
    <row r="1822" spans="23:23" x14ac:dyDescent="0.25">
      <c r="W1822" s="111"/>
    </row>
    <row r="1823" spans="23:23" x14ac:dyDescent="0.25">
      <c r="W1823" s="111"/>
    </row>
    <row r="1824" spans="23:23" x14ac:dyDescent="0.25">
      <c r="W1824" s="111"/>
    </row>
    <row r="1825" spans="23:23" x14ac:dyDescent="0.25">
      <c r="W1825" s="111"/>
    </row>
    <row r="1826" spans="23:23" x14ac:dyDescent="0.25">
      <c r="W1826" s="111"/>
    </row>
    <row r="1827" spans="23:23" x14ac:dyDescent="0.25">
      <c r="W1827" s="111"/>
    </row>
    <row r="1828" spans="23:23" x14ac:dyDescent="0.25">
      <c r="W1828" s="111"/>
    </row>
    <row r="1829" spans="23:23" x14ac:dyDescent="0.25">
      <c r="W1829" s="111"/>
    </row>
    <row r="1830" spans="23:23" x14ac:dyDescent="0.25">
      <c r="W1830" s="111"/>
    </row>
    <row r="1831" spans="23:23" x14ac:dyDescent="0.25">
      <c r="W1831" s="111"/>
    </row>
    <row r="1832" spans="23:23" x14ac:dyDescent="0.25">
      <c r="W1832" s="111"/>
    </row>
    <row r="1833" spans="23:23" x14ac:dyDescent="0.25">
      <c r="W1833" s="111"/>
    </row>
    <row r="1834" spans="23:23" x14ac:dyDescent="0.25">
      <c r="W1834" s="111"/>
    </row>
    <row r="1835" spans="23:23" x14ac:dyDescent="0.25">
      <c r="W1835" s="111"/>
    </row>
    <row r="1836" spans="23:23" x14ac:dyDescent="0.25">
      <c r="W1836" s="111"/>
    </row>
    <row r="1837" spans="23:23" x14ac:dyDescent="0.25">
      <c r="W1837" s="111"/>
    </row>
    <row r="1838" spans="23:23" x14ac:dyDescent="0.25">
      <c r="W1838" s="111"/>
    </row>
    <row r="1839" spans="23:23" x14ac:dyDescent="0.25">
      <c r="W1839" s="111"/>
    </row>
    <row r="1840" spans="23:23" x14ac:dyDescent="0.25">
      <c r="W1840" s="111"/>
    </row>
    <row r="1841" spans="23:23" x14ac:dyDescent="0.25">
      <c r="W1841" s="111"/>
    </row>
    <row r="1842" spans="23:23" x14ac:dyDescent="0.25">
      <c r="W1842" s="111"/>
    </row>
    <row r="1843" spans="23:23" x14ac:dyDescent="0.25">
      <c r="W1843" s="111"/>
    </row>
    <row r="1844" spans="23:23" x14ac:dyDescent="0.25">
      <c r="W1844" s="111"/>
    </row>
    <row r="1845" spans="23:23" x14ac:dyDescent="0.25">
      <c r="W1845" s="111"/>
    </row>
    <row r="1846" spans="23:23" x14ac:dyDescent="0.25">
      <c r="W1846" s="111"/>
    </row>
    <row r="1847" spans="23:23" x14ac:dyDescent="0.25">
      <c r="W1847" s="111"/>
    </row>
    <row r="1848" spans="23:23" x14ac:dyDescent="0.25">
      <c r="W1848" s="111"/>
    </row>
    <row r="1849" spans="23:23" x14ac:dyDescent="0.25">
      <c r="W1849" s="111"/>
    </row>
    <row r="1850" spans="23:23" x14ac:dyDescent="0.25">
      <c r="W1850" s="111"/>
    </row>
    <row r="1851" spans="23:23" x14ac:dyDescent="0.25">
      <c r="W1851" s="111"/>
    </row>
    <row r="1852" spans="23:23" x14ac:dyDescent="0.25">
      <c r="W1852" s="111"/>
    </row>
    <row r="1853" spans="23:23" x14ac:dyDescent="0.25">
      <c r="W1853" s="111"/>
    </row>
    <row r="1854" spans="23:23" x14ac:dyDescent="0.25">
      <c r="W1854" s="111"/>
    </row>
    <row r="1855" spans="23:23" x14ac:dyDescent="0.25">
      <c r="W1855" s="111"/>
    </row>
    <row r="1856" spans="23:23" x14ac:dyDescent="0.25">
      <c r="W1856" s="111"/>
    </row>
    <row r="1857" spans="23:23" x14ac:dyDescent="0.25">
      <c r="W1857" s="111"/>
    </row>
    <row r="1858" spans="23:23" x14ac:dyDescent="0.25">
      <c r="W1858" s="111"/>
    </row>
    <row r="1859" spans="23:23" x14ac:dyDescent="0.25">
      <c r="W1859" s="111"/>
    </row>
    <row r="1860" spans="23:23" x14ac:dyDescent="0.25">
      <c r="W1860" s="111"/>
    </row>
    <row r="1861" spans="23:23" x14ac:dyDescent="0.25">
      <c r="W1861" s="111"/>
    </row>
    <row r="1862" spans="23:23" x14ac:dyDescent="0.25">
      <c r="W1862" s="111"/>
    </row>
    <row r="1863" spans="23:23" x14ac:dyDescent="0.25">
      <c r="W1863" s="111"/>
    </row>
    <row r="1864" spans="23:23" x14ac:dyDescent="0.25">
      <c r="W1864" s="111"/>
    </row>
    <row r="1865" spans="23:23" x14ac:dyDescent="0.25">
      <c r="W1865" s="111"/>
    </row>
    <row r="1866" spans="23:23" x14ac:dyDescent="0.25">
      <c r="W1866" s="111"/>
    </row>
    <row r="1867" spans="23:23" x14ac:dyDescent="0.25">
      <c r="W1867" s="111"/>
    </row>
    <row r="1868" spans="23:23" x14ac:dyDescent="0.25">
      <c r="W1868" s="111"/>
    </row>
    <row r="1869" spans="23:23" x14ac:dyDescent="0.25">
      <c r="W1869" s="111"/>
    </row>
    <row r="1870" spans="23:23" x14ac:dyDescent="0.25">
      <c r="W1870" s="111"/>
    </row>
    <row r="1871" spans="23:23" x14ac:dyDescent="0.25">
      <c r="W1871" s="111"/>
    </row>
    <row r="1872" spans="23:23" x14ac:dyDescent="0.25">
      <c r="W1872" s="111"/>
    </row>
    <row r="1873" spans="23:23" x14ac:dyDescent="0.25">
      <c r="W1873" s="111"/>
    </row>
    <row r="1874" spans="23:23" x14ac:dyDescent="0.25">
      <c r="W1874" s="111"/>
    </row>
    <row r="1875" spans="23:23" x14ac:dyDescent="0.25">
      <c r="W1875" s="111"/>
    </row>
    <row r="1876" spans="23:23" x14ac:dyDescent="0.25">
      <c r="W1876" s="111"/>
    </row>
    <row r="1877" spans="23:23" x14ac:dyDescent="0.25">
      <c r="W1877" s="111"/>
    </row>
    <row r="1878" spans="23:23" x14ac:dyDescent="0.25">
      <c r="W1878" s="111"/>
    </row>
    <row r="1879" spans="23:23" x14ac:dyDescent="0.25">
      <c r="W1879" s="111"/>
    </row>
    <row r="1880" spans="23:23" x14ac:dyDescent="0.25">
      <c r="W1880" s="111"/>
    </row>
    <row r="1881" spans="23:23" x14ac:dyDescent="0.25">
      <c r="W1881" s="111"/>
    </row>
    <row r="1882" spans="23:23" x14ac:dyDescent="0.25">
      <c r="W1882" s="111"/>
    </row>
    <row r="1883" spans="23:23" x14ac:dyDescent="0.25">
      <c r="W1883" s="111"/>
    </row>
    <row r="1884" spans="23:23" x14ac:dyDescent="0.25">
      <c r="W1884" s="111"/>
    </row>
    <row r="1885" spans="23:23" x14ac:dyDescent="0.25">
      <c r="W1885" s="111"/>
    </row>
    <row r="1886" spans="23:23" x14ac:dyDescent="0.25">
      <c r="W1886" s="111"/>
    </row>
    <row r="1887" spans="23:23" x14ac:dyDescent="0.25">
      <c r="W1887" s="111"/>
    </row>
    <row r="1888" spans="23:23" x14ac:dyDescent="0.25">
      <c r="W1888" s="111"/>
    </row>
    <row r="1889" spans="23:23" x14ac:dyDescent="0.25">
      <c r="W1889" s="111"/>
    </row>
    <row r="1890" spans="23:23" x14ac:dyDescent="0.25">
      <c r="W1890" s="111"/>
    </row>
    <row r="1891" spans="23:23" x14ac:dyDescent="0.25">
      <c r="W1891" s="111"/>
    </row>
    <row r="1892" spans="23:23" x14ac:dyDescent="0.25">
      <c r="W1892" s="111"/>
    </row>
    <row r="1893" spans="23:23" x14ac:dyDescent="0.25">
      <c r="W1893" s="111"/>
    </row>
    <row r="1894" spans="23:23" x14ac:dyDescent="0.25">
      <c r="W1894" s="111"/>
    </row>
    <row r="1895" spans="23:23" x14ac:dyDescent="0.25">
      <c r="W1895" s="111"/>
    </row>
    <row r="1896" spans="23:23" x14ac:dyDescent="0.25">
      <c r="W1896" s="111"/>
    </row>
    <row r="1897" spans="23:23" x14ac:dyDescent="0.25">
      <c r="W1897" s="111"/>
    </row>
    <row r="1898" spans="23:23" x14ac:dyDescent="0.25">
      <c r="W1898" s="111"/>
    </row>
    <row r="1899" spans="23:23" x14ac:dyDescent="0.25">
      <c r="W1899" s="111"/>
    </row>
    <row r="1900" spans="23:23" x14ac:dyDescent="0.25">
      <c r="W1900" s="111"/>
    </row>
    <row r="1901" spans="23:23" x14ac:dyDescent="0.25">
      <c r="W1901" s="111"/>
    </row>
    <row r="1902" spans="23:23" x14ac:dyDescent="0.25">
      <c r="W1902" s="111"/>
    </row>
    <row r="1903" spans="23:23" x14ac:dyDescent="0.25">
      <c r="W1903" s="111"/>
    </row>
    <row r="1904" spans="23:23" x14ac:dyDescent="0.25">
      <c r="W1904" s="111"/>
    </row>
    <row r="1905" spans="23:23" x14ac:dyDescent="0.25">
      <c r="W1905" s="111"/>
    </row>
    <row r="1906" spans="23:23" x14ac:dyDescent="0.25">
      <c r="W1906" s="111"/>
    </row>
    <row r="1907" spans="23:23" x14ac:dyDescent="0.25">
      <c r="W1907" s="111"/>
    </row>
    <row r="1908" spans="23:23" x14ac:dyDescent="0.25">
      <c r="W1908" s="111"/>
    </row>
    <row r="1909" spans="23:23" x14ac:dyDescent="0.25">
      <c r="W1909" s="111"/>
    </row>
    <row r="1910" spans="23:23" x14ac:dyDescent="0.25">
      <c r="W1910" s="111"/>
    </row>
    <row r="1911" spans="23:23" x14ac:dyDescent="0.25">
      <c r="W1911" s="111"/>
    </row>
    <row r="1912" spans="23:23" x14ac:dyDescent="0.25">
      <c r="W1912" s="111"/>
    </row>
    <row r="1913" spans="23:23" x14ac:dyDescent="0.25">
      <c r="W1913" s="111"/>
    </row>
    <row r="1914" spans="23:23" x14ac:dyDescent="0.25">
      <c r="W1914" s="111"/>
    </row>
    <row r="1915" spans="23:23" x14ac:dyDescent="0.25">
      <c r="W1915" s="111"/>
    </row>
    <row r="1916" spans="23:23" x14ac:dyDescent="0.25">
      <c r="W1916" s="111"/>
    </row>
    <row r="1917" spans="23:23" x14ac:dyDescent="0.25">
      <c r="W1917" s="111"/>
    </row>
    <row r="1918" spans="23:23" x14ac:dyDescent="0.25">
      <c r="W1918" s="111"/>
    </row>
    <row r="1919" spans="23:23" x14ac:dyDescent="0.25">
      <c r="W1919" s="111"/>
    </row>
    <row r="1920" spans="23:23" x14ac:dyDescent="0.25">
      <c r="W1920" s="111"/>
    </row>
    <row r="1921" spans="23:23" x14ac:dyDescent="0.25">
      <c r="W1921" s="111"/>
    </row>
    <row r="1922" spans="23:23" x14ac:dyDescent="0.25">
      <c r="W1922" s="111"/>
    </row>
    <row r="1923" spans="23:23" x14ac:dyDescent="0.25">
      <c r="W1923" s="111"/>
    </row>
    <row r="1924" spans="23:23" x14ac:dyDescent="0.25">
      <c r="W1924" s="111"/>
    </row>
    <row r="1925" spans="23:23" x14ac:dyDescent="0.25">
      <c r="W1925" s="111"/>
    </row>
    <row r="1926" spans="23:23" x14ac:dyDescent="0.25">
      <c r="W1926" s="111"/>
    </row>
    <row r="1927" spans="23:23" x14ac:dyDescent="0.25">
      <c r="W1927" s="111"/>
    </row>
    <row r="1928" spans="23:23" x14ac:dyDescent="0.25">
      <c r="W1928" s="111"/>
    </row>
    <row r="1929" spans="23:23" x14ac:dyDescent="0.25">
      <c r="W1929" s="111"/>
    </row>
    <row r="1930" spans="23:23" x14ac:dyDescent="0.25">
      <c r="W1930" s="111"/>
    </row>
    <row r="1931" spans="23:23" x14ac:dyDescent="0.25">
      <c r="W1931" s="111"/>
    </row>
    <row r="1932" spans="23:23" x14ac:dyDescent="0.25">
      <c r="W1932" s="111"/>
    </row>
    <row r="1933" spans="23:23" x14ac:dyDescent="0.25">
      <c r="W1933" s="111"/>
    </row>
    <row r="1934" spans="23:23" x14ac:dyDescent="0.25">
      <c r="W1934" s="111"/>
    </row>
    <row r="1935" spans="23:23" x14ac:dyDescent="0.25">
      <c r="W1935" s="111"/>
    </row>
    <row r="1936" spans="23:23" x14ac:dyDescent="0.25">
      <c r="W1936" s="111"/>
    </row>
    <row r="1937" spans="23:23" x14ac:dyDescent="0.25">
      <c r="W1937" s="111"/>
    </row>
    <row r="1938" spans="23:23" x14ac:dyDescent="0.25">
      <c r="W1938" s="111"/>
    </row>
    <row r="1939" spans="23:23" x14ac:dyDescent="0.25">
      <c r="W1939" s="111"/>
    </row>
    <row r="1940" spans="23:23" x14ac:dyDescent="0.25">
      <c r="W1940" s="111"/>
    </row>
    <row r="1941" spans="23:23" x14ac:dyDescent="0.25">
      <c r="W1941" s="111"/>
    </row>
    <row r="1942" spans="23:23" x14ac:dyDescent="0.25">
      <c r="W1942" s="111"/>
    </row>
    <row r="1943" spans="23:23" x14ac:dyDescent="0.25">
      <c r="W1943" s="111"/>
    </row>
    <row r="1944" spans="23:23" x14ac:dyDescent="0.25">
      <c r="W1944" s="111"/>
    </row>
    <row r="1945" spans="23:23" x14ac:dyDescent="0.25">
      <c r="W1945" s="111"/>
    </row>
    <row r="1946" spans="23:23" x14ac:dyDescent="0.25">
      <c r="W1946" s="111"/>
    </row>
    <row r="1947" spans="23:23" x14ac:dyDescent="0.25">
      <c r="W1947" s="111"/>
    </row>
    <row r="1948" spans="23:23" x14ac:dyDescent="0.25">
      <c r="W1948" s="111"/>
    </row>
    <row r="1949" spans="23:23" x14ac:dyDescent="0.25">
      <c r="W1949" s="111"/>
    </row>
    <row r="1950" spans="23:23" x14ac:dyDescent="0.25">
      <c r="W1950" s="111"/>
    </row>
    <row r="1951" spans="23:23" x14ac:dyDescent="0.25">
      <c r="W1951" s="111"/>
    </row>
    <row r="1952" spans="23:23" x14ac:dyDescent="0.25">
      <c r="W1952" s="111"/>
    </row>
    <row r="1953" spans="23:23" x14ac:dyDescent="0.25">
      <c r="W1953" s="111"/>
    </row>
    <row r="1954" spans="23:23" x14ac:dyDescent="0.25">
      <c r="W1954" s="111"/>
    </row>
    <row r="1955" spans="23:23" x14ac:dyDescent="0.25">
      <c r="W1955" s="111"/>
    </row>
    <row r="1956" spans="23:23" x14ac:dyDescent="0.25">
      <c r="W1956" s="111"/>
    </row>
    <row r="1957" spans="23:23" x14ac:dyDescent="0.25">
      <c r="W1957" s="111"/>
    </row>
    <row r="1958" spans="23:23" x14ac:dyDescent="0.25">
      <c r="W1958" s="111"/>
    </row>
    <row r="1959" spans="23:23" x14ac:dyDescent="0.25">
      <c r="W1959" s="111"/>
    </row>
    <row r="1960" spans="23:23" x14ac:dyDescent="0.25">
      <c r="W1960" s="111"/>
    </row>
    <row r="1961" spans="23:23" x14ac:dyDescent="0.25">
      <c r="W1961" s="111"/>
    </row>
    <row r="1962" spans="23:23" x14ac:dyDescent="0.25">
      <c r="W1962" s="111"/>
    </row>
    <row r="1963" spans="23:23" x14ac:dyDescent="0.25">
      <c r="W1963" s="111"/>
    </row>
    <row r="1964" spans="23:23" x14ac:dyDescent="0.25">
      <c r="W1964" s="111"/>
    </row>
    <row r="1965" spans="23:23" x14ac:dyDescent="0.25">
      <c r="W1965" s="111"/>
    </row>
    <row r="1966" spans="23:23" x14ac:dyDescent="0.25">
      <c r="W1966" s="111"/>
    </row>
    <row r="1967" spans="23:23" x14ac:dyDescent="0.25">
      <c r="W1967" s="111"/>
    </row>
    <row r="1968" spans="23:23" x14ac:dyDescent="0.25">
      <c r="W1968" s="111"/>
    </row>
    <row r="1969" spans="23:23" x14ac:dyDescent="0.25">
      <c r="W1969" s="111"/>
    </row>
    <row r="1970" spans="23:23" x14ac:dyDescent="0.25">
      <c r="W1970" s="111"/>
    </row>
    <row r="1971" spans="23:23" x14ac:dyDescent="0.25">
      <c r="W1971" s="111"/>
    </row>
    <row r="1972" spans="23:23" x14ac:dyDescent="0.25">
      <c r="W1972" s="111"/>
    </row>
    <row r="1973" spans="23:23" x14ac:dyDescent="0.25">
      <c r="W1973" s="111"/>
    </row>
    <row r="1974" spans="23:23" x14ac:dyDescent="0.25">
      <c r="W1974" s="111"/>
    </row>
    <row r="1975" spans="23:23" x14ac:dyDescent="0.25">
      <c r="W1975" s="111"/>
    </row>
    <row r="1976" spans="23:23" x14ac:dyDescent="0.25">
      <c r="W1976" s="111"/>
    </row>
    <row r="1977" spans="23:23" x14ac:dyDescent="0.25">
      <c r="W1977" s="111"/>
    </row>
    <row r="1978" spans="23:23" x14ac:dyDescent="0.25">
      <c r="W1978" s="111"/>
    </row>
    <row r="1979" spans="23:23" x14ac:dyDescent="0.25">
      <c r="W1979" s="111"/>
    </row>
    <row r="1980" spans="23:23" x14ac:dyDescent="0.25">
      <c r="W1980" s="111"/>
    </row>
    <row r="1981" spans="23:23" x14ac:dyDescent="0.25">
      <c r="W1981" s="111"/>
    </row>
    <row r="1982" spans="23:23" x14ac:dyDescent="0.25">
      <c r="W1982" s="111"/>
    </row>
    <row r="1983" spans="23:23" x14ac:dyDescent="0.25">
      <c r="W1983" s="111"/>
    </row>
    <row r="1984" spans="23:23" x14ac:dyDescent="0.25">
      <c r="W1984" s="111"/>
    </row>
    <row r="1985" spans="23:23" x14ac:dyDescent="0.25">
      <c r="W1985" s="111"/>
    </row>
    <row r="1986" spans="23:23" x14ac:dyDescent="0.25">
      <c r="W1986" s="111"/>
    </row>
    <row r="1987" spans="23:23" x14ac:dyDescent="0.25">
      <c r="W1987" s="111"/>
    </row>
    <row r="1988" spans="23:23" x14ac:dyDescent="0.25">
      <c r="W1988" s="111"/>
    </row>
    <row r="1989" spans="23:23" x14ac:dyDescent="0.25">
      <c r="W1989" s="111"/>
    </row>
    <row r="1990" spans="23:23" x14ac:dyDescent="0.25">
      <c r="W1990" s="111"/>
    </row>
    <row r="1991" spans="23:23" x14ac:dyDescent="0.25">
      <c r="W1991" s="111"/>
    </row>
    <row r="1992" spans="23:23" x14ac:dyDescent="0.25">
      <c r="W1992" s="111"/>
    </row>
    <row r="1993" spans="23:23" x14ac:dyDescent="0.25">
      <c r="W1993" s="111"/>
    </row>
    <row r="1994" spans="23:23" x14ac:dyDescent="0.25">
      <c r="W1994" s="111"/>
    </row>
    <row r="1995" spans="23:23" x14ac:dyDescent="0.25">
      <c r="W1995" s="111"/>
    </row>
    <row r="1996" spans="23:23" x14ac:dyDescent="0.25">
      <c r="W1996" s="111"/>
    </row>
    <row r="1997" spans="23:23" x14ac:dyDescent="0.25">
      <c r="W1997" s="111"/>
    </row>
    <row r="1998" spans="23:23" x14ac:dyDescent="0.25">
      <c r="W1998" s="111"/>
    </row>
    <row r="1999" spans="23:23" x14ac:dyDescent="0.25">
      <c r="W1999" s="111"/>
    </row>
    <row r="2000" spans="23:23" x14ac:dyDescent="0.25">
      <c r="W2000" s="111"/>
    </row>
    <row r="2001" spans="23:23" x14ac:dyDescent="0.25">
      <c r="W2001" s="111"/>
    </row>
    <row r="2002" spans="23:23" x14ac:dyDescent="0.25">
      <c r="W2002" s="111"/>
    </row>
    <row r="2003" spans="23:23" x14ac:dyDescent="0.25">
      <c r="W2003" s="111"/>
    </row>
    <row r="2004" spans="23:23" x14ac:dyDescent="0.25">
      <c r="W2004" s="111"/>
    </row>
    <row r="2005" spans="23:23" x14ac:dyDescent="0.25">
      <c r="W2005" s="111"/>
    </row>
    <row r="2006" spans="23:23" x14ac:dyDescent="0.25">
      <c r="W2006" s="111"/>
    </row>
    <row r="2007" spans="23:23" x14ac:dyDescent="0.25">
      <c r="W2007" s="111"/>
    </row>
    <row r="2008" spans="23:23" x14ac:dyDescent="0.25">
      <c r="W2008" s="111"/>
    </row>
    <row r="2009" spans="23:23" x14ac:dyDescent="0.25">
      <c r="W2009" s="111"/>
    </row>
    <row r="2010" spans="23:23" x14ac:dyDescent="0.25">
      <c r="W2010" s="111"/>
    </row>
    <row r="2011" spans="23:23" x14ac:dyDescent="0.25">
      <c r="W2011" s="111"/>
    </row>
    <row r="2012" spans="23:23" x14ac:dyDescent="0.25">
      <c r="W2012" s="111"/>
    </row>
    <row r="2013" spans="23:23" x14ac:dyDescent="0.25">
      <c r="W2013" s="111"/>
    </row>
    <row r="2014" spans="23:23" x14ac:dyDescent="0.25">
      <c r="W2014" s="111"/>
    </row>
    <row r="2015" spans="23:23" x14ac:dyDescent="0.25">
      <c r="W2015" s="111"/>
    </row>
    <row r="2016" spans="23:23" x14ac:dyDescent="0.25">
      <c r="W2016" s="111"/>
    </row>
    <row r="2017" spans="23:23" x14ac:dyDescent="0.25">
      <c r="W2017" s="111"/>
    </row>
    <row r="2018" spans="23:23" x14ac:dyDescent="0.25">
      <c r="W2018" s="111"/>
    </row>
    <row r="2019" spans="23:23" x14ac:dyDescent="0.25">
      <c r="W2019" s="111"/>
    </row>
    <row r="2020" spans="23:23" x14ac:dyDescent="0.25">
      <c r="W2020" s="111"/>
    </row>
    <row r="2021" spans="23:23" x14ac:dyDescent="0.25">
      <c r="W2021" s="111"/>
    </row>
    <row r="2022" spans="23:23" x14ac:dyDescent="0.25">
      <c r="W2022" s="111"/>
    </row>
    <row r="2023" spans="23:23" x14ac:dyDescent="0.25">
      <c r="W2023" s="111"/>
    </row>
    <row r="2024" spans="23:23" x14ac:dyDescent="0.25">
      <c r="W2024" s="111"/>
    </row>
    <row r="2025" spans="23:23" x14ac:dyDescent="0.25">
      <c r="W2025" s="111"/>
    </row>
    <row r="2026" spans="23:23" x14ac:dyDescent="0.25">
      <c r="W2026" s="111"/>
    </row>
    <row r="2027" spans="23:23" x14ac:dyDescent="0.25">
      <c r="W2027" s="111"/>
    </row>
    <row r="2028" spans="23:23" x14ac:dyDescent="0.25">
      <c r="W2028" s="111"/>
    </row>
    <row r="2029" spans="23:23" x14ac:dyDescent="0.25">
      <c r="W2029" s="111"/>
    </row>
    <row r="2030" spans="23:23" x14ac:dyDescent="0.25">
      <c r="W2030" s="111"/>
    </row>
    <row r="2031" spans="23:23" x14ac:dyDescent="0.25">
      <c r="W2031" s="111"/>
    </row>
    <row r="2032" spans="23:23" x14ac:dyDescent="0.25">
      <c r="W2032" s="111"/>
    </row>
    <row r="2033" spans="23:23" x14ac:dyDescent="0.25">
      <c r="W2033" s="111"/>
    </row>
    <row r="2034" spans="23:23" x14ac:dyDescent="0.25">
      <c r="W2034" s="111"/>
    </row>
    <row r="2035" spans="23:23" x14ac:dyDescent="0.25">
      <c r="W2035" s="111"/>
    </row>
    <row r="2036" spans="23:23" x14ac:dyDescent="0.25">
      <c r="W2036" s="111"/>
    </row>
    <row r="2037" spans="23:23" x14ac:dyDescent="0.25">
      <c r="W2037" s="111"/>
    </row>
    <row r="2038" spans="23:23" x14ac:dyDescent="0.25">
      <c r="W2038" s="111"/>
    </row>
    <row r="2039" spans="23:23" x14ac:dyDescent="0.25">
      <c r="W2039" s="111"/>
    </row>
    <row r="2040" spans="23:23" x14ac:dyDescent="0.25">
      <c r="W2040" s="111"/>
    </row>
    <row r="2041" spans="23:23" x14ac:dyDescent="0.25">
      <c r="W2041" s="111"/>
    </row>
    <row r="2042" spans="23:23" x14ac:dyDescent="0.25">
      <c r="W2042" s="111"/>
    </row>
    <row r="2043" spans="23:23" x14ac:dyDescent="0.25">
      <c r="W2043" s="111"/>
    </row>
    <row r="2044" spans="23:23" x14ac:dyDescent="0.25">
      <c r="W2044" s="111"/>
    </row>
    <row r="2045" spans="23:23" x14ac:dyDescent="0.25">
      <c r="W2045" s="111"/>
    </row>
    <row r="2046" spans="23:23" x14ac:dyDescent="0.25">
      <c r="W2046" s="111"/>
    </row>
    <row r="2047" spans="23:23" x14ac:dyDescent="0.25">
      <c r="W2047" s="111"/>
    </row>
    <row r="2048" spans="23:23" x14ac:dyDescent="0.25">
      <c r="W2048" s="111"/>
    </row>
    <row r="2049" spans="23:23" x14ac:dyDescent="0.25">
      <c r="W2049" s="111"/>
    </row>
    <row r="2050" spans="23:23" x14ac:dyDescent="0.25">
      <c r="W2050" s="111"/>
    </row>
    <row r="2051" spans="23:23" x14ac:dyDescent="0.25">
      <c r="W2051" s="111"/>
    </row>
    <row r="2052" spans="23:23" x14ac:dyDescent="0.25">
      <c r="W2052" s="111"/>
    </row>
    <row r="2053" spans="23:23" x14ac:dyDescent="0.25">
      <c r="W2053" s="111"/>
    </row>
    <row r="2054" spans="23:23" x14ac:dyDescent="0.25">
      <c r="W2054" s="111"/>
    </row>
    <row r="2055" spans="23:23" x14ac:dyDescent="0.25">
      <c r="W2055" s="111"/>
    </row>
    <row r="2056" spans="23:23" x14ac:dyDescent="0.25">
      <c r="W2056" s="111"/>
    </row>
    <row r="2057" spans="23:23" x14ac:dyDescent="0.25">
      <c r="W2057" s="111"/>
    </row>
    <row r="2058" spans="23:23" x14ac:dyDescent="0.25">
      <c r="W2058" s="111"/>
    </row>
    <row r="2059" spans="23:23" x14ac:dyDescent="0.25">
      <c r="W2059" s="111"/>
    </row>
    <row r="2060" spans="23:23" x14ac:dyDescent="0.25">
      <c r="W2060" s="111"/>
    </row>
    <row r="2061" spans="23:23" x14ac:dyDescent="0.25">
      <c r="W2061" s="111"/>
    </row>
    <row r="2062" spans="23:23" x14ac:dyDescent="0.25">
      <c r="W2062" s="111"/>
    </row>
    <row r="2063" spans="23:23" x14ac:dyDescent="0.25">
      <c r="W2063" s="111"/>
    </row>
    <row r="2064" spans="23:23" x14ac:dyDescent="0.25">
      <c r="W2064" s="111"/>
    </row>
    <row r="2065" spans="23:23" x14ac:dyDescent="0.25">
      <c r="W2065" s="111"/>
    </row>
    <row r="2066" spans="23:23" x14ac:dyDescent="0.25">
      <c r="W2066" s="111"/>
    </row>
    <row r="2067" spans="23:23" x14ac:dyDescent="0.25">
      <c r="W2067" s="111"/>
    </row>
    <row r="2068" spans="23:23" x14ac:dyDescent="0.25">
      <c r="W2068" s="111"/>
    </row>
    <row r="2069" spans="23:23" x14ac:dyDescent="0.25">
      <c r="W2069" s="111"/>
    </row>
    <row r="2070" spans="23:23" x14ac:dyDescent="0.25">
      <c r="W2070" s="111"/>
    </row>
    <row r="2071" spans="23:23" x14ac:dyDescent="0.25">
      <c r="W2071" s="111"/>
    </row>
    <row r="2072" spans="23:23" x14ac:dyDescent="0.25">
      <c r="W2072" s="111"/>
    </row>
    <row r="2073" spans="23:23" x14ac:dyDescent="0.25">
      <c r="W2073" s="111"/>
    </row>
    <row r="2074" spans="23:23" x14ac:dyDescent="0.25">
      <c r="W2074" s="111"/>
    </row>
    <row r="2075" spans="23:23" x14ac:dyDescent="0.25">
      <c r="W2075" s="111"/>
    </row>
    <row r="2076" spans="23:23" x14ac:dyDescent="0.25">
      <c r="W2076" s="111"/>
    </row>
    <row r="2077" spans="23:23" x14ac:dyDescent="0.25">
      <c r="W2077" s="111"/>
    </row>
    <row r="2078" spans="23:23" x14ac:dyDescent="0.25">
      <c r="W2078" s="111"/>
    </row>
    <row r="2079" spans="23:23" x14ac:dyDescent="0.25">
      <c r="W2079" s="111"/>
    </row>
    <row r="2080" spans="23:23" x14ac:dyDescent="0.25">
      <c r="W2080" s="111"/>
    </row>
    <row r="2081" spans="23:23" x14ac:dyDescent="0.25">
      <c r="W2081" s="111"/>
    </row>
    <row r="2082" spans="23:23" x14ac:dyDescent="0.25">
      <c r="W2082" s="111"/>
    </row>
    <row r="2083" spans="23:23" x14ac:dyDescent="0.25">
      <c r="W2083" s="111"/>
    </row>
    <row r="2084" spans="23:23" x14ac:dyDescent="0.25">
      <c r="W2084" s="111"/>
    </row>
    <row r="2085" spans="23:23" x14ac:dyDescent="0.25">
      <c r="W2085" s="111"/>
    </row>
    <row r="2086" spans="23:23" x14ac:dyDescent="0.25">
      <c r="W2086" s="111"/>
    </row>
    <row r="2087" spans="23:23" x14ac:dyDescent="0.25">
      <c r="W2087" s="111"/>
    </row>
    <row r="2088" spans="23:23" x14ac:dyDescent="0.25">
      <c r="W2088" s="111"/>
    </row>
    <row r="2089" spans="23:23" x14ac:dyDescent="0.25">
      <c r="W2089" s="111"/>
    </row>
    <row r="2090" spans="23:23" x14ac:dyDescent="0.25">
      <c r="W2090" s="111"/>
    </row>
    <row r="2091" spans="23:23" x14ac:dyDescent="0.25">
      <c r="W2091" s="111"/>
    </row>
    <row r="2092" spans="23:23" x14ac:dyDescent="0.25">
      <c r="W2092" s="111"/>
    </row>
    <row r="2093" spans="23:23" x14ac:dyDescent="0.25">
      <c r="W2093" s="111"/>
    </row>
    <row r="2094" spans="23:23" x14ac:dyDescent="0.25">
      <c r="W2094" s="111"/>
    </row>
    <row r="2095" spans="23:23" x14ac:dyDescent="0.25">
      <c r="W2095" s="111"/>
    </row>
    <row r="2096" spans="23:23" x14ac:dyDescent="0.25">
      <c r="W2096" s="111"/>
    </row>
    <row r="2097" spans="23:23" x14ac:dyDescent="0.25">
      <c r="W2097" s="111"/>
    </row>
    <row r="2098" spans="23:23" x14ac:dyDescent="0.25">
      <c r="W2098" s="111"/>
    </row>
    <row r="2099" spans="23:23" x14ac:dyDescent="0.25">
      <c r="W2099" s="111"/>
    </row>
    <row r="2100" spans="23:23" x14ac:dyDescent="0.25">
      <c r="W2100" s="111"/>
    </row>
    <row r="2101" spans="23:23" x14ac:dyDescent="0.25">
      <c r="W2101" s="111"/>
    </row>
    <row r="2102" spans="23:23" x14ac:dyDescent="0.25">
      <c r="W2102" s="111"/>
    </row>
    <row r="2103" spans="23:23" x14ac:dyDescent="0.25">
      <c r="W2103" s="111"/>
    </row>
    <row r="2104" spans="23:23" x14ac:dyDescent="0.25">
      <c r="W2104" s="111"/>
    </row>
    <row r="2105" spans="23:23" x14ac:dyDescent="0.25">
      <c r="W2105" s="111"/>
    </row>
    <row r="2106" spans="23:23" x14ac:dyDescent="0.25">
      <c r="W2106" s="111"/>
    </row>
    <row r="2107" spans="23:23" x14ac:dyDescent="0.25">
      <c r="W2107" s="111"/>
    </row>
    <row r="2108" spans="23:23" x14ac:dyDescent="0.25">
      <c r="W2108" s="111"/>
    </row>
    <row r="2109" spans="23:23" x14ac:dyDescent="0.25">
      <c r="W2109" s="111"/>
    </row>
    <row r="2110" spans="23:23" x14ac:dyDescent="0.25">
      <c r="W2110" s="111"/>
    </row>
    <row r="2111" spans="23:23" x14ac:dyDescent="0.25">
      <c r="W2111" s="111"/>
    </row>
    <row r="2112" spans="23:23" x14ac:dyDescent="0.25">
      <c r="W2112" s="111"/>
    </row>
    <row r="2113" spans="23:23" x14ac:dyDescent="0.25">
      <c r="W2113" s="111"/>
    </row>
    <row r="2114" spans="23:23" x14ac:dyDescent="0.25">
      <c r="W2114" s="111"/>
    </row>
    <row r="2115" spans="23:23" x14ac:dyDescent="0.25">
      <c r="W2115" s="111"/>
    </row>
    <row r="2116" spans="23:23" x14ac:dyDescent="0.25">
      <c r="W2116" s="111"/>
    </row>
    <row r="2117" spans="23:23" x14ac:dyDescent="0.25">
      <c r="W2117" s="111"/>
    </row>
    <row r="2118" spans="23:23" x14ac:dyDescent="0.25">
      <c r="W2118" s="111"/>
    </row>
    <row r="2119" spans="23:23" x14ac:dyDescent="0.25">
      <c r="W2119" s="111"/>
    </row>
    <row r="2120" spans="23:23" x14ac:dyDescent="0.25">
      <c r="W2120" s="111"/>
    </row>
    <row r="2121" spans="23:23" x14ac:dyDescent="0.25">
      <c r="W2121" s="111"/>
    </row>
    <row r="2122" spans="23:23" x14ac:dyDescent="0.25">
      <c r="W2122" s="111"/>
    </row>
    <row r="2123" spans="23:23" x14ac:dyDescent="0.25">
      <c r="W2123" s="111"/>
    </row>
    <row r="2124" spans="23:23" x14ac:dyDescent="0.25">
      <c r="W2124" s="111"/>
    </row>
    <row r="2125" spans="23:23" x14ac:dyDescent="0.25">
      <c r="W2125" s="111"/>
    </row>
    <row r="2126" spans="23:23" x14ac:dyDescent="0.25">
      <c r="W2126" s="111"/>
    </row>
    <row r="2127" spans="23:23" x14ac:dyDescent="0.25">
      <c r="W2127" s="111"/>
    </row>
    <row r="2128" spans="23:23" x14ac:dyDescent="0.25">
      <c r="W2128" s="111"/>
    </row>
    <row r="2129" spans="23:23" x14ac:dyDescent="0.25">
      <c r="W2129" s="111"/>
    </row>
    <row r="2130" spans="23:23" x14ac:dyDescent="0.25">
      <c r="W2130" s="111"/>
    </row>
    <row r="2131" spans="23:23" x14ac:dyDescent="0.25">
      <c r="W2131" s="111"/>
    </row>
    <row r="2132" spans="23:23" x14ac:dyDescent="0.25">
      <c r="W2132" s="111"/>
    </row>
    <row r="2133" spans="23:23" x14ac:dyDescent="0.25">
      <c r="W2133" s="111"/>
    </row>
    <row r="2134" spans="23:23" x14ac:dyDescent="0.25">
      <c r="W2134" s="111"/>
    </row>
    <row r="2135" spans="23:23" x14ac:dyDescent="0.25">
      <c r="W2135" s="111"/>
    </row>
    <row r="2136" spans="23:23" x14ac:dyDescent="0.25">
      <c r="W2136" s="111"/>
    </row>
    <row r="2137" spans="23:23" x14ac:dyDescent="0.25">
      <c r="W2137" s="111"/>
    </row>
    <row r="2138" spans="23:23" x14ac:dyDescent="0.25">
      <c r="W2138" s="111"/>
    </row>
    <row r="2139" spans="23:23" x14ac:dyDescent="0.25">
      <c r="W2139" s="111"/>
    </row>
    <row r="2140" spans="23:23" x14ac:dyDescent="0.25">
      <c r="W2140" s="111"/>
    </row>
    <row r="2141" spans="23:23" x14ac:dyDescent="0.25">
      <c r="W2141" s="111"/>
    </row>
    <row r="2142" spans="23:23" x14ac:dyDescent="0.25">
      <c r="W2142" s="111"/>
    </row>
    <row r="2143" spans="23:23" x14ac:dyDescent="0.25">
      <c r="W2143" s="111"/>
    </row>
    <row r="2144" spans="23:23" x14ac:dyDescent="0.25">
      <c r="W2144" s="111"/>
    </row>
    <row r="2145" spans="23:23" x14ac:dyDescent="0.25">
      <c r="W2145" s="111"/>
    </row>
    <row r="2146" spans="23:23" x14ac:dyDescent="0.25">
      <c r="W2146" s="111"/>
    </row>
    <row r="2147" spans="23:23" x14ac:dyDescent="0.25">
      <c r="W2147" s="111"/>
    </row>
    <row r="2148" spans="23:23" x14ac:dyDescent="0.25">
      <c r="W2148" s="111"/>
    </row>
    <row r="2149" spans="23:23" x14ac:dyDescent="0.25">
      <c r="W2149" s="111"/>
    </row>
    <row r="2150" spans="23:23" x14ac:dyDescent="0.25">
      <c r="W2150" s="111"/>
    </row>
    <row r="2151" spans="23:23" x14ac:dyDescent="0.25">
      <c r="W2151" s="111"/>
    </row>
    <row r="2152" spans="23:23" x14ac:dyDescent="0.25">
      <c r="W2152" s="111"/>
    </row>
    <row r="2153" spans="23:23" x14ac:dyDescent="0.25">
      <c r="W2153" s="111"/>
    </row>
    <row r="2154" spans="23:23" x14ac:dyDescent="0.25">
      <c r="W2154" s="111"/>
    </row>
    <row r="2155" spans="23:23" x14ac:dyDescent="0.25">
      <c r="W2155" s="111"/>
    </row>
    <row r="2156" spans="23:23" x14ac:dyDescent="0.25">
      <c r="W2156" s="111"/>
    </row>
    <row r="2157" spans="23:23" x14ac:dyDescent="0.25">
      <c r="W2157" s="111"/>
    </row>
    <row r="2158" spans="23:23" x14ac:dyDescent="0.25">
      <c r="W2158" s="111"/>
    </row>
    <row r="2159" spans="23:23" x14ac:dyDescent="0.25">
      <c r="W2159" s="111"/>
    </row>
    <row r="2160" spans="23:23" x14ac:dyDescent="0.25">
      <c r="W2160" s="111"/>
    </row>
    <row r="2161" spans="23:23" x14ac:dyDescent="0.25">
      <c r="W2161" s="111"/>
    </row>
    <row r="2162" spans="23:23" x14ac:dyDescent="0.25">
      <c r="W2162" s="111"/>
    </row>
    <row r="2163" spans="23:23" x14ac:dyDescent="0.25">
      <c r="W2163" s="111"/>
    </row>
    <row r="2164" spans="23:23" x14ac:dyDescent="0.25">
      <c r="W2164" s="111"/>
    </row>
    <row r="2165" spans="23:23" x14ac:dyDescent="0.25">
      <c r="W2165" s="111"/>
    </row>
    <row r="2166" spans="23:23" x14ac:dyDescent="0.25">
      <c r="W2166" s="111"/>
    </row>
    <row r="2167" spans="23:23" x14ac:dyDescent="0.25">
      <c r="W2167" s="111"/>
    </row>
    <row r="2168" spans="23:23" x14ac:dyDescent="0.25">
      <c r="W2168" s="111"/>
    </row>
    <row r="2169" spans="23:23" x14ac:dyDescent="0.25">
      <c r="W2169" s="111"/>
    </row>
    <row r="2170" spans="23:23" x14ac:dyDescent="0.25">
      <c r="W2170" s="111"/>
    </row>
    <row r="2171" spans="23:23" x14ac:dyDescent="0.25">
      <c r="W2171" s="111"/>
    </row>
    <row r="2172" spans="23:23" x14ac:dyDescent="0.25">
      <c r="W2172" s="111"/>
    </row>
    <row r="2173" spans="23:23" x14ac:dyDescent="0.25">
      <c r="W2173" s="111"/>
    </row>
    <row r="2174" spans="23:23" x14ac:dyDescent="0.25">
      <c r="W2174" s="111"/>
    </row>
    <row r="2175" spans="23:23" x14ac:dyDescent="0.25">
      <c r="W2175" s="111"/>
    </row>
    <row r="2176" spans="23:23" x14ac:dyDescent="0.25">
      <c r="W2176" s="111"/>
    </row>
    <row r="2177" spans="23:23" x14ac:dyDescent="0.25">
      <c r="W2177" s="111"/>
    </row>
    <row r="2178" spans="23:23" x14ac:dyDescent="0.25">
      <c r="W2178" s="111"/>
    </row>
    <row r="2179" spans="23:23" x14ac:dyDescent="0.25">
      <c r="W2179" s="111"/>
    </row>
    <row r="2180" spans="23:23" x14ac:dyDescent="0.25">
      <c r="W2180" s="111"/>
    </row>
    <row r="2181" spans="23:23" x14ac:dyDescent="0.25">
      <c r="W2181" s="111"/>
    </row>
    <row r="2182" spans="23:23" x14ac:dyDescent="0.25">
      <c r="W2182" s="111"/>
    </row>
    <row r="2183" spans="23:23" x14ac:dyDescent="0.25">
      <c r="W2183" s="111"/>
    </row>
    <row r="2184" spans="23:23" x14ac:dyDescent="0.25">
      <c r="W2184" s="111"/>
    </row>
    <row r="2185" spans="23:23" x14ac:dyDescent="0.25">
      <c r="W2185" s="111"/>
    </row>
    <row r="2186" spans="23:23" x14ac:dyDescent="0.25">
      <c r="W2186" s="111"/>
    </row>
    <row r="2187" spans="23:23" x14ac:dyDescent="0.25">
      <c r="W2187" s="111"/>
    </row>
    <row r="2188" spans="23:23" x14ac:dyDescent="0.25">
      <c r="W2188" s="111"/>
    </row>
    <row r="2189" spans="23:23" x14ac:dyDescent="0.25">
      <c r="W2189" s="111"/>
    </row>
    <row r="2190" spans="23:23" x14ac:dyDescent="0.25">
      <c r="W2190" s="111"/>
    </row>
    <row r="2191" spans="23:23" x14ac:dyDescent="0.25">
      <c r="W2191" s="111"/>
    </row>
    <row r="2192" spans="23:23" x14ac:dyDescent="0.25">
      <c r="W2192" s="111"/>
    </row>
    <row r="2193" spans="23:23" x14ac:dyDescent="0.25">
      <c r="W2193" s="111"/>
    </row>
    <row r="2194" spans="23:23" x14ac:dyDescent="0.25">
      <c r="W2194" s="111"/>
    </row>
    <row r="2195" spans="23:23" x14ac:dyDescent="0.25">
      <c r="W2195" s="111"/>
    </row>
    <row r="2196" spans="23:23" x14ac:dyDescent="0.25">
      <c r="W2196" s="111"/>
    </row>
    <row r="2197" spans="23:23" x14ac:dyDescent="0.25">
      <c r="W2197" s="111"/>
    </row>
    <row r="2198" spans="23:23" x14ac:dyDescent="0.25">
      <c r="W2198" s="111"/>
    </row>
    <row r="2199" spans="23:23" x14ac:dyDescent="0.25">
      <c r="W2199" s="111"/>
    </row>
    <row r="2200" spans="23:23" x14ac:dyDescent="0.25">
      <c r="W2200" s="111"/>
    </row>
    <row r="2201" spans="23:23" x14ac:dyDescent="0.25">
      <c r="W2201" s="111"/>
    </row>
    <row r="2202" spans="23:23" x14ac:dyDescent="0.25">
      <c r="W2202" s="111"/>
    </row>
    <row r="2203" spans="23:23" x14ac:dyDescent="0.25">
      <c r="W2203" s="111"/>
    </row>
    <row r="2204" spans="23:23" x14ac:dyDescent="0.25">
      <c r="W2204" s="111"/>
    </row>
    <row r="2205" spans="23:23" x14ac:dyDescent="0.25">
      <c r="W2205" s="111"/>
    </row>
    <row r="2206" spans="23:23" x14ac:dyDescent="0.25">
      <c r="W2206" s="111"/>
    </row>
    <row r="2207" spans="23:23" x14ac:dyDescent="0.25">
      <c r="W2207" s="111"/>
    </row>
    <row r="2208" spans="23:23" x14ac:dyDescent="0.25">
      <c r="W2208" s="111"/>
    </row>
    <row r="2209" spans="23:23" x14ac:dyDescent="0.25">
      <c r="W2209" s="111"/>
    </row>
    <row r="2210" spans="23:23" x14ac:dyDescent="0.25">
      <c r="W2210" s="111"/>
    </row>
    <row r="2211" spans="23:23" x14ac:dyDescent="0.25">
      <c r="W2211" s="111"/>
    </row>
    <row r="2212" spans="23:23" x14ac:dyDescent="0.25">
      <c r="W2212" s="111"/>
    </row>
    <row r="2213" spans="23:23" x14ac:dyDescent="0.25">
      <c r="W2213" s="111"/>
    </row>
    <row r="2214" spans="23:23" x14ac:dyDescent="0.25">
      <c r="W2214" s="111"/>
    </row>
    <row r="2215" spans="23:23" x14ac:dyDescent="0.25">
      <c r="W2215" s="111"/>
    </row>
    <row r="2216" spans="23:23" x14ac:dyDescent="0.25">
      <c r="W2216" s="111"/>
    </row>
    <row r="2217" spans="23:23" x14ac:dyDescent="0.25">
      <c r="W2217" s="111"/>
    </row>
    <row r="2218" spans="23:23" x14ac:dyDescent="0.25">
      <c r="W2218" s="111"/>
    </row>
    <row r="2219" spans="23:23" x14ac:dyDescent="0.25">
      <c r="W2219" s="111"/>
    </row>
    <row r="2220" spans="23:23" x14ac:dyDescent="0.25">
      <c r="W2220" s="111"/>
    </row>
    <row r="2221" spans="23:23" x14ac:dyDescent="0.25">
      <c r="W2221" s="111"/>
    </row>
    <row r="2222" spans="23:23" x14ac:dyDescent="0.25">
      <c r="W2222" s="111"/>
    </row>
    <row r="2223" spans="23:23" x14ac:dyDescent="0.25">
      <c r="W2223" s="111"/>
    </row>
    <row r="2224" spans="23:23" x14ac:dyDescent="0.25">
      <c r="W2224" s="111"/>
    </row>
    <row r="2225" spans="23:23" x14ac:dyDescent="0.25">
      <c r="W2225" s="111"/>
    </row>
    <row r="2226" spans="23:23" x14ac:dyDescent="0.25">
      <c r="W2226" s="111"/>
    </row>
    <row r="2227" spans="23:23" x14ac:dyDescent="0.25">
      <c r="W2227" s="111"/>
    </row>
    <row r="2228" spans="23:23" x14ac:dyDescent="0.25">
      <c r="W2228" s="111"/>
    </row>
    <row r="2229" spans="23:23" x14ac:dyDescent="0.25">
      <c r="W2229" s="111"/>
    </row>
    <row r="2230" spans="23:23" x14ac:dyDescent="0.25">
      <c r="W2230" s="111"/>
    </row>
    <row r="2231" spans="23:23" x14ac:dyDescent="0.25">
      <c r="W2231" s="111"/>
    </row>
    <row r="2232" spans="23:23" x14ac:dyDescent="0.25">
      <c r="W2232" s="111"/>
    </row>
    <row r="2233" spans="23:23" x14ac:dyDescent="0.25">
      <c r="W2233" s="111"/>
    </row>
    <row r="2234" spans="23:23" x14ac:dyDescent="0.25">
      <c r="W2234" s="111"/>
    </row>
    <row r="2235" spans="23:23" x14ac:dyDescent="0.25">
      <c r="W2235" s="111"/>
    </row>
    <row r="2236" spans="23:23" x14ac:dyDescent="0.25">
      <c r="W2236" s="111"/>
    </row>
    <row r="2237" spans="23:23" x14ac:dyDescent="0.25">
      <c r="W2237" s="111"/>
    </row>
    <row r="2238" spans="23:23" x14ac:dyDescent="0.25">
      <c r="W2238" s="111"/>
    </row>
    <row r="2239" spans="23:23" x14ac:dyDescent="0.25">
      <c r="W2239" s="111"/>
    </row>
    <row r="2240" spans="23:23" x14ac:dyDescent="0.25">
      <c r="W2240" s="111"/>
    </row>
    <row r="2241" spans="23:23" x14ac:dyDescent="0.25">
      <c r="W2241" s="111"/>
    </row>
    <row r="2242" spans="23:23" x14ac:dyDescent="0.25">
      <c r="W2242" s="111"/>
    </row>
    <row r="2243" spans="23:23" x14ac:dyDescent="0.25">
      <c r="W2243" s="111"/>
    </row>
    <row r="2244" spans="23:23" x14ac:dyDescent="0.25">
      <c r="W2244" s="111"/>
    </row>
    <row r="2245" spans="23:23" x14ac:dyDescent="0.25">
      <c r="W2245" s="111"/>
    </row>
    <row r="2246" spans="23:23" x14ac:dyDescent="0.25">
      <c r="W2246" s="111"/>
    </row>
    <row r="2247" spans="23:23" x14ac:dyDescent="0.25">
      <c r="W2247" s="111"/>
    </row>
    <row r="2248" spans="23:23" x14ac:dyDescent="0.25">
      <c r="W2248" s="111"/>
    </row>
    <row r="2249" spans="23:23" x14ac:dyDescent="0.25">
      <c r="W2249" s="111"/>
    </row>
    <row r="2250" spans="23:23" x14ac:dyDescent="0.25">
      <c r="W2250" s="111"/>
    </row>
    <row r="2251" spans="23:23" x14ac:dyDescent="0.25">
      <c r="W2251" s="111"/>
    </row>
    <row r="2252" spans="23:23" x14ac:dyDescent="0.25">
      <c r="W2252" s="111"/>
    </row>
    <row r="2253" spans="23:23" x14ac:dyDescent="0.25">
      <c r="W2253" s="111"/>
    </row>
    <row r="2254" spans="23:23" x14ac:dyDescent="0.25">
      <c r="W2254" s="111"/>
    </row>
    <row r="2255" spans="23:23" x14ac:dyDescent="0.25">
      <c r="W2255" s="111"/>
    </row>
    <row r="2256" spans="23:23" x14ac:dyDescent="0.25">
      <c r="W2256" s="111"/>
    </row>
    <row r="2257" spans="23:23" x14ac:dyDescent="0.25">
      <c r="W2257" s="111"/>
    </row>
    <row r="2258" spans="23:23" x14ac:dyDescent="0.25">
      <c r="W2258" s="111"/>
    </row>
    <row r="2259" spans="23:23" x14ac:dyDescent="0.25">
      <c r="W2259" s="111"/>
    </row>
    <row r="2260" spans="23:23" x14ac:dyDescent="0.25">
      <c r="W2260" s="111"/>
    </row>
    <row r="2261" spans="23:23" x14ac:dyDescent="0.25">
      <c r="W2261" s="111"/>
    </row>
    <row r="2262" spans="23:23" x14ac:dyDescent="0.25">
      <c r="W2262" s="111"/>
    </row>
    <row r="2263" spans="23:23" x14ac:dyDescent="0.25">
      <c r="W2263" s="111"/>
    </row>
    <row r="2264" spans="23:23" x14ac:dyDescent="0.25">
      <c r="W2264" s="111"/>
    </row>
    <row r="2265" spans="23:23" x14ac:dyDescent="0.25">
      <c r="W2265" s="111"/>
    </row>
    <row r="2266" spans="23:23" x14ac:dyDescent="0.25">
      <c r="W2266" s="111"/>
    </row>
    <row r="2267" spans="23:23" x14ac:dyDescent="0.25">
      <c r="W2267" s="111"/>
    </row>
    <row r="2268" spans="23:23" x14ac:dyDescent="0.25">
      <c r="W2268" s="111"/>
    </row>
    <row r="2269" spans="23:23" x14ac:dyDescent="0.25">
      <c r="W2269" s="111"/>
    </row>
    <row r="2270" spans="23:23" x14ac:dyDescent="0.25">
      <c r="W2270" s="111"/>
    </row>
    <row r="2271" spans="23:23" x14ac:dyDescent="0.25">
      <c r="W2271" s="111"/>
    </row>
    <row r="2272" spans="23:23" x14ac:dyDescent="0.25">
      <c r="W2272" s="111"/>
    </row>
    <row r="2273" spans="23:23" x14ac:dyDescent="0.25">
      <c r="W2273" s="111"/>
    </row>
    <row r="2274" spans="23:23" x14ac:dyDescent="0.25">
      <c r="W2274" s="111"/>
    </row>
    <row r="2275" spans="23:23" x14ac:dyDescent="0.25">
      <c r="W2275" s="111"/>
    </row>
    <row r="2276" spans="23:23" x14ac:dyDescent="0.25">
      <c r="W2276" s="111"/>
    </row>
    <row r="2277" spans="23:23" x14ac:dyDescent="0.25">
      <c r="W2277" s="111"/>
    </row>
    <row r="2278" spans="23:23" x14ac:dyDescent="0.25">
      <c r="W2278" s="111"/>
    </row>
    <row r="2279" spans="23:23" x14ac:dyDescent="0.25">
      <c r="W2279" s="111"/>
    </row>
    <row r="2280" spans="23:23" x14ac:dyDescent="0.25">
      <c r="W2280" s="111"/>
    </row>
    <row r="2281" spans="23:23" x14ac:dyDescent="0.25">
      <c r="W2281" s="111"/>
    </row>
    <row r="2282" spans="23:23" x14ac:dyDescent="0.25">
      <c r="W2282" s="111"/>
    </row>
    <row r="2283" spans="23:23" x14ac:dyDescent="0.25">
      <c r="W2283" s="111"/>
    </row>
    <row r="2284" spans="23:23" x14ac:dyDescent="0.25">
      <c r="W2284" s="111"/>
    </row>
    <row r="2285" spans="23:23" x14ac:dyDescent="0.25">
      <c r="W2285" s="111"/>
    </row>
    <row r="2286" spans="23:23" x14ac:dyDescent="0.25">
      <c r="W2286" s="111"/>
    </row>
    <row r="2287" spans="23:23" x14ac:dyDescent="0.25">
      <c r="W2287" s="111"/>
    </row>
    <row r="2288" spans="23:23" x14ac:dyDescent="0.25">
      <c r="W2288" s="111"/>
    </row>
    <row r="2289" spans="23:23" x14ac:dyDescent="0.25">
      <c r="W2289" s="111"/>
    </row>
    <row r="2290" spans="23:23" x14ac:dyDescent="0.25">
      <c r="W2290" s="111"/>
    </row>
    <row r="2291" spans="23:23" x14ac:dyDescent="0.25">
      <c r="W2291" s="111"/>
    </row>
    <row r="2292" spans="23:23" x14ac:dyDescent="0.25">
      <c r="W2292" s="111"/>
    </row>
    <row r="2293" spans="23:23" x14ac:dyDescent="0.25">
      <c r="W2293" s="111"/>
    </row>
    <row r="2294" spans="23:23" x14ac:dyDescent="0.25">
      <c r="W2294" s="111"/>
    </row>
    <row r="2295" spans="23:23" x14ac:dyDescent="0.25">
      <c r="W2295" s="111"/>
    </row>
    <row r="2296" spans="23:23" x14ac:dyDescent="0.25">
      <c r="W2296" s="111"/>
    </row>
    <row r="2297" spans="23:23" x14ac:dyDescent="0.25">
      <c r="W2297" s="111"/>
    </row>
    <row r="2298" spans="23:23" x14ac:dyDescent="0.25">
      <c r="W2298" s="111"/>
    </row>
    <row r="2299" spans="23:23" x14ac:dyDescent="0.25">
      <c r="W2299" s="111"/>
    </row>
    <row r="2300" spans="23:23" x14ac:dyDescent="0.25">
      <c r="W2300" s="111"/>
    </row>
    <row r="2301" spans="23:23" x14ac:dyDescent="0.25">
      <c r="W2301" s="111"/>
    </row>
    <row r="2302" spans="23:23" x14ac:dyDescent="0.25">
      <c r="W2302" s="111"/>
    </row>
    <row r="2303" spans="23:23" x14ac:dyDescent="0.25">
      <c r="W2303" s="111"/>
    </row>
    <row r="2304" spans="23:23" x14ac:dyDescent="0.25">
      <c r="W2304" s="111"/>
    </row>
    <row r="2305" spans="23:23" x14ac:dyDescent="0.25">
      <c r="W2305" s="111"/>
    </row>
    <row r="2306" spans="23:23" x14ac:dyDescent="0.25">
      <c r="W2306" s="111"/>
    </row>
    <row r="2307" spans="23:23" x14ac:dyDescent="0.25">
      <c r="W2307" s="111"/>
    </row>
    <row r="2308" spans="23:23" x14ac:dyDescent="0.25">
      <c r="W2308" s="111"/>
    </row>
    <row r="2309" spans="23:23" x14ac:dyDescent="0.25">
      <c r="W2309" s="111"/>
    </row>
    <row r="2310" spans="23:23" x14ac:dyDescent="0.25">
      <c r="W2310" s="111"/>
    </row>
    <row r="2311" spans="23:23" x14ac:dyDescent="0.25">
      <c r="W2311" s="111"/>
    </row>
    <row r="2312" spans="23:23" x14ac:dyDescent="0.25">
      <c r="W2312" s="111"/>
    </row>
    <row r="2313" spans="23:23" x14ac:dyDescent="0.25">
      <c r="W2313" s="111"/>
    </row>
    <row r="2314" spans="23:23" x14ac:dyDescent="0.25">
      <c r="W2314" s="111"/>
    </row>
    <row r="2315" spans="23:23" x14ac:dyDescent="0.25">
      <c r="W2315" s="111"/>
    </row>
    <row r="2316" spans="23:23" x14ac:dyDescent="0.25">
      <c r="W2316" s="111"/>
    </row>
    <row r="2317" spans="23:23" x14ac:dyDescent="0.25">
      <c r="W2317" s="111"/>
    </row>
    <row r="2318" spans="23:23" x14ac:dyDescent="0.25">
      <c r="W2318" s="111"/>
    </row>
    <row r="2319" spans="23:23" x14ac:dyDescent="0.25">
      <c r="W2319" s="111"/>
    </row>
    <row r="2320" spans="23:23" x14ac:dyDescent="0.25">
      <c r="W2320" s="111"/>
    </row>
    <row r="2321" spans="23:23" x14ac:dyDescent="0.25">
      <c r="W2321" s="111"/>
    </row>
    <row r="2322" spans="23:23" x14ac:dyDescent="0.25">
      <c r="W2322" s="111"/>
    </row>
    <row r="2323" spans="23:23" x14ac:dyDescent="0.25">
      <c r="W2323" s="111"/>
    </row>
    <row r="2324" spans="23:23" x14ac:dyDescent="0.25">
      <c r="W2324" s="111"/>
    </row>
    <row r="2325" spans="23:23" x14ac:dyDescent="0.25">
      <c r="W2325" s="111"/>
    </row>
    <row r="2326" spans="23:23" x14ac:dyDescent="0.25">
      <c r="W2326" s="111"/>
    </row>
    <row r="2327" spans="23:23" x14ac:dyDescent="0.25">
      <c r="W2327" s="111"/>
    </row>
    <row r="2328" spans="23:23" x14ac:dyDescent="0.25">
      <c r="W2328" s="111"/>
    </row>
    <row r="2329" spans="23:23" x14ac:dyDescent="0.25">
      <c r="W2329" s="111"/>
    </row>
    <row r="2330" spans="23:23" x14ac:dyDescent="0.25">
      <c r="W2330" s="111"/>
    </row>
    <row r="2331" spans="23:23" x14ac:dyDescent="0.25">
      <c r="W2331" s="111"/>
    </row>
    <row r="2332" spans="23:23" x14ac:dyDescent="0.25">
      <c r="W2332" s="111"/>
    </row>
    <row r="2333" spans="23:23" x14ac:dyDescent="0.25">
      <c r="W2333" s="111"/>
    </row>
    <row r="2334" spans="23:23" x14ac:dyDescent="0.25">
      <c r="W2334" s="111"/>
    </row>
    <row r="2335" spans="23:23" x14ac:dyDescent="0.25">
      <c r="W2335" s="111"/>
    </row>
    <row r="2336" spans="23:23" x14ac:dyDescent="0.25">
      <c r="W2336" s="111"/>
    </row>
    <row r="2337" spans="23:23" x14ac:dyDescent="0.25">
      <c r="W2337" s="111"/>
    </row>
    <row r="2338" spans="23:23" x14ac:dyDescent="0.25">
      <c r="W2338" s="111"/>
    </row>
    <row r="2339" spans="23:23" x14ac:dyDescent="0.25">
      <c r="W2339" s="111"/>
    </row>
    <row r="2340" spans="23:23" x14ac:dyDescent="0.25">
      <c r="W2340" s="111"/>
    </row>
    <row r="2341" spans="23:23" x14ac:dyDescent="0.25">
      <c r="W2341" s="111"/>
    </row>
    <row r="2342" spans="23:23" x14ac:dyDescent="0.25">
      <c r="W2342" s="111"/>
    </row>
    <row r="2343" spans="23:23" x14ac:dyDescent="0.25">
      <c r="W2343" s="111"/>
    </row>
    <row r="2344" spans="23:23" x14ac:dyDescent="0.25">
      <c r="W2344" s="111"/>
    </row>
    <row r="2345" spans="23:23" x14ac:dyDescent="0.25">
      <c r="W2345" s="111"/>
    </row>
    <row r="2346" spans="23:23" x14ac:dyDescent="0.25">
      <c r="W2346" s="111"/>
    </row>
    <row r="2347" spans="23:23" x14ac:dyDescent="0.25">
      <c r="W2347" s="111"/>
    </row>
    <row r="2348" spans="23:23" x14ac:dyDescent="0.25">
      <c r="W2348" s="111"/>
    </row>
    <row r="2349" spans="23:23" x14ac:dyDescent="0.25">
      <c r="W2349" s="111"/>
    </row>
    <row r="2350" spans="23:23" x14ac:dyDescent="0.25">
      <c r="W2350" s="111"/>
    </row>
    <row r="2351" spans="23:23" x14ac:dyDescent="0.25">
      <c r="W2351" s="111"/>
    </row>
    <row r="2352" spans="23:23" x14ac:dyDescent="0.25">
      <c r="W2352" s="111"/>
    </row>
    <row r="2353" spans="23:23" x14ac:dyDescent="0.25">
      <c r="W2353" s="111"/>
    </row>
    <row r="2354" spans="23:23" x14ac:dyDescent="0.25">
      <c r="W2354" s="111"/>
    </row>
    <row r="2355" spans="23:23" x14ac:dyDescent="0.25">
      <c r="W2355" s="111"/>
    </row>
    <row r="2356" spans="23:23" x14ac:dyDescent="0.25">
      <c r="W2356" s="111"/>
    </row>
    <row r="2357" spans="23:23" x14ac:dyDescent="0.25">
      <c r="W2357" s="111"/>
    </row>
    <row r="2358" spans="23:23" x14ac:dyDescent="0.25">
      <c r="W2358" s="111"/>
    </row>
    <row r="2359" spans="23:23" x14ac:dyDescent="0.25">
      <c r="W2359" s="111"/>
    </row>
    <row r="2360" spans="23:23" x14ac:dyDescent="0.25">
      <c r="W2360" s="111"/>
    </row>
    <row r="2361" spans="23:23" x14ac:dyDescent="0.25">
      <c r="W2361" s="111"/>
    </row>
    <row r="2362" spans="23:23" x14ac:dyDescent="0.25">
      <c r="W2362" s="111"/>
    </row>
    <row r="2363" spans="23:23" x14ac:dyDescent="0.25">
      <c r="W2363" s="111"/>
    </row>
    <row r="2364" spans="23:23" x14ac:dyDescent="0.25">
      <c r="W2364" s="111"/>
    </row>
    <row r="2365" spans="23:23" x14ac:dyDescent="0.25">
      <c r="W2365" s="111"/>
    </row>
    <row r="2366" spans="23:23" x14ac:dyDescent="0.25">
      <c r="W2366" s="111"/>
    </row>
    <row r="2367" spans="23:23" x14ac:dyDescent="0.25">
      <c r="W2367" s="111"/>
    </row>
    <row r="2368" spans="23:23" x14ac:dyDescent="0.25">
      <c r="W2368" s="111"/>
    </row>
    <row r="2369" spans="23:23" x14ac:dyDescent="0.25">
      <c r="W2369" s="111"/>
    </row>
    <row r="2370" spans="23:23" x14ac:dyDescent="0.25">
      <c r="W2370" s="111"/>
    </row>
    <row r="2371" spans="23:23" x14ac:dyDescent="0.25">
      <c r="W2371" s="111"/>
    </row>
    <row r="2372" spans="23:23" x14ac:dyDescent="0.25">
      <c r="W2372" s="111"/>
    </row>
    <row r="2373" spans="23:23" x14ac:dyDescent="0.25">
      <c r="W2373" s="111"/>
    </row>
    <row r="2374" spans="23:23" x14ac:dyDescent="0.25">
      <c r="W2374" s="111"/>
    </row>
    <row r="2375" spans="23:23" x14ac:dyDescent="0.25">
      <c r="W2375" s="111"/>
    </row>
    <row r="2376" spans="23:23" x14ac:dyDescent="0.25">
      <c r="W2376" s="111"/>
    </row>
    <row r="2377" spans="23:23" x14ac:dyDescent="0.25">
      <c r="W2377" s="111"/>
    </row>
    <row r="2378" spans="23:23" x14ac:dyDescent="0.25">
      <c r="W2378" s="111"/>
    </row>
    <row r="2379" spans="23:23" x14ac:dyDescent="0.25">
      <c r="W2379" s="111"/>
    </row>
    <row r="2380" spans="23:23" x14ac:dyDescent="0.25">
      <c r="W2380" s="111"/>
    </row>
    <row r="2381" spans="23:23" x14ac:dyDescent="0.25">
      <c r="W2381" s="111"/>
    </row>
    <row r="2382" spans="23:23" x14ac:dyDescent="0.25">
      <c r="W2382" s="111"/>
    </row>
    <row r="2383" spans="23:23" x14ac:dyDescent="0.25">
      <c r="W2383" s="111"/>
    </row>
    <row r="2384" spans="23:23" x14ac:dyDescent="0.25">
      <c r="W2384" s="111"/>
    </row>
    <row r="2385" spans="23:23" x14ac:dyDescent="0.25">
      <c r="W2385" s="111"/>
    </row>
    <row r="2386" spans="23:23" x14ac:dyDescent="0.25">
      <c r="W2386" s="111"/>
    </row>
    <row r="2387" spans="23:23" x14ac:dyDescent="0.25">
      <c r="W2387" s="111"/>
    </row>
    <row r="2388" spans="23:23" x14ac:dyDescent="0.25">
      <c r="W2388" s="111"/>
    </row>
    <row r="2389" spans="23:23" x14ac:dyDescent="0.25">
      <c r="W2389" s="111"/>
    </row>
    <row r="2390" spans="23:23" x14ac:dyDescent="0.25">
      <c r="W2390" s="111"/>
    </row>
    <row r="2391" spans="23:23" x14ac:dyDescent="0.25">
      <c r="W2391" s="111"/>
    </row>
    <row r="2392" spans="23:23" x14ac:dyDescent="0.25">
      <c r="W2392" s="111"/>
    </row>
    <row r="2393" spans="23:23" x14ac:dyDescent="0.25">
      <c r="W2393" s="111"/>
    </row>
    <row r="2394" spans="23:23" x14ac:dyDescent="0.25">
      <c r="W2394" s="111"/>
    </row>
    <row r="2395" spans="23:23" x14ac:dyDescent="0.25">
      <c r="W2395" s="111"/>
    </row>
    <row r="2396" spans="23:23" x14ac:dyDescent="0.25">
      <c r="W2396" s="111"/>
    </row>
    <row r="2397" spans="23:23" x14ac:dyDescent="0.25">
      <c r="W2397" s="111"/>
    </row>
    <row r="2398" spans="23:23" x14ac:dyDescent="0.25">
      <c r="W2398" s="111"/>
    </row>
    <row r="2399" spans="23:23" x14ac:dyDescent="0.25">
      <c r="W2399" s="111"/>
    </row>
    <row r="2400" spans="23:23" x14ac:dyDescent="0.25">
      <c r="W2400" s="111"/>
    </row>
    <row r="2401" spans="23:23" x14ac:dyDescent="0.25">
      <c r="W2401" s="111"/>
    </row>
    <row r="2402" spans="23:23" x14ac:dyDescent="0.25">
      <c r="W2402" s="111"/>
    </row>
    <row r="2403" spans="23:23" x14ac:dyDescent="0.25">
      <c r="W2403" s="111"/>
    </row>
    <row r="2404" spans="23:23" x14ac:dyDescent="0.25">
      <c r="W2404" s="111"/>
    </row>
    <row r="2405" spans="23:23" x14ac:dyDescent="0.25">
      <c r="W2405" s="111"/>
    </row>
    <row r="2406" spans="23:23" x14ac:dyDescent="0.25">
      <c r="W2406" s="111"/>
    </row>
    <row r="2407" spans="23:23" x14ac:dyDescent="0.25">
      <c r="W2407" s="111"/>
    </row>
    <row r="2408" spans="23:23" x14ac:dyDescent="0.25">
      <c r="W2408" s="111"/>
    </row>
    <row r="2409" spans="23:23" x14ac:dyDescent="0.25">
      <c r="W2409" s="111"/>
    </row>
    <row r="2410" spans="23:23" x14ac:dyDescent="0.25">
      <c r="W2410" s="111"/>
    </row>
    <row r="2411" spans="23:23" x14ac:dyDescent="0.25">
      <c r="W2411" s="111"/>
    </row>
    <row r="2412" spans="23:23" x14ac:dyDescent="0.25">
      <c r="W2412" s="111"/>
    </row>
    <row r="2413" spans="23:23" x14ac:dyDescent="0.25">
      <c r="W2413" s="111"/>
    </row>
    <row r="2414" spans="23:23" x14ac:dyDescent="0.25">
      <c r="W2414" s="111"/>
    </row>
    <row r="2415" spans="23:23" x14ac:dyDescent="0.25">
      <c r="W2415" s="111"/>
    </row>
    <row r="2416" spans="23:23" x14ac:dyDescent="0.25">
      <c r="W2416" s="111"/>
    </row>
    <row r="2417" spans="23:23" x14ac:dyDescent="0.25">
      <c r="W2417" s="111"/>
    </row>
    <row r="2418" spans="23:23" x14ac:dyDescent="0.25">
      <c r="W2418" s="111"/>
    </row>
    <row r="2419" spans="23:23" x14ac:dyDescent="0.25">
      <c r="W2419" s="111"/>
    </row>
    <row r="2420" spans="23:23" x14ac:dyDescent="0.25">
      <c r="W2420" s="111"/>
    </row>
    <row r="2421" spans="23:23" x14ac:dyDescent="0.25">
      <c r="W2421" s="111"/>
    </row>
    <row r="2422" spans="23:23" x14ac:dyDescent="0.25">
      <c r="W2422" s="111"/>
    </row>
    <row r="2423" spans="23:23" x14ac:dyDescent="0.25">
      <c r="W2423" s="111"/>
    </row>
    <row r="2424" spans="23:23" x14ac:dyDescent="0.25">
      <c r="W2424" s="111"/>
    </row>
    <row r="2425" spans="23:23" x14ac:dyDescent="0.25">
      <c r="W2425" s="111"/>
    </row>
    <row r="2426" spans="23:23" x14ac:dyDescent="0.25">
      <c r="W2426" s="111"/>
    </row>
    <row r="2427" spans="23:23" x14ac:dyDescent="0.25">
      <c r="W2427" s="111"/>
    </row>
    <row r="2428" spans="23:23" x14ac:dyDescent="0.25">
      <c r="W2428" s="111"/>
    </row>
    <row r="2429" spans="23:23" x14ac:dyDescent="0.25">
      <c r="W2429" s="111"/>
    </row>
    <row r="2430" spans="23:23" x14ac:dyDescent="0.25">
      <c r="W2430" s="111"/>
    </row>
    <row r="2431" spans="23:23" x14ac:dyDescent="0.25">
      <c r="W2431" s="111"/>
    </row>
    <row r="2432" spans="23:23" x14ac:dyDescent="0.25">
      <c r="W2432" s="111"/>
    </row>
    <row r="2433" spans="23:23" x14ac:dyDescent="0.25">
      <c r="W2433" s="111"/>
    </row>
    <row r="2434" spans="23:23" x14ac:dyDescent="0.25">
      <c r="W2434" s="111"/>
    </row>
    <row r="2435" spans="23:23" x14ac:dyDescent="0.25">
      <c r="W2435" s="111"/>
    </row>
    <row r="2436" spans="23:23" x14ac:dyDescent="0.25">
      <c r="W2436" s="111"/>
    </row>
    <row r="2437" spans="23:23" x14ac:dyDescent="0.25">
      <c r="W2437" s="111"/>
    </row>
    <row r="2438" spans="23:23" x14ac:dyDescent="0.25">
      <c r="W2438" s="111"/>
    </row>
    <row r="2439" spans="23:23" x14ac:dyDescent="0.25">
      <c r="W2439" s="111"/>
    </row>
    <row r="2440" spans="23:23" x14ac:dyDescent="0.25">
      <c r="W2440" s="111"/>
    </row>
    <row r="2441" spans="23:23" x14ac:dyDescent="0.25">
      <c r="W2441" s="111"/>
    </row>
    <row r="2442" spans="23:23" x14ac:dyDescent="0.25">
      <c r="W2442" s="111"/>
    </row>
    <row r="2443" spans="23:23" x14ac:dyDescent="0.25">
      <c r="W2443" s="111"/>
    </row>
    <row r="2444" spans="23:23" x14ac:dyDescent="0.25">
      <c r="W2444" s="111"/>
    </row>
    <row r="2445" spans="23:23" x14ac:dyDescent="0.25">
      <c r="W2445" s="111"/>
    </row>
    <row r="2446" spans="23:23" x14ac:dyDescent="0.25">
      <c r="W2446" s="111"/>
    </row>
    <row r="2447" spans="23:23" x14ac:dyDescent="0.25">
      <c r="W2447" s="111"/>
    </row>
    <row r="2448" spans="23:23" x14ac:dyDescent="0.25">
      <c r="W2448" s="111"/>
    </row>
    <row r="2449" spans="23:23" x14ac:dyDescent="0.25">
      <c r="W2449" s="111"/>
    </row>
    <row r="2450" spans="23:23" x14ac:dyDescent="0.25">
      <c r="W2450" s="111"/>
    </row>
    <row r="2451" spans="23:23" x14ac:dyDescent="0.25">
      <c r="W2451" s="111"/>
    </row>
    <row r="2452" spans="23:23" x14ac:dyDescent="0.25">
      <c r="W2452" s="111"/>
    </row>
    <row r="2453" spans="23:23" x14ac:dyDescent="0.25">
      <c r="W2453" s="111"/>
    </row>
    <row r="2454" spans="23:23" x14ac:dyDescent="0.25">
      <c r="W2454" s="111"/>
    </row>
    <row r="2455" spans="23:23" x14ac:dyDescent="0.25">
      <c r="W2455" s="111"/>
    </row>
    <row r="2456" spans="23:23" x14ac:dyDescent="0.25">
      <c r="W2456" s="111"/>
    </row>
    <row r="2457" spans="23:23" x14ac:dyDescent="0.25">
      <c r="W2457" s="111"/>
    </row>
    <row r="2458" spans="23:23" x14ac:dyDescent="0.25">
      <c r="W2458" s="111"/>
    </row>
    <row r="2459" spans="23:23" x14ac:dyDescent="0.25">
      <c r="W2459" s="111"/>
    </row>
    <row r="2460" spans="23:23" x14ac:dyDescent="0.25">
      <c r="W2460" s="111"/>
    </row>
    <row r="2461" spans="23:23" x14ac:dyDescent="0.25">
      <c r="W2461" s="111"/>
    </row>
    <row r="2462" spans="23:23" x14ac:dyDescent="0.25">
      <c r="W2462" s="111"/>
    </row>
    <row r="2463" spans="23:23" x14ac:dyDescent="0.25">
      <c r="W2463" s="111"/>
    </row>
    <row r="2464" spans="23:23" x14ac:dyDescent="0.25">
      <c r="W2464" s="111"/>
    </row>
    <row r="2465" spans="23:23" x14ac:dyDescent="0.25">
      <c r="W2465" s="111"/>
    </row>
    <row r="2466" spans="23:23" x14ac:dyDescent="0.25">
      <c r="W2466" s="111"/>
    </row>
    <row r="2467" spans="23:23" x14ac:dyDescent="0.25">
      <c r="W2467" s="111"/>
    </row>
    <row r="2468" spans="23:23" x14ac:dyDescent="0.25">
      <c r="W2468" s="111"/>
    </row>
    <row r="2469" spans="23:23" x14ac:dyDescent="0.25">
      <c r="W2469" s="111"/>
    </row>
    <row r="2470" spans="23:23" x14ac:dyDescent="0.25">
      <c r="W2470" s="111"/>
    </row>
    <row r="2471" spans="23:23" x14ac:dyDescent="0.25">
      <c r="W2471" s="111"/>
    </row>
    <row r="2472" spans="23:23" x14ac:dyDescent="0.25">
      <c r="W2472" s="111"/>
    </row>
    <row r="2473" spans="23:23" x14ac:dyDescent="0.25">
      <c r="W2473" s="111"/>
    </row>
    <row r="2474" spans="23:23" x14ac:dyDescent="0.25">
      <c r="W2474" s="111"/>
    </row>
    <row r="2475" spans="23:23" x14ac:dyDescent="0.25">
      <c r="W2475" s="111"/>
    </row>
    <row r="2476" spans="23:23" x14ac:dyDescent="0.25">
      <c r="W2476" s="111"/>
    </row>
    <row r="2477" spans="23:23" x14ac:dyDescent="0.25">
      <c r="W2477" s="111"/>
    </row>
    <row r="2478" spans="23:23" x14ac:dyDescent="0.25">
      <c r="W2478" s="111"/>
    </row>
    <row r="2479" spans="23:23" x14ac:dyDescent="0.25">
      <c r="W2479" s="111"/>
    </row>
    <row r="2480" spans="23:23" x14ac:dyDescent="0.25">
      <c r="W2480" s="111"/>
    </row>
    <row r="2481" spans="23:23" x14ac:dyDescent="0.25">
      <c r="W2481" s="111"/>
    </row>
    <row r="2482" spans="23:23" x14ac:dyDescent="0.25">
      <c r="W2482" s="111"/>
    </row>
    <row r="2483" spans="23:23" x14ac:dyDescent="0.25">
      <c r="W2483" s="111"/>
    </row>
    <row r="2484" spans="23:23" x14ac:dyDescent="0.25">
      <c r="W2484" s="111"/>
    </row>
    <row r="2485" spans="23:23" x14ac:dyDescent="0.25">
      <c r="W2485" s="111"/>
    </row>
    <row r="2486" spans="23:23" x14ac:dyDescent="0.25">
      <c r="W2486" s="111"/>
    </row>
    <row r="2487" spans="23:23" x14ac:dyDescent="0.25">
      <c r="W2487" s="111"/>
    </row>
    <row r="2488" spans="23:23" x14ac:dyDescent="0.25">
      <c r="W2488" s="111"/>
    </row>
    <row r="2489" spans="23:23" x14ac:dyDescent="0.25">
      <c r="W2489" s="111"/>
    </row>
    <row r="2490" spans="23:23" x14ac:dyDescent="0.25">
      <c r="W2490" s="111"/>
    </row>
    <row r="2491" spans="23:23" x14ac:dyDescent="0.25">
      <c r="W2491" s="111"/>
    </row>
    <row r="2492" spans="23:23" x14ac:dyDescent="0.25">
      <c r="W2492" s="111"/>
    </row>
    <row r="2493" spans="23:23" x14ac:dyDescent="0.25">
      <c r="W2493" s="111"/>
    </row>
    <row r="2494" spans="23:23" x14ac:dyDescent="0.25">
      <c r="W2494" s="111"/>
    </row>
    <row r="2495" spans="23:23" x14ac:dyDescent="0.25">
      <c r="W2495" s="111"/>
    </row>
    <row r="2496" spans="23:23" x14ac:dyDescent="0.25">
      <c r="W2496" s="111"/>
    </row>
    <row r="2497" spans="23:23" x14ac:dyDescent="0.25">
      <c r="W2497" s="111"/>
    </row>
    <row r="2498" spans="23:23" x14ac:dyDescent="0.25">
      <c r="W2498" s="111"/>
    </row>
    <row r="2499" spans="23:23" x14ac:dyDescent="0.25">
      <c r="W2499" s="111"/>
    </row>
    <row r="2500" spans="23:23" x14ac:dyDescent="0.25">
      <c r="W2500" s="111"/>
    </row>
    <row r="2501" spans="23:23" x14ac:dyDescent="0.25">
      <c r="W2501" s="111"/>
    </row>
    <row r="2502" spans="23:23" x14ac:dyDescent="0.25">
      <c r="W2502" s="111"/>
    </row>
    <row r="2503" spans="23:23" x14ac:dyDescent="0.25">
      <c r="W2503" s="111"/>
    </row>
    <row r="2504" spans="23:23" x14ac:dyDescent="0.25">
      <c r="W2504" s="111"/>
    </row>
    <row r="2505" spans="23:23" x14ac:dyDescent="0.25">
      <c r="W2505" s="111"/>
    </row>
    <row r="2506" spans="23:23" x14ac:dyDescent="0.25">
      <c r="W2506" s="111"/>
    </row>
    <row r="2507" spans="23:23" x14ac:dyDescent="0.25">
      <c r="W2507" s="111"/>
    </row>
    <row r="2508" spans="23:23" x14ac:dyDescent="0.25">
      <c r="W2508" s="111"/>
    </row>
    <row r="2509" spans="23:23" x14ac:dyDescent="0.25">
      <c r="W2509" s="111"/>
    </row>
    <row r="2510" spans="23:23" x14ac:dyDescent="0.25">
      <c r="W2510" s="111"/>
    </row>
    <row r="2511" spans="23:23" x14ac:dyDescent="0.25">
      <c r="W2511" s="111"/>
    </row>
    <row r="2512" spans="23:23" x14ac:dyDescent="0.25">
      <c r="W2512" s="111"/>
    </row>
    <row r="2513" spans="23:23" x14ac:dyDescent="0.25">
      <c r="W2513" s="111"/>
    </row>
    <row r="2514" spans="23:23" x14ac:dyDescent="0.25">
      <c r="W2514" s="111"/>
    </row>
    <row r="2515" spans="23:23" x14ac:dyDescent="0.25">
      <c r="W2515" s="111"/>
    </row>
    <row r="2516" spans="23:23" x14ac:dyDescent="0.25">
      <c r="W2516" s="111"/>
    </row>
    <row r="2517" spans="23:23" x14ac:dyDescent="0.25">
      <c r="W2517" s="111"/>
    </row>
    <row r="2518" spans="23:23" x14ac:dyDescent="0.25">
      <c r="W2518" s="111"/>
    </row>
    <row r="2519" spans="23:23" x14ac:dyDescent="0.25">
      <c r="W2519" s="111"/>
    </row>
    <row r="2520" spans="23:23" x14ac:dyDescent="0.25">
      <c r="W2520" s="111"/>
    </row>
    <row r="2521" spans="23:23" x14ac:dyDescent="0.25">
      <c r="W2521" s="111"/>
    </row>
    <row r="2522" spans="23:23" x14ac:dyDescent="0.25">
      <c r="W2522" s="111"/>
    </row>
    <row r="2523" spans="23:23" x14ac:dyDescent="0.25">
      <c r="W2523" s="111"/>
    </row>
    <row r="2524" spans="23:23" x14ac:dyDescent="0.25">
      <c r="W2524" s="111"/>
    </row>
    <row r="2525" spans="23:23" x14ac:dyDescent="0.25">
      <c r="W2525" s="111"/>
    </row>
    <row r="2526" spans="23:23" x14ac:dyDescent="0.25">
      <c r="W2526" s="111"/>
    </row>
    <row r="2527" spans="23:23" x14ac:dyDescent="0.25">
      <c r="W2527" s="111"/>
    </row>
    <row r="2528" spans="23:23" x14ac:dyDescent="0.25">
      <c r="W2528" s="111"/>
    </row>
    <row r="2529" spans="23:23" x14ac:dyDescent="0.25">
      <c r="W2529" s="111"/>
    </row>
    <row r="2530" spans="23:23" x14ac:dyDescent="0.25">
      <c r="W2530" s="111"/>
    </row>
    <row r="2531" spans="23:23" x14ac:dyDescent="0.25">
      <c r="W2531" s="111"/>
    </row>
    <row r="2532" spans="23:23" x14ac:dyDescent="0.25">
      <c r="W2532" s="111"/>
    </row>
    <row r="2533" spans="23:23" x14ac:dyDescent="0.25">
      <c r="W2533" s="111"/>
    </row>
    <row r="2534" spans="23:23" x14ac:dyDescent="0.25">
      <c r="W2534" s="111"/>
    </row>
    <row r="2535" spans="23:23" x14ac:dyDescent="0.25">
      <c r="W2535" s="111"/>
    </row>
    <row r="2536" spans="23:23" x14ac:dyDescent="0.25">
      <c r="W2536" s="111"/>
    </row>
    <row r="2537" spans="23:23" x14ac:dyDescent="0.25">
      <c r="W2537" s="111"/>
    </row>
    <row r="2538" spans="23:23" x14ac:dyDescent="0.25">
      <c r="W2538" s="111"/>
    </row>
    <row r="2539" spans="23:23" x14ac:dyDescent="0.25">
      <c r="W2539" s="111"/>
    </row>
    <row r="2540" spans="23:23" x14ac:dyDescent="0.25">
      <c r="W2540" s="111"/>
    </row>
    <row r="2541" spans="23:23" x14ac:dyDescent="0.25">
      <c r="W2541" s="111"/>
    </row>
    <row r="2542" spans="23:23" x14ac:dyDescent="0.25">
      <c r="W2542" s="111"/>
    </row>
    <row r="2543" spans="23:23" x14ac:dyDescent="0.25">
      <c r="W2543" s="111"/>
    </row>
    <row r="2544" spans="23:23" x14ac:dyDescent="0.25">
      <c r="W2544" s="111"/>
    </row>
    <row r="2545" spans="23:23" x14ac:dyDescent="0.25">
      <c r="W2545" s="111"/>
    </row>
    <row r="2546" spans="23:23" x14ac:dyDescent="0.25">
      <c r="W2546" s="111"/>
    </row>
    <row r="2547" spans="23:23" x14ac:dyDescent="0.25">
      <c r="W2547" s="111"/>
    </row>
    <row r="2548" spans="23:23" x14ac:dyDescent="0.25">
      <c r="W2548" s="111"/>
    </row>
    <row r="2549" spans="23:23" x14ac:dyDescent="0.25">
      <c r="W2549" s="111"/>
    </row>
    <row r="2550" spans="23:23" x14ac:dyDescent="0.25">
      <c r="W2550" s="111"/>
    </row>
    <row r="2551" spans="23:23" x14ac:dyDescent="0.25">
      <c r="W2551" s="111"/>
    </row>
    <row r="2552" spans="23:23" x14ac:dyDescent="0.25">
      <c r="W2552" s="111"/>
    </row>
    <row r="2553" spans="23:23" x14ac:dyDescent="0.25">
      <c r="W2553" s="111"/>
    </row>
    <row r="2554" spans="23:23" x14ac:dyDescent="0.25">
      <c r="W2554" s="111"/>
    </row>
    <row r="2555" spans="23:23" x14ac:dyDescent="0.25">
      <c r="W2555" s="111"/>
    </row>
    <row r="2556" spans="23:23" x14ac:dyDescent="0.25">
      <c r="W2556" s="111"/>
    </row>
    <row r="2557" spans="23:23" x14ac:dyDescent="0.25">
      <c r="W2557" s="111"/>
    </row>
    <row r="2558" spans="23:23" x14ac:dyDescent="0.25">
      <c r="W2558" s="111"/>
    </row>
    <row r="2559" spans="23:23" x14ac:dyDescent="0.25">
      <c r="W2559" s="111"/>
    </row>
    <row r="2560" spans="23:23" x14ac:dyDescent="0.25">
      <c r="W2560" s="111"/>
    </row>
    <row r="2561" spans="23:23" x14ac:dyDescent="0.25">
      <c r="W2561" s="111"/>
    </row>
    <row r="2562" spans="23:23" x14ac:dyDescent="0.25">
      <c r="W2562" s="111"/>
    </row>
    <row r="2563" spans="23:23" x14ac:dyDescent="0.25">
      <c r="W2563" s="111"/>
    </row>
    <row r="2564" spans="23:23" x14ac:dyDescent="0.25">
      <c r="W2564" s="111"/>
    </row>
    <row r="2565" spans="23:23" x14ac:dyDescent="0.25">
      <c r="W2565" s="111"/>
    </row>
    <row r="2566" spans="23:23" x14ac:dyDescent="0.25">
      <c r="W2566" s="111"/>
    </row>
    <row r="2567" spans="23:23" x14ac:dyDescent="0.25">
      <c r="W2567" s="111"/>
    </row>
    <row r="2568" spans="23:23" x14ac:dyDescent="0.25">
      <c r="W2568" s="111"/>
    </row>
    <row r="2569" spans="23:23" x14ac:dyDescent="0.25">
      <c r="W2569" s="111"/>
    </row>
    <row r="2570" spans="23:23" x14ac:dyDescent="0.25">
      <c r="W2570" s="111"/>
    </row>
    <row r="2571" spans="23:23" x14ac:dyDescent="0.25">
      <c r="W2571" s="111"/>
    </row>
    <row r="2572" spans="23:23" x14ac:dyDescent="0.25">
      <c r="W2572" s="111"/>
    </row>
    <row r="2573" spans="23:23" x14ac:dyDescent="0.25">
      <c r="W2573" s="111"/>
    </row>
    <row r="2574" spans="23:23" x14ac:dyDescent="0.25">
      <c r="W2574" s="111"/>
    </row>
    <row r="2575" spans="23:23" x14ac:dyDescent="0.25">
      <c r="W2575" s="111"/>
    </row>
    <row r="2576" spans="23:23" x14ac:dyDescent="0.25">
      <c r="W2576" s="111"/>
    </row>
    <row r="2577" spans="23:23" x14ac:dyDescent="0.25">
      <c r="W2577" s="111"/>
    </row>
    <row r="2578" spans="23:23" x14ac:dyDescent="0.25">
      <c r="W2578" s="111"/>
    </row>
    <row r="2579" spans="23:23" x14ac:dyDescent="0.25">
      <c r="W2579" s="111"/>
    </row>
    <row r="2580" spans="23:23" x14ac:dyDescent="0.25">
      <c r="W2580" s="111"/>
    </row>
    <row r="2581" spans="23:23" x14ac:dyDescent="0.25">
      <c r="W2581" s="111"/>
    </row>
    <row r="2582" spans="23:23" x14ac:dyDescent="0.25">
      <c r="W2582" s="111"/>
    </row>
    <row r="2583" spans="23:23" x14ac:dyDescent="0.25">
      <c r="W2583" s="111"/>
    </row>
    <row r="2584" spans="23:23" x14ac:dyDescent="0.25">
      <c r="W2584" s="111"/>
    </row>
    <row r="2585" spans="23:23" x14ac:dyDescent="0.25">
      <c r="W2585" s="111"/>
    </row>
    <row r="2586" spans="23:23" x14ac:dyDescent="0.25">
      <c r="W2586" s="111"/>
    </row>
    <row r="2587" spans="23:23" x14ac:dyDescent="0.25">
      <c r="W2587" s="111"/>
    </row>
    <row r="2588" spans="23:23" x14ac:dyDescent="0.25">
      <c r="W2588" s="111"/>
    </row>
    <row r="2589" spans="23:23" x14ac:dyDescent="0.25">
      <c r="W2589" s="111"/>
    </row>
    <row r="2590" spans="23:23" x14ac:dyDescent="0.25">
      <c r="W2590" s="111"/>
    </row>
    <row r="2591" spans="23:23" x14ac:dyDescent="0.25">
      <c r="W2591" s="111"/>
    </row>
    <row r="2592" spans="23:23" x14ac:dyDescent="0.25">
      <c r="W2592" s="111"/>
    </row>
    <row r="2593" spans="23:23" x14ac:dyDescent="0.25">
      <c r="W2593" s="111"/>
    </row>
    <row r="2594" spans="23:23" x14ac:dyDescent="0.25">
      <c r="W2594" s="111"/>
    </row>
    <row r="2595" spans="23:23" x14ac:dyDescent="0.25">
      <c r="W2595" s="111"/>
    </row>
    <row r="2596" spans="23:23" x14ac:dyDescent="0.25">
      <c r="W2596" s="111"/>
    </row>
    <row r="2597" spans="23:23" x14ac:dyDescent="0.25">
      <c r="W2597" s="111"/>
    </row>
    <row r="2598" spans="23:23" x14ac:dyDescent="0.25">
      <c r="W2598" s="111"/>
    </row>
    <row r="2599" spans="23:23" x14ac:dyDescent="0.25">
      <c r="W2599" s="111"/>
    </row>
    <row r="2600" spans="23:23" x14ac:dyDescent="0.25">
      <c r="W2600" s="111"/>
    </row>
    <row r="2601" spans="23:23" x14ac:dyDescent="0.25">
      <c r="W2601" s="111"/>
    </row>
    <row r="2602" spans="23:23" x14ac:dyDescent="0.25">
      <c r="W2602" s="111"/>
    </row>
    <row r="2603" spans="23:23" x14ac:dyDescent="0.25">
      <c r="W2603" s="111"/>
    </row>
    <row r="2604" spans="23:23" x14ac:dyDescent="0.25">
      <c r="W2604" s="111"/>
    </row>
    <row r="2605" spans="23:23" x14ac:dyDescent="0.25">
      <c r="W2605" s="111"/>
    </row>
    <row r="2606" spans="23:23" x14ac:dyDescent="0.25">
      <c r="W2606" s="111"/>
    </row>
    <row r="2607" spans="23:23" x14ac:dyDescent="0.25">
      <c r="W2607" s="111"/>
    </row>
    <row r="2608" spans="23:23" x14ac:dyDescent="0.25">
      <c r="W2608" s="111"/>
    </row>
    <row r="2609" spans="23:23" x14ac:dyDescent="0.25">
      <c r="W2609" s="111"/>
    </row>
    <row r="2610" spans="23:23" x14ac:dyDescent="0.25">
      <c r="W2610" s="111"/>
    </row>
    <row r="2611" spans="23:23" x14ac:dyDescent="0.25">
      <c r="W2611" s="111"/>
    </row>
    <row r="2612" spans="23:23" x14ac:dyDescent="0.25">
      <c r="W2612" s="111"/>
    </row>
    <row r="2613" spans="23:23" x14ac:dyDescent="0.25">
      <c r="W2613" s="111"/>
    </row>
    <row r="2614" spans="23:23" x14ac:dyDescent="0.25">
      <c r="W2614" s="111"/>
    </row>
    <row r="2615" spans="23:23" x14ac:dyDescent="0.25">
      <c r="W2615" s="111"/>
    </row>
    <row r="2616" spans="23:23" x14ac:dyDescent="0.25">
      <c r="W2616" s="111"/>
    </row>
    <row r="2617" spans="23:23" x14ac:dyDescent="0.25">
      <c r="W2617" s="111"/>
    </row>
    <row r="2618" spans="23:23" x14ac:dyDescent="0.25">
      <c r="W2618" s="111"/>
    </row>
    <row r="2619" spans="23:23" x14ac:dyDescent="0.25">
      <c r="W2619" s="111"/>
    </row>
    <row r="2620" spans="23:23" x14ac:dyDescent="0.25">
      <c r="W2620" s="111"/>
    </row>
    <row r="2621" spans="23:23" x14ac:dyDescent="0.25">
      <c r="W2621" s="111"/>
    </row>
    <row r="2622" spans="23:23" x14ac:dyDescent="0.25">
      <c r="W2622" s="111"/>
    </row>
    <row r="2623" spans="23:23" x14ac:dyDescent="0.25">
      <c r="W2623" s="111"/>
    </row>
    <row r="2624" spans="23:23" x14ac:dyDescent="0.25">
      <c r="W2624" s="111"/>
    </row>
    <row r="2625" spans="23:23" x14ac:dyDescent="0.25">
      <c r="W2625" s="111"/>
    </row>
    <row r="2626" spans="23:23" x14ac:dyDescent="0.25">
      <c r="W2626" s="111"/>
    </row>
    <row r="2627" spans="23:23" x14ac:dyDescent="0.25">
      <c r="W2627" s="111"/>
    </row>
    <row r="2628" spans="23:23" x14ac:dyDescent="0.25">
      <c r="W2628" s="111"/>
    </row>
    <row r="2629" spans="23:23" x14ac:dyDescent="0.25">
      <c r="W2629" s="111"/>
    </row>
    <row r="2630" spans="23:23" x14ac:dyDescent="0.25">
      <c r="W2630" s="111"/>
    </row>
    <row r="2631" spans="23:23" x14ac:dyDescent="0.25">
      <c r="W2631" s="111"/>
    </row>
    <row r="2632" spans="23:23" x14ac:dyDescent="0.25">
      <c r="W2632" s="111"/>
    </row>
    <row r="2633" spans="23:23" x14ac:dyDescent="0.25">
      <c r="W2633" s="111"/>
    </row>
    <row r="2634" spans="23:23" x14ac:dyDescent="0.25">
      <c r="W2634" s="111"/>
    </row>
    <row r="2635" spans="23:23" x14ac:dyDescent="0.25">
      <c r="W2635" s="111"/>
    </row>
    <row r="2636" spans="23:23" x14ac:dyDescent="0.25">
      <c r="W2636" s="111"/>
    </row>
    <row r="2637" spans="23:23" x14ac:dyDescent="0.25">
      <c r="W2637" s="111"/>
    </row>
    <row r="2638" spans="23:23" x14ac:dyDescent="0.25">
      <c r="W2638" s="111"/>
    </row>
    <row r="2639" spans="23:23" x14ac:dyDescent="0.25">
      <c r="W2639" s="111"/>
    </row>
    <row r="2640" spans="23:23" x14ac:dyDescent="0.25">
      <c r="W2640" s="111"/>
    </row>
    <row r="2641" spans="23:23" x14ac:dyDescent="0.25">
      <c r="W2641" s="111"/>
    </row>
    <row r="2642" spans="23:23" x14ac:dyDescent="0.25">
      <c r="W2642" s="111"/>
    </row>
    <row r="2643" spans="23:23" x14ac:dyDescent="0.25">
      <c r="W2643" s="111"/>
    </row>
    <row r="2644" spans="23:23" x14ac:dyDescent="0.25">
      <c r="W2644" s="111"/>
    </row>
    <row r="2645" spans="23:23" x14ac:dyDescent="0.25">
      <c r="W2645" s="111"/>
    </row>
    <row r="2646" spans="23:23" x14ac:dyDescent="0.25">
      <c r="W2646" s="111"/>
    </row>
    <row r="2647" spans="23:23" x14ac:dyDescent="0.25">
      <c r="W2647" s="111"/>
    </row>
    <row r="2648" spans="23:23" x14ac:dyDescent="0.25">
      <c r="W2648" s="111"/>
    </row>
    <row r="2649" spans="23:23" x14ac:dyDescent="0.25">
      <c r="W2649" s="111"/>
    </row>
    <row r="2650" spans="23:23" x14ac:dyDescent="0.25">
      <c r="W2650" s="111"/>
    </row>
    <row r="2651" spans="23:23" x14ac:dyDescent="0.25">
      <c r="W2651" s="111"/>
    </row>
    <row r="2652" spans="23:23" x14ac:dyDescent="0.25">
      <c r="W2652" s="111"/>
    </row>
    <row r="2653" spans="23:23" x14ac:dyDescent="0.25">
      <c r="W2653" s="111"/>
    </row>
    <row r="2654" spans="23:23" x14ac:dyDescent="0.25">
      <c r="W2654" s="111"/>
    </row>
    <row r="2655" spans="23:23" x14ac:dyDescent="0.25">
      <c r="W2655" s="111"/>
    </row>
    <row r="2656" spans="23:23" x14ac:dyDescent="0.25">
      <c r="W2656" s="111"/>
    </row>
    <row r="2657" spans="23:23" x14ac:dyDescent="0.25">
      <c r="W2657" s="111"/>
    </row>
    <row r="2658" spans="23:23" x14ac:dyDescent="0.25">
      <c r="W2658" s="111"/>
    </row>
    <row r="2659" spans="23:23" x14ac:dyDescent="0.25">
      <c r="W2659" s="111"/>
    </row>
    <row r="2660" spans="23:23" x14ac:dyDescent="0.25">
      <c r="W2660" s="111"/>
    </row>
    <row r="2661" spans="23:23" x14ac:dyDescent="0.25">
      <c r="W2661" s="111"/>
    </row>
    <row r="2662" spans="23:23" x14ac:dyDescent="0.25">
      <c r="W2662" s="111"/>
    </row>
    <row r="2663" spans="23:23" x14ac:dyDescent="0.25">
      <c r="W2663" s="111"/>
    </row>
    <row r="2664" spans="23:23" x14ac:dyDescent="0.25">
      <c r="W2664" s="111"/>
    </row>
    <row r="2665" spans="23:23" x14ac:dyDescent="0.25">
      <c r="W2665" s="111"/>
    </row>
    <row r="2666" spans="23:23" x14ac:dyDescent="0.25">
      <c r="W2666" s="111"/>
    </row>
    <row r="2667" spans="23:23" x14ac:dyDescent="0.25">
      <c r="W2667" s="111"/>
    </row>
    <row r="2668" spans="23:23" x14ac:dyDescent="0.25">
      <c r="W2668" s="111"/>
    </row>
    <row r="2669" spans="23:23" x14ac:dyDescent="0.25">
      <c r="W2669" s="111"/>
    </row>
    <row r="2670" spans="23:23" x14ac:dyDescent="0.25">
      <c r="W2670" s="111"/>
    </row>
    <row r="2671" spans="23:23" x14ac:dyDescent="0.25">
      <c r="W2671" s="111"/>
    </row>
    <row r="2672" spans="23:23" x14ac:dyDescent="0.25">
      <c r="W2672" s="111"/>
    </row>
    <row r="2673" spans="23:23" x14ac:dyDescent="0.25">
      <c r="W2673" s="111"/>
    </row>
    <row r="2674" spans="23:23" x14ac:dyDescent="0.25">
      <c r="W2674" s="111"/>
    </row>
    <row r="2675" spans="23:23" x14ac:dyDescent="0.25">
      <c r="W2675" s="111"/>
    </row>
    <row r="2676" spans="23:23" x14ac:dyDescent="0.25">
      <c r="W2676" s="111"/>
    </row>
    <row r="2677" spans="23:23" x14ac:dyDescent="0.25">
      <c r="W2677" s="111"/>
    </row>
    <row r="2678" spans="23:23" x14ac:dyDescent="0.25">
      <c r="W2678" s="111"/>
    </row>
    <row r="2679" spans="23:23" x14ac:dyDescent="0.25">
      <c r="W2679" s="111"/>
    </row>
    <row r="2680" spans="23:23" x14ac:dyDescent="0.25">
      <c r="W2680" s="111"/>
    </row>
    <row r="2681" spans="23:23" x14ac:dyDescent="0.25">
      <c r="W2681" s="111"/>
    </row>
    <row r="2682" spans="23:23" x14ac:dyDescent="0.25">
      <c r="W2682" s="111"/>
    </row>
    <row r="2683" spans="23:23" x14ac:dyDescent="0.25">
      <c r="W2683" s="111"/>
    </row>
    <row r="2684" spans="23:23" x14ac:dyDescent="0.25">
      <c r="W2684" s="111"/>
    </row>
    <row r="2685" spans="23:23" x14ac:dyDescent="0.25">
      <c r="W2685" s="111"/>
    </row>
    <row r="2686" spans="23:23" x14ac:dyDescent="0.25">
      <c r="W2686" s="111"/>
    </row>
    <row r="2687" spans="23:23" x14ac:dyDescent="0.25">
      <c r="W2687" s="111"/>
    </row>
    <row r="2688" spans="23:23" x14ac:dyDescent="0.25">
      <c r="W2688" s="111"/>
    </row>
    <row r="2689" spans="23:23" x14ac:dyDescent="0.25">
      <c r="W2689" s="111"/>
    </row>
    <row r="2690" spans="23:23" x14ac:dyDescent="0.25">
      <c r="W2690" s="111"/>
    </row>
    <row r="2691" spans="23:23" x14ac:dyDescent="0.25">
      <c r="W2691" s="111"/>
    </row>
    <row r="2692" spans="23:23" x14ac:dyDescent="0.25">
      <c r="W2692" s="111"/>
    </row>
    <row r="2693" spans="23:23" x14ac:dyDescent="0.25">
      <c r="W2693" s="111"/>
    </row>
    <row r="2694" spans="23:23" x14ac:dyDescent="0.25">
      <c r="W2694" s="111"/>
    </row>
    <row r="2695" spans="23:23" x14ac:dyDescent="0.25">
      <c r="W2695" s="111"/>
    </row>
    <row r="2696" spans="23:23" x14ac:dyDescent="0.25">
      <c r="W2696" s="111"/>
    </row>
    <row r="2697" spans="23:23" x14ac:dyDescent="0.25">
      <c r="W2697" s="111"/>
    </row>
    <row r="2698" spans="23:23" x14ac:dyDescent="0.25">
      <c r="W2698" s="111"/>
    </row>
    <row r="2699" spans="23:23" x14ac:dyDescent="0.25">
      <c r="W2699" s="111"/>
    </row>
    <row r="2700" spans="23:23" x14ac:dyDescent="0.25">
      <c r="W2700" s="111"/>
    </row>
    <row r="2701" spans="23:23" x14ac:dyDescent="0.25">
      <c r="W2701" s="111"/>
    </row>
    <row r="2702" spans="23:23" x14ac:dyDescent="0.25">
      <c r="W2702" s="111"/>
    </row>
    <row r="2703" spans="23:23" x14ac:dyDescent="0.25">
      <c r="W2703" s="111"/>
    </row>
    <row r="2704" spans="23:23" x14ac:dyDescent="0.25">
      <c r="W2704" s="111"/>
    </row>
    <row r="2705" spans="23:23" x14ac:dyDescent="0.25">
      <c r="W2705" s="111"/>
    </row>
    <row r="2706" spans="23:23" x14ac:dyDescent="0.25">
      <c r="W2706" s="111"/>
    </row>
    <row r="2707" spans="23:23" x14ac:dyDescent="0.25">
      <c r="W2707" s="111"/>
    </row>
    <row r="2708" spans="23:23" x14ac:dyDescent="0.25">
      <c r="W2708" s="111"/>
    </row>
    <row r="2709" spans="23:23" x14ac:dyDescent="0.25">
      <c r="W2709" s="111"/>
    </row>
    <row r="2710" spans="23:23" x14ac:dyDescent="0.25">
      <c r="W2710" s="111"/>
    </row>
    <row r="2711" spans="23:23" x14ac:dyDescent="0.25">
      <c r="W2711" s="111"/>
    </row>
    <row r="2712" spans="23:23" x14ac:dyDescent="0.25">
      <c r="W2712" s="111"/>
    </row>
    <row r="2713" spans="23:23" x14ac:dyDescent="0.25">
      <c r="W2713" s="111"/>
    </row>
    <row r="2714" spans="23:23" x14ac:dyDescent="0.25">
      <c r="W2714" s="111"/>
    </row>
    <row r="2715" spans="23:23" x14ac:dyDescent="0.25">
      <c r="W2715" s="111"/>
    </row>
    <row r="2716" spans="23:23" x14ac:dyDescent="0.25">
      <c r="W2716" s="111"/>
    </row>
    <row r="2717" spans="23:23" x14ac:dyDescent="0.25">
      <c r="W2717" s="111"/>
    </row>
    <row r="2718" spans="23:23" x14ac:dyDescent="0.25">
      <c r="W2718" s="111"/>
    </row>
    <row r="2719" spans="23:23" x14ac:dyDescent="0.25">
      <c r="W2719" s="111"/>
    </row>
    <row r="2720" spans="23:23" x14ac:dyDescent="0.25">
      <c r="W2720" s="111"/>
    </row>
    <row r="2721" spans="23:23" x14ac:dyDescent="0.25">
      <c r="W2721" s="111"/>
    </row>
    <row r="2722" spans="23:23" x14ac:dyDescent="0.25">
      <c r="W2722" s="111"/>
    </row>
    <row r="2723" spans="23:23" x14ac:dyDescent="0.25">
      <c r="W2723" s="111"/>
    </row>
    <row r="2724" spans="23:23" x14ac:dyDescent="0.25">
      <c r="W2724" s="111"/>
    </row>
    <row r="2725" spans="23:23" x14ac:dyDescent="0.25">
      <c r="W2725" s="111"/>
    </row>
    <row r="2726" spans="23:23" x14ac:dyDescent="0.25">
      <c r="W2726" s="111"/>
    </row>
    <row r="2727" spans="23:23" x14ac:dyDescent="0.25">
      <c r="W2727" s="111"/>
    </row>
    <row r="2728" spans="23:23" x14ac:dyDescent="0.25">
      <c r="W2728" s="111"/>
    </row>
    <row r="2729" spans="23:23" x14ac:dyDescent="0.25">
      <c r="W2729" s="111"/>
    </row>
    <row r="2730" spans="23:23" x14ac:dyDescent="0.25">
      <c r="W2730" s="111"/>
    </row>
    <row r="2731" spans="23:23" x14ac:dyDescent="0.25">
      <c r="W2731" s="111"/>
    </row>
    <row r="2732" spans="23:23" x14ac:dyDescent="0.25">
      <c r="W2732" s="111"/>
    </row>
    <row r="2733" spans="23:23" x14ac:dyDescent="0.25">
      <c r="W2733" s="111"/>
    </row>
    <row r="2734" spans="23:23" x14ac:dyDescent="0.25">
      <c r="W2734" s="111"/>
    </row>
    <row r="2735" spans="23:23" x14ac:dyDescent="0.25">
      <c r="W2735" s="111"/>
    </row>
    <row r="2736" spans="23:23" x14ac:dyDescent="0.25">
      <c r="W2736" s="111"/>
    </row>
    <row r="2737" spans="23:23" x14ac:dyDescent="0.25">
      <c r="W2737" s="111"/>
    </row>
    <row r="2738" spans="23:23" x14ac:dyDescent="0.25">
      <c r="W2738" s="111"/>
    </row>
    <row r="2739" spans="23:23" x14ac:dyDescent="0.25">
      <c r="W2739" s="111"/>
    </row>
    <row r="2740" spans="23:23" x14ac:dyDescent="0.25">
      <c r="W2740" s="111"/>
    </row>
    <row r="2741" spans="23:23" x14ac:dyDescent="0.25">
      <c r="W2741" s="111"/>
    </row>
    <row r="2742" spans="23:23" x14ac:dyDescent="0.25">
      <c r="W2742" s="111"/>
    </row>
    <row r="2743" spans="23:23" x14ac:dyDescent="0.25">
      <c r="W2743" s="111"/>
    </row>
    <row r="2744" spans="23:23" x14ac:dyDescent="0.25">
      <c r="W2744" s="111"/>
    </row>
    <row r="2745" spans="23:23" x14ac:dyDescent="0.25">
      <c r="W2745" s="111"/>
    </row>
    <row r="2746" spans="23:23" x14ac:dyDescent="0.25">
      <c r="W2746" s="111"/>
    </row>
    <row r="2747" spans="23:23" x14ac:dyDescent="0.25">
      <c r="W2747" s="111"/>
    </row>
    <row r="2748" spans="23:23" x14ac:dyDescent="0.25">
      <c r="W2748" s="111"/>
    </row>
    <row r="2749" spans="23:23" x14ac:dyDescent="0.25">
      <c r="W2749" s="111"/>
    </row>
    <row r="2750" spans="23:23" x14ac:dyDescent="0.25">
      <c r="W2750" s="111"/>
    </row>
    <row r="2751" spans="23:23" x14ac:dyDescent="0.25">
      <c r="W2751" s="111"/>
    </row>
    <row r="2752" spans="23:23" x14ac:dyDescent="0.25">
      <c r="W2752" s="111"/>
    </row>
    <row r="2753" spans="23:23" x14ac:dyDescent="0.25">
      <c r="W2753" s="111"/>
    </row>
    <row r="2754" spans="23:23" x14ac:dyDescent="0.25">
      <c r="W2754" s="111"/>
    </row>
    <row r="2755" spans="23:23" x14ac:dyDescent="0.25">
      <c r="W2755" s="111"/>
    </row>
    <row r="2756" spans="23:23" x14ac:dyDescent="0.25">
      <c r="W2756" s="111"/>
    </row>
    <row r="2757" spans="23:23" x14ac:dyDescent="0.25">
      <c r="W2757" s="111"/>
    </row>
    <row r="2758" spans="23:23" x14ac:dyDescent="0.25">
      <c r="W2758" s="111"/>
    </row>
    <row r="2759" spans="23:23" x14ac:dyDescent="0.25">
      <c r="W2759" s="111"/>
    </row>
    <row r="2760" spans="23:23" x14ac:dyDescent="0.25">
      <c r="W2760" s="111"/>
    </row>
    <row r="2761" spans="23:23" x14ac:dyDescent="0.25">
      <c r="W2761" s="111"/>
    </row>
    <row r="2762" spans="23:23" x14ac:dyDescent="0.25">
      <c r="W2762" s="111"/>
    </row>
    <row r="2763" spans="23:23" x14ac:dyDescent="0.25">
      <c r="W2763" s="111"/>
    </row>
    <row r="2764" spans="23:23" x14ac:dyDescent="0.25">
      <c r="W2764" s="111"/>
    </row>
    <row r="2765" spans="23:23" x14ac:dyDescent="0.25">
      <c r="W2765" s="111"/>
    </row>
    <row r="2766" spans="23:23" x14ac:dyDescent="0.25">
      <c r="W2766" s="111"/>
    </row>
    <row r="2767" spans="23:23" x14ac:dyDescent="0.25">
      <c r="W2767" s="111"/>
    </row>
    <row r="2768" spans="23:23" x14ac:dyDescent="0.25">
      <c r="W2768" s="111"/>
    </row>
    <row r="2769" spans="23:23" x14ac:dyDescent="0.25">
      <c r="W2769" s="111"/>
    </row>
    <row r="2770" spans="23:23" x14ac:dyDescent="0.25">
      <c r="W2770" s="111"/>
    </row>
    <row r="2771" spans="23:23" x14ac:dyDescent="0.25">
      <c r="W2771" s="111"/>
    </row>
    <row r="2772" spans="23:23" x14ac:dyDescent="0.25">
      <c r="W2772" s="111"/>
    </row>
    <row r="2773" spans="23:23" x14ac:dyDescent="0.25">
      <c r="W2773" s="111"/>
    </row>
    <row r="2774" spans="23:23" x14ac:dyDescent="0.25">
      <c r="W2774" s="111"/>
    </row>
    <row r="2775" spans="23:23" x14ac:dyDescent="0.25">
      <c r="W2775" s="111"/>
    </row>
    <row r="2776" spans="23:23" x14ac:dyDescent="0.25">
      <c r="W2776" s="111"/>
    </row>
    <row r="2777" spans="23:23" x14ac:dyDescent="0.25">
      <c r="W2777" s="111"/>
    </row>
    <row r="2778" spans="23:23" x14ac:dyDescent="0.25">
      <c r="W2778" s="111"/>
    </row>
    <row r="2779" spans="23:23" x14ac:dyDescent="0.25">
      <c r="W2779" s="111"/>
    </row>
    <row r="2780" spans="23:23" x14ac:dyDescent="0.25">
      <c r="W2780" s="111"/>
    </row>
    <row r="2781" spans="23:23" x14ac:dyDescent="0.25">
      <c r="W2781" s="111"/>
    </row>
    <row r="2782" spans="23:23" x14ac:dyDescent="0.25">
      <c r="W2782" s="111"/>
    </row>
    <row r="2783" spans="23:23" x14ac:dyDescent="0.25">
      <c r="W2783" s="111"/>
    </row>
    <row r="2784" spans="23:23" x14ac:dyDescent="0.25">
      <c r="W2784" s="111"/>
    </row>
    <row r="2785" spans="23:23" x14ac:dyDescent="0.25">
      <c r="W2785" s="111"/>
    </row>
    <row r="2786" spans="23:23" x14ac:dyDescent="0.25">
      <c r="W2786" s="111"/>
    </row>
    <row r="2787" spans="23:23" x14ac:dyDescent="0.25">
      <c r="W2787" s="111"/>
    </row>
    <row r="2788" spans="23:23" x14ac:dyDescent="0.25">
      <c r="W2788" s="111"/>
    </row>
    <row r="2789" spans="23:23" x14ac:dyDescent="0.25">
      <c r="W2789" s="111"/>
    </row>
    <row r="2790" spans="23:23" x14ac:dyDescent="0.25">
      <c r="W2790" s="111"/>
    </row>
    <row r="2791" spans="23:23" x14ac:dyDescent="0.25">
      <c r="W2791" s="111"/>
    </row>
    <row r="2792" spans="23:23" x14ac:dyDescent="0.25">
      <c r="W2792" s="111"/>
    </row>
    <row r="2793" spans="23:23" x14ac:dyDescent="0.25">
      <c r="W2793" s="111"/>
    </row>
    <row r="2794" spans="23:23" x14ac:dyDescent="0.25">
      <c r="W2794" s="111"/>
    </row>
    <row r="2795" spans="23:23" x14ac:dyDescent="0.25">
      <c r="W2795" s="111"/>
    </row>
    <row r="2796" spans="23:23" x14ac:dyDescent="0.25">
      <c r="W2796" s="111"/>
    </row>
    <row r="2797" spans="23:23" x14ac:dyDescent="0.25">
      <c r="W2797" s="111"/>
    </row>
    <row r="2798" spans="23:23" x14ac:dyDescent="0.25">
      <c r="W2798" s="111"/>
    </row>
    <row r="2799" spans="23:23" x14ac:dyDescent="0.25">
      <c r="W2799" s="111"/>
    </row>
    <row r="2800" spans="23:23" x14ac:dyDescent="0.25">
      <c r="W2800" s="111"/>
    </row>
    <row r="2801" spans="23:23" x14ac:dyDescent="0.25">
      <c r="W2801" s="111"/>
    </row>
    <row r="2802" spans="23:23" x14ac:dyDescent="0.25">
      <c r="W2802" s="111"/>
    </row>
    <row r="2803" spans="23:23" x14ac:dyDescent="0.25">
      <c r="W2803" s="111"/>
    </row>
    <row r="2804" spans="23:23" x14ac:dyDescent="0.25">
      <c r="W2804" s="111"/>
    </row>
    <row r="2805" spans="23:23" x14ac:dyDescent="0.25">
      <c r="W2805" s="111"/>
    </row>
    <row r="2806" spans="23:23" x14ac:dyDescent="0.25">
      <c r="W2806" s="111"/>
    </row>
    <row r="2807" spans="23:23" x14ac:dyDescent="0.25">
      <c r="W2807" s="111"/>
    </row>
    <row r="2808" spans="23:23" x14ac:dyDescent="0.25">
      <c r="W2808" s="111"/>
    </row>
    <row r="2809" spans="23:23" x14ac:dyDescent="0.25">
      <c r="W2809" s="111"/>
    </row>
    <row r="2810" spans="23:23" x14ac:dyDescent="0.25">
      <c r="W2810" s="111"/>
    </row>
    <row r="2811" spans="23:23" x14ac:dyDescent="0.25">
      <c r="W2811" s="111"/>
    </row>
    <row r="2812" spans="23:23" x14ac:dyDescent="0.25">
      <c r="W2812" s="111"/>
    </row>
    <row r="2813" spans="23:23" x14ac:dyDescent="0.25">
      <c r="W2813" s="111"/>
    </row>
    <row r="2814" spans="23:23" x14ac:dyDescent="0.25">
      <c r="W2814" s="111"/>
    </row>
    <row r="2815" spans="23:23" x14ac:dyDescent="0.25">
      <c r="W2815" s="111"/>
    </row>
    <row r="2816" spans="23:23" x14ac:dyDescent="0.25">
      <c r="W2816" s="111"/>
    </row>
    <row r="2817" spans="23:23" x14ac:dyDescent="0.25">
      <c r="W2817" s="111"/>
    </row>
    <row r="2818" spans="23:23" x14ac:dyDescent="0.25">
      <c r="W2818" s="111"/>
    </row>
    <row r="2819" spans="23:23" x14ac:dyDescent="0.25">
      <c r="W2819" s="111"/>
    </row>
    <row r="2820" spans="23:23" x14ac:dyDescent="0.25">
      <c r="W2820" s="111"/>
    </row>
    <row r="2821" spans="23:23" x14ac:dyDescent="0.25">
      <c r="W2821" s="111"/>
    </row>
    <row r="2822" spans="23:23" x14ac:dyDescent="0.25">
      <c r="W2822" s="111"/>
    </row>
    <row r="2823" spans="23:23" x14ac:dyDescent="0.25">
      <c r="W2823" s="111"/>
    </row>
    <row r="2824" spans="23:23" x14ac:dyDescent="0.25">
      <c r="W2824" s="111"/>
    </row>
    <row r="2825" spans="23:23" x14ac:dyDescent="0.25">
      <c r="W2825" s="111"/>
    </row>
    <row r="2826" spans="23:23" x14ac:dyDescent="0.25">
      <c r="W2826" s="111"/>
    </row>
    <row r="2827" spans="23:23" x14ac:dyDescent="0.25">
      <c r="W2827" s="111"/>
    </row>
    <row r="2828" spans="23:23" x14ac:dyDescent="0.25">
      <c r="W2828" s="111"/>
    </row>
    <row r="2829" spans="23:23" x14ac:dyDescent="0.25">
      <c r="W2829" s="111"/>
    </row>
    <row r="2830" spans="23:23" x14ac:dyDescent="0.25">
      <c r="W2830" s="111"/>
    </row>
    <row r="2831" spans="23:23" x14ac:dyDescent="0.25">
      <c r="W2831" s="111"/>
    </row>
    <row r="2832" spans="23:23" x14ac:dyDescent="0.25">
      <c r="W2832" s="111"/>
    </row>
    <row r="2833" spans="23:23" x14ac:dyDescent="0.25">
      <c r="W2833" s="111"/>
    </row>
    <row r="2834" spans="23:23" x14ac:dyDescent="0.25">
      <c r="W2834" s="111"/>
    </row>
    <row r="2835" spans="23:23" x14ac:dyDescent="0.25">
      <c r="W2835" s="111"/>
    </row>
    <row r="2836" spans="23:23" x14ac:dyDescent="0.25">
      <c r="W2836" s="111"/>
    </row>
    <row r="2837" spans="23:23" x14ac:dyDescent="0.25">
      <c r="W2837" s="111"/>
    </row>
    <row r="2838" spans="23:23" x14ac:dyDescent="0.25">
      <c r="W2838" s="111"/>
    </row>
    <row r="2839" spans="23:23" x14ac:dyDescent="0.25">
      <c r="W2839" s="111"/>
    </row>
    <row r="2840" spans="23:23" x14ac:dyDescent="0.25">
      <c r="W2840" s="111"/>
    </row>
    <row r="2841" spans="23:23" x14ac:dyDescent="0.25">
      <c r="W2841" s="111"/>
    </row>
    <row r="2842" spans="23:23" x14ac:dyDescent="0.25">
      <c r="W2842" s="111"/>
    </row>
    <row r="2843" spans="23:23" x14ac:dyDescent="0.25">
      <c r="W2843" s="111"/>
    </row>
    <row r="2844" spans="23:23" x14ac:dyDescent="0.25">
      <c r="W2844" s="111"/>
    </row>
    <row r="2845" spans="23:23" x14ac:dyDescent="0.25">
      <c r="W2845" s="111"/>
    </row>
    <row r="2846" spans="23:23" x14ac:dyDescent="0.25">
      <c r="W2846" s="111"/>
    </row>
    <row r="2847" spans="23:23" x14ac:dyDescent="0.25">
      <c r="W2847" s="111"/>
    </row>
    <row r="2848" spans="23:23" x14ac:dyDescent="0.25">
      <c r="W2848" s="111"/>
    </row>
    <row r="2849" spans="23:23" x14ac:dyDescent="0.25">
      <c r="W2849" s="111"/>
    </row>
    <row r="2850" spans="23:23" x14ac:dyDescent="0.25">
      <c r="W2850" s="111"/>
    </row>
    <row r="2851" spans="23:23" x14ac:dyDescent="0.25">
      <c r="W2851" s="111"/>
    </row>
    <row r="2852" spans="23:23" x14ac:dyDescent="0.25">
      <c r="W2852" s="111"/>
    </row>
    <row r="2853" spans="23:23" x14ac:dyDescent="0.25">
      <c r="W2853" s="111"/>
    </row>
    <row r="2854" spans="23:23" x14ac:dyDescent="0.25">
      <c r="W2854" s="111"/>
    </row>
    <row r="2855" spans="23:23" x14ac:dyDescent="0.25">
      <c r="W2855" s="111"/>
    </row>
    <row r="2856" spans="23:23" x14ac:dyDescent="0.25">
      <c r="W2856" s="111"/>
    </row>
    <row r="2857" spans="23:23" x14ac:dyDescent="0.25">
      <c r="W2857" s="111"/>
    </row>
    <row r="2858" spans="23:23" x14ac:dyDescent="0.25">
      <c r="W2858" s="111"/>
    </row>
    <row r="2859" spans="23:23" x14ac:dyDescent="0.25">
      <c r="W2859" s="111"/>
    </row>
    <row r="2860" spans="23:23" x14ac:dyDescent="0.25">
      <c r="W2860" s="111"/>
    </row>
    <row r="2861" spans="23:23" x14ac:dyDescent="0.25">
      <c r="W2861" s="111"/>
    </row>
    <row r="2862" spans="23:23" x14ac:dyDescent="0.25">
      <c r="W2862" s="111"/>
    </row>
    <row r="2863" spans="23:23" x14ac:dyDescent="0.25">
      <c r="W2863" s="111"/>
    </row>
    <row r="2864" spans="23:23" x14ac:dyDescent="0.25">
      <c r="W2864" s="111"/>
    </row>
    <row r="2865" spans="23:23" x14ac:dyDescent="0.25">
      <c r="W2865" s="111"/>
    </row>
    <row r="2866" spans="23:23" x14ac:dyDescent="0.25">
      <c r="W2866" s="111"/>
    </row>
    <row r="2867" spans="23:23" x14ac:dyDescent="0.25">
      <c r="W2867" s="111"/>
    </row>
    <row r="2868" spans="23:23" x14ac:dyDescent="0.25">
      <c r="W2868" s="111"/>
    </row>
    <row r="2869" spans="23:23" x14ac:dyDescent="0.25">
      <c r="W2869" s="111"/>
    </row>
    <row r="2870" spans="23:23" x14ac:dyDescent="0.25">
      <c r="W2870" s="111"/>
    </row>
    <row r="2871" spans="23:23" x14ac:dyDescent="0.25">
      <c r="W2871" s="111"/>
    </row>
    <row r="2872" spans="23:23" x14ac:dyDescent="0.25">
      <c r="W2872" s="111"/>
    </row>
    <row r="2873" spans="23:23" x14ac:dyDescent="0.25">
      <c r="W2873" s="111"/>
    </row>
    <row r="2874" spans="23:23" x14ac:dyDescent="0.25">
      <c r="W2874" s="111"/>
    </row>
    <row r="2875" spans="23:23" x14ac:dyDescent="0.25">
      <c r="W2875" s="111"/>
    </row>
    <row r="2876" spans="23:23" x14ac:dyDescent="0.25">
      <c r="W2876" s="111"/>
    </row>
    <row r="2877" spans="23:23" x14ac:dyDescent="0.25">
      <c r="W2877" s="111"/>
    </row>
    <row r="2878" spans="23:23" x14ac:dyDescent="0.25">
      <c r="W2878" s="111"/>
    </row>
    <row r="2879" spans="23:23" x14ac:dyDescent="0.25">
      <c r="W2879" s="111"/>
    </row>
    <row r="2880" spans="23:23" x14ac:dyDescent="0.25">
      <c r="W2880" s="111"/>
    </row>
    <row r="2881" spans="23:23" x14ac:dyDescent="0.25">
      <c r="W2881" s="111"/>
    </row>
    <row r="2882" spans="23:23" x14ac:dyDescent="0.25">
      <c r="W2882" s="111"/>
    </row>
    <row r="2883" spans="23:23" x14ac:dyDescent="0.25">
      <c r="W2883" s="111"/>
    </row>
    <row r="2884" spans="23:23" x14ac:dyDescent="0.25">
      <c r="W2884" s="111"/>
    </row>
    <row r="2885" spans="23:23" x14ac:dyDescent="0.25">
      <c r="W2885" s="111"/>
    </row>
    <row r="2886" spans="23:23" x14ac:dyDescent="0.25">
      <c r="W2886" s="111"/>
    </row>
    <row r="2887" spans="23:23" x14ac:dyDescent="0.25">
      <c r="W2887" s="111"/>
    </row>
    <row r="2888" spans="23:23" x14ac:dyDescent="0.25">
      <c r="W2888" s="111"/>
    </row>
    <row r="2889" spans="23:23" x14ac:dyDescent="0.25">
      <c r="W2889" s="111"/>
    </row>
    <row r="2890" spans="23:23" x14ac:dyDescent="0.25">
      <c r="W2890" s="111"/>
    </row>
    <row r="2891" spans="23:23" x14ac:dyDescent="0.25">
      <c r="W2891" s="111"/>
    </row>
    <row r="2892" spans="23:23" x14ac:dyDescent="0.25">
      <c r="W2892" s="111"/>
    </row>
    <row r="2893" spans="23:23" x14ac:dyDescent="0.25">
      <c r="W2893" s="111"/>
    </row>
    <row r="2894" spans="23:23" x14ac:dyDescent="0.25">
      <c r="W2894" s="111"/>
    </row>
    <row r="2895" spans="23:23" x14ac:dyDescent="0.25">
      <c r="W2895" s="111"/>
    </row>
    <row r="2896" spans="23:23" x14ac:dyDescent="0.25">
      <c r="W2896" s="111"/>
    </row>
    <row r="2897" spans="23:23" x14ac:dyDescent="0.25">
      <c r="W2897" s="111"/>
    </row>
    <row r="2898" spans="23:23" x14ac:dyDescent="0.25">
      <c r="W2898" s="111"/>
    </row>
    <row r="2899" spans="23:23" x14ac:dyDescent="0.25">
      <c r="W2899" s="111"/>
    </row>
    <row r="2900" spans="23:23" x14ac:dyDescent="0.25">
      <c r="W2900" s="111"/>
    </row>
    <row r="2901" spans="23:23" x14ac:dyDescent="0.25">
      <c r="W2901" s="111"/>
    </row>
    <row r="2902" spans="23:23" x14ac:dyDescent="0.25">
      <c r="W2902" s="111"/>
    </row>
    <row r="2903" spans="23:23" x14ac:dyDescent="0.25">
      <c r="W2903" s="111"/>
    </row>
    <row r="2904" spans="23:23" x14ac:dyDescent="0.25">
      <c r="W2904" s="111"/>
    </row>
    <row r="2905" spans="23:23" x14ac:dyDescent="0.25">
      <c r="W2905" s="111"/>
    </row>
    <row r="2906" spans="23:23" x14ac:dyDescent="0.25">
      <c r="W2906" s="111"/>
    </row>
    <row r="2907" spans="23:23" x14ac:dyDescent="0.25">
      <c r="W2907" s="111"/>
    </row>
    <row r="2908" spans="23:23" x14ac:dyDescent="0.25">
      <c r="W2908" s="111"/>
    </row>
    <row r="2909" spans="23:23" x14ac:dyDescent="0.25">
      <c r="W2909" s="111"/>
    </row>
    <row r="2910" spans="23:23" x14ac:dyDescent="0.25">
      <c r="W2910" s="111"/>
    </row>
    <row r="2911" spans="23:23" x14ac:dyDescent="0.25">
      <c r="W2911" s="111"/>
    </row>
    <row r="2912" spans="23:23" x14ac:dyDescent="0.25">
      <c r="W2912" s="111"/>
    </row>
    <row r="2913" spans="23:23" x14ac:dyDescent="0.25">
      <c r="W2913" s="111"/>
    </row>
    <row r="2914" spans="23:23" x14ac:dyDescent="0.25">
      <c r="W2914" s="111"/>
    </row>
    <row r="2915" spans="23:23" x14ac:dyDescent="0.25">
      <c r="W2915" s="111"/>
    </row>
    <row r="2916" spans="23:23" x14ac:dyDescent="0.25">
      <c r="W2916" s="111"/>
    </row>
    <row r="2917" spans="23:23" x14ac:dyDescent="0.25">
      <c r="W2917" s="111"/>
    </row>
    <row r="2918" spans="23:23" x14ac:dyDescent="0.25">
      <c r="W2918" s="111"/>
    </row>
    <row r="2919" spans="23:23" x14ac:dyDescent="0.25">
      <c r="W2919" s="111"/>
    </row>
    <row r="2920" spans="23:23" x14ac:dyDescent="0.25">
      <c r="W2920" s="111"/>
    </row>
    <row r="2921" spans="23:23" x14ac:dyDescent="0.25">
      <c r="W2921" s="111"/>
    </row>
    <row r="2922" spans="23:23" x14ac:dyDescent="0.25">
      <c r="W2922" s="111"/>
    </row>
    <row r="2923" spans="23:23" x14ac:dyDescent="0.25">
      <c r="W2923" s="111"/>
    </row>
    <row r="2924" spans="23:23" x14ac:dyDescent="0.25">
      <c r="W2924" s="111"/>
    </row>
    <row r="2925" spans="23:23" x14ac:dyDescent="0.25">
      <c r="W2925" s="111"/>
    </row>
    <row r="2926" spans="23:23" x14ac:dyDescent="0.25">
      <c r="W2926" s="111"/>
    </row>
    <row r="2927" spans="23:23" x14ac:dyDescent="0.25">
      <c r="W2927" s="111"/>
    </row>
    <row r="2928" spans="23:23" x14ac:dyDescent="0.25">
      <c r="W2928" s="111"/>
    </row>
    <row r="2929" spans="23:23" x14ac:dyDescent="0.25">
      <c r="W2929" s="111"/>
    </row>
    <row r="2930" spans="23:23" x14ac:dyDescent="0.25">
      <c r="W2930" s="111"/>
    </row>
    <row r="2931" spans="23:23" x14ac:dyDescent="0.25">
      <c r="W2931" s="111"/>
    </row>
    <row r="2932" spans="23:23" x14ac:dyDescent="0.25">
      <c r="W2932" s="111"/>
    </row>
    <row r="2933" spans="23:23" x14ac:dyDescent="0.25">
      <c r="W2933" s="111"/>
    </row>
    <row r="2934" spans="23:23" x14ac:dyDescent="0.25">
      <c r="W2934" s="111"/>
    </row>
    <row r="2935" spans="23:23" x14ac:dyDescent="0.25">
      <c r="W2935" s="111"/>
    </row>
    <row r="2936" spans="23:23" x14ac:dyDescent="0.25">
      <c r="W2936" s="111"/>
    </row>
    <row r="2937" spans="23:23" x14ac:dyDescent="0.25">
      <c r="W2937" s="111"/>
    </row>
    <row r="2938" spans="23:23" x14ac:dyDescent="0.25">
      <c r="W2938" s="111"/>
    </row>
    <row r="2939" spans="23:23" x14ac:dyDescent="0.25">
      <c r="W2939" s="111"/>
    </row>
    <row r="2940" spans="23:23" x14ac:dyDescent="0.25">
      <c r="W2940" s="111"/>
    </row>
    <row r="2941" spans="23:23" x14ac:dyDescent="0.25">
      <c r="W2941" s="111"/>
    </row>
    <row r="2942" spans="23:23" x14ac:dyDescent="0.25">
      <c r="W2942" s="111"/>
    </row>
    <row r="2943" spans="23:23" x14ac:dyDescent="0.25">
      <c r="W2943" s="111"/>
    </row>
    <row r="2944" spans="23:23" x14ac:dyDescent="0.25">
      <c r="W2944" s="111"/>
    </row>
    <row r="2945" spans="23:23" x14ac:dyDescent="0.25">
      <c r="W2945" s="111"/>
    </row>
    <row r="2946" spans="23:23" x14ac:dyDescent="0.25">
      <c r="W2946" s="111"/>
    </row>
    <row r="2947" spans="23:23" x14ac:dyDescent="0.25">
      <c r="W2947" s="111"/>
    </row>
    <row r="2948" spans="23:23" x14ac:dyDescent="0.25">
      <c r="W2948" s="111"/>
    </row>
    <row r="2949" spans="23:23" x14ac:dyDescent="0.25">
      <c r="W2949" s="111"/>
    </row>
    <row r="2950" spans="23:23" x14ac:dyDescent="0.25">
      <c r="W2950" s="111"/>
    </row>
    <row r="2951" spans="23:23" x14ac:dyDescent="0.25">
      <c r="W2951" s="111"/>
    </row>
    <row r="2952" spans="23:23" x14ac:dyDescent="0.25">
      <c r="W2952" s="111"/>
    </row>
    <row r="2953" spans="23:23" x14ac:dyDescent="0.25">
      <c r="W2953" s="111"/>
    </row>
    <row r="2954" spans="23:23" x14ac:dyDescent="0.25">
      <c r="W2954" s="111"/>
    </row>
    <row r="2955" spans="23:23" x14ac:dyDescent="0.25">
      <c r="W2955" s="111"/>
    </row>
    <row r="2956" spans="23:23" x14ac:dyDescent="0.25">
      <c r="W2956" s="111"/>
    </row>
    <row r="2957" spans="23:23" x14ac:dyDescent="0.25">
      <c r="W2957" s="111"/>
    </row>
    <row r="2958" spans="23:23" x14ac:dyDescent="0.25">
      <c r="W2958" s="111"/>
    </row>
    <row r="2959" spans="23:23" x14ac:dyDescent="0.25">
      <c r="W2959" s="111"/>
    </row>
    <row r="2960" spans="23:23" x14ac:dyDescent="0.25">
      <c r="W2960" s="111"/>
    </row>
    <row r="2961" spans="23:23" x14ac:dyDescent="0.25">
      <c r="W2961" s="111"/>
    </row>
    <row r="2962" spans="23:23" x14ac:dyDescent="0.25">
      <c r="W2962" s="111"/>
    </row>
    <row r="2963" spans="23:23" x14ac:dyDescent="0.25">
      <c r="W2963" s="111"/>
    </row>
    <row r="2964" spans="23:23" x14ac:dyDescent="0.25">
      <c r="W2964" s="111"/>
    </row>
    <row r="2965" spans="23:23" x14ac:dyDescent="0.25">
      <c r="W2965" s="111"/>
    </row>
    <row r="2966" spans="23:23" x14ac:dyDescent="0.25">
      <c r="W2966" s="111"/>
    </row>
    <row r="2967" spans="23:23" x14ac:dyDescent="0.25">
      <c r="W2967" s="111"/>
    </row>
    <row r="2968" spans="23:23" x14ac:dyDescent="0.25">
      <c r="W2968" s="111"/>
    </row>
    <row r="2969" spans="23:23" x14ac:dyDescent="0.25">
      <c r="W2969" s="111"/>
    </row>
    <row r="2970" spans="23:23" x14ac:dyDescent="0.25">
      <c r="W2970" s="111"/>
    </row>
    <row r="2971" spans="23:23" x14ac:dyDescent="0.25">
      <c r="W2971" s="111"/>
    </row>
    <row r="2972" spans="23:23" x14ac:dyDescent="0.25">
      <c r="W2972" s="111"/>
    </row>
    <row r="2973" spans="23:23" x14ac:dyDescent="0.25">
      <c r="W2973" s="111"/>
    </row>
    <row r="2974" spans="23:23" x14ac:dyDescent="0.25">
      <c r="W2974" s="111"/>
    </row>
    <row r="2975" spans="23:23" x14ac:dyDescent="0.25">
      <c r="W2975" s="111"/>
    </row>
    <row r="2976" spans="23:23" x14ac:dyDescent="0.25">
      <c r="W2976" s="111"/>
    </row>
    <row r="2977" spans="23:23" x14ac:dyDescent="0.25">
      <c r="W2977" s="111"/>
    </row>
    <row r="2978" spans="23:23" x14ac:dyDescent="0.25">
      <c r="W2978" s="111"/>
    </row>
    <row r="2979" spans="23:23" x14ac:dyDescent="0.25">
      <c r="W2979" s="111"/>
    </row>
    <row r="2980" spans="23:23" x14ac:dyDescent="0.25">
      <c r="W2980" s="111"/>
    </row>
    <row r="2981" spans="23:23" x14ac:dyDescent="0.25">
      <c r="W2981" s="111"/>
    </row>
    <row r="2982" spans="23:23" x14ac:dyDescent="0.25">
      <c r="W2982" s="111"/>
    </row>
    <row r="2983" spans="23:23" x14ac:dyDescent="0.25">
      <c r="W2983" s="111"/>
    </row>
    <row r="2984" spans="23:23" x14ac:dyDescent="0.25">
      <c r="W2984" s="111"/>
    </row>
    <row r="2985" spans="23:23" x14ac:dyDescent="0.25">
      <c r="W2985" s="111"/>
    </row>
    <row r="2986" spans="23:23" x14ac:dyDescent="0.25">
      <c r="W2986" s="111"/>
    </row>
    <row r="2987" spans="23:23" x14ac:dyDescent="0.25">
      <c r="W2987" s="111"/>
    </row>
    <row r="2988" spans="23:23" x14ac:dyDescent="0.25">
      <c r="W2988" s="111"/>
    </row>
    <row r="2989" spans="23:23" x14ac:dyDescent="0.25">
      <c r="W2989" s="111"/>
    </row>
    <row r="2990" spans="23:23" x14ac:dyDescent="0.25">
      <c r="W2990" s="111"/>
    </row>
    <row r="2991" spans="23:23" x14ac:dyDescent="0.25">
      <c r="W2991" s="111"/>
    </row>
    <row r="2992" spans="23:23" x14ac:dyDescent="0.25">
      <c r="W2992" s="111"/>
    </row>
    <row r="2993" spans="23:23" x14ac:dyDescent="0.25">
      <c r="W2993" s="111"/>
    </row>
    <row r="2994" spans="23:23" x14ac:dyDescent="0.25">
      <c r="W2994" s="111"/>
    </row>
    <row r="2995" spans="23:23" x14ac:dyDescent="0.25">
      <c r="W2995" s="111"/>
    </row>
    <row r="2996" spans="23:23" x14ac:dyDescent="0.25">
      <c r="W2996" s="111"/>
    </row>
    <row r="2997" spans="23:23" x14ac:dyDescent="0.25">
      <c r="W2997" s="111"/>
    </row>
    <row r="2998" spans="23:23" x14ac:dyDescent="0.25">
      <c r="W2998" s="111"/>
    </row>
    <row r="2999" spans="23:23" x14ac:dyDescent="0.25">
      <c r="W2999" s="111"/>
    </row>
    <row r="3000" spans="23:23" x14ac:dyDescent="0.25">
      <c r="W3000" s="111"/>
    </row>
    <row r="3001" spans="23:23" x14ac:dyDescent="0.25">
      <c r="W3001" s="111"/>
    </row>
    <row r="3002" spans="23:23" x14ac:dyDescent="0.25">
      <c r="W3002" s="111"/>
    </row>
    <row r="3003" spans="23:23" x14ac:dyDescent="0.25">
      <c r="W3003" s="111"/>
    </row>
    <row r="3004" spans="23:23" x14ac:dyDescent="0.25">
      <c r="W3004" s="111"/>
    </row>
    <row r="3005" spans="23:23" x14ac:dyDescent="0.25">
      <c r="W3005" s="111"/>
    </row>
    <row r="3006" spans="23:23" x14ac:dyDescent="0.25">
      <c r="W3006" s="111"/>
    </row>
    <row r="3007" spans="23:23" x14ac:dyDescent="0.25">
      <c r="W3007" s="111"/>
    </row>
    <row r="3008" spans="23:23" x14ac:dyDescent="0.25">
      <c r="W3008" s="111"/>
    </row>
    <row r="3009" spans="23:23" x14ac:dyDescent="0.25">
      <c r="W3009" s="111"/>
    </row>
    <row r="3010" spans="23:23" x14ac:dyDescent="0.25">
      <c r="W3010" s="111"/>
    </row>
    <row r="3011" spans="23:23" x14ac:dyDescent="0.25">
      <c r="W3011" s="111"/>
    </row>
    <row r="3012" spans="23:23" x14ac:dyDescent="0.25">
      <c r="W3012" s="111"/>
    </row>
    <row r="3013" spans="23:23" x14ac:dyDescent="0.25">
      <c r="W3013" s="111"/>
    </row>
    <row r="3014" spans="23:23" x14ac:dyDescent="0.25">
      <c r="W3014" s="111"/>
    </row>
    <row r="3015" spans="23:23" x14ac:dyDescent="0.25">
      <c r="W3015" s="111"/>
    </row>
    <row r="3016" spans="23:23" x14ac:dyDescent="0.25">
      <c r="W3016" s="111"/>
    </row>
    <row r="3017" spans="23:23" x14ac:dyDescent="0.25">
      <c r="W3017" s="111"/>
    </row>
    <row r="3018" spans="23:23" x14ac:dyDescent="0.25">
      <c r="W3018" s="111"/>
    </row>
    <row r="3019" spans="23:23" x14ac:dyDescent="0.25">
      <c r="W3019" s="111"/>
    </row>
    <row r="3020" spans="23:23" x14ac:dyDescent="0.25">
      <c r="W3020" s="111"/>
    </row>
    <row r="3021" spans="23:23" x14ac:dyDescent="0.25">
      <c r="W3021" s="111"/>
    </row>
    <row r="3022" spans="23:23" x14ac:dyDescent="0.25">
      <c r="W3022" s="111"/>
    </row>
    <row r="3023" spans="23:23" x14ac:dyDescent="0.25">
      <c r="W3023" s="111"/>
    </row>
    <row r="3024" spans="23:23" x14ac:dyDescent="0.25">
      <c r="W3024" s="111"/>
    </row>
    <row r="3025" spans="23:23" x14ac:dyDescent="0.25">
      <c r="W3025" s="111"/>
    </row>
    <row r="3026" spans="23:23" x14ac:dyDescent="0.25">
      <c r="W3026" s="111"/>
    </row>
    <row r="3027" spans="23:23" x14ac:dyDescent="0.25">
      <c r="W3027" s="111"/>
    </row>
    <row r="3028" spans="23:23" x14ac:dyDescent="0.25">
      <c r="W3028" s="111"/>
    </row>
    <row r="3029" spans="23:23" x14ac:dyDescent="0.25">
      <c r="W3029" s="111"/>
    </row>
    <row r="3030" spans="23:23" x14ac:dyDescent="0.25">
      <c r="W3030" s="111"/>
    </row>
    <row r="3031" spans="23:23" x14ac:dyDescent="0.25">
      <c r="W3031" s="111"/>
    </row>
    <row r="3032" spans="23:23" x14ac:dyDescent="0.25">
      <c r="W3032" s="111"/>
    </row>
    <row r="3033" spans="23:23" x14ac:dyDescent="0.25">
      <c r="W3033" s="111"/>
    </row>
    <row r="3034" spans="23:23" x14ac:dyDescent="0.25">
      <c r="W3034" s="111"/>
    </row>
    <row r="3035" spans="23:23" x14ac:dyDescent="0.25">
      <c r="W3035" s="111"/>
    </row>
    <row r="3036" spans="23:23" x14ac:dyDescent="0.25">
      <c r="W3036" s="111"/>
    </row>
    <row r="3037" spans="23:23" x14ac:dyDescent="0.25">
      <c r="W3037" s="111"/>
    </row>
    <row r="3038" spans="23:23" x14ac:dyDescent="0.25">
      <c r="W3038" s="111"/>
    </row>
    <row r="3039" spans="23:23" x14ac:dyDescent="0.25">
      <c r="W3039" s="111"/>
    </row>
    <row r="3040" spans="23:23" x14ac:dyDescent="0.25">
      <c r="W3040" s="111"/>
    </row>
    <row r="3041" spans="23:23" x14ac:dyDescent="0.25">
      <c r="W3041" s="111"/>
    </row>
    <row r="3042" spans="23:23" x14ac:dyDescent="0.25">
      <c r="W3042" s="111"/>
    </row>
    <row r="3043" spans="23:23" x14ac:dyDescent="0.25">
      <c r="W3043" s="111"/>
    </row>
    <row r="3044" spans="23:23" x14ac:dyDescent="0.25">
      <c r="W3044" s="111"/>
    </row>
    <row r="3045" spans="23:23" x14ac:dyDescent="0.25">
      <c r="W3045" s="111"/>
    </row>
    <row r="3046" spans="23:23" x14ac:dyDescent="0.25">
      <c r="W3046" s="111"/>
    </row>
    <row r="3047" spans="23:23" x14ac:dyDescent="0.25">
      <c r="W3047" s="111"/>
    </row>
    <row r="3048" spans="23:23" x14ac:dyDescent="0.25">
      <c r="W3048" s="111"/>
    </row>
    <row r="3049" spans="23:23" x14ac:dyDescent="0.25">
      <c r="W3049" s="111"/>
    </row>
    <row r="3050" spans="23:23" x14ac:dyDescent="0.25">
      <c r="W3050" s="111"/>
    </row>
    <row r="3051" spans="23:23" x14ac:dyDescent="0.25">
      <c r="W3051" s="111"/>
    </row>
    <row r="3052" spans="23:23" x14ac:dyDescent="0.25">
      <c r="W3052" s="111"/>
    </row>
    <row r="3053" spans="23:23" x14ac:dyDescent="0.25">
      <c r="W3053" s="111"/>
    </row>
    <row r="3054" spans="23:23" x14ac:dyDescent="0.25">
      <c r="W3054" s="111"/>
    </row>
    <row r="3055" spans="23:23" x14ac:dyDescent="0.25">
      <c r="W3055" s="111"/>
    </row>
    <row r="3056" spans="23:23" x14ac:dyDescent="0.25">
      <c r="W3056" s="111"/>
    </row>
    <row r="3057" spans="23:23" x14ac:dyDescent="0.25">
      <c r="W3057" s="111"/>
    </row>
    <row r="3058" spans="23:23" x14ac:dyDescent="0.25">
      <c r="W3058" s="111"/>
    </row>
    <row r="3059" spans="23:23" x14ac:dyDescent="0.25">
      <c r="W3059" s="111"/>
    </row>
    <row r="3060" spans="23:23" x14ac:dyDescent="0.25">
      <c r="W3060" s="111"/>
    </row>
    <row r="3061" spans="23:23" x14ac:dyDescent="0.25">
      <c r="W3061" s="111"/>
    </row>
    <row r="3062" spans="23:23" x14ac:dyDescent="0.25">
      <c r="W3062" s="111"/>
    </row>
    <row r="3063" spans="23:23" x14ac:dyDescent="0.25">
      <c r="W3063" s="111"/>
    </row>
    <row r="3064" spans="23:23" x14ac:dyDescent="0.25">
      <c r="W3064" s="111"/>
    </row>
    <row r="3065" spans="23:23" x14ac:dyDescent="0.25">
      <c r="W3065" s="111"/>
    </row>
    <row r="3066" spans="23:23" x14ac:dyDescent="0.25">
      <c r="W3066" s="111"/>
    </row>
    <row r="3067" spans="23:23" x14ac:dyDescent="0.25">
      <c r="W3067" s="111"/>
    </row>
    <row r="3068" spans="23:23" x14ac:dyDescent="0.25">
      <c r="W3068" s="111"/>
    </row>
    <row r="3069" spans="23:23" x14ac:dyDescent="0.25">
      <c r="W3069" s="111"/>
    </row>
    <row r="3070" spans="23:23" x14ac:dyDescent="0.25">
      <c r="W3070" s="111"/>
    </row>
    <row r="3071" spans="23:23" x14ac:dyDescent="0.25">
      <c r="W3071" s="111"/>
    </row>
    <row r="3072" spans="23:23" x14ac:dyDescent="0.25">
      <c r="W3072" s="111"/>
    </row>
    <row r="3073" spans="23:23" x14ac:dyDescent="0.25">
      <c r="W3073" s="111"/>
    </row>
    <row r="3074" spans="23:23" x14ac:dyDescent="0.25">
      <c r="W3074" s="111"/>
    </row>
    <row r="3075" spans="23:23" x14ac:dyDescent="0.25">
      <c r="W3075" s="111"/>
    </row>
    <row r="3076" spans="23:23" x14ac:dyDescent="0.25">
      <c r="W3076" s="111"/>
    </row>
    <row r="3077" spans="23:23" x14ac:dyDescent="0.25">
      <c r="W3077" s="111"/>
    </row>
    <row r="3078" spans="23:23" x14ac:dyDescent="0.25">
      <c r="W3078" s="111"/>
    </row>
    <row r="3079" spans="23:23" x14ac:dyDescent="0.25">
      <c r="W3079" s="111"/>
    </row>
    <row r="3080" spans="23:23" x14ac:dyDescent="0.25">
      <c r="W3080" s="111"/>
    </row>
    <row r="3081" spans="23:23" x14ac:dyDescent="0.25">
      <c r="W3081" s="111"/>
    </row>
    <row r="3082" spans="23:23" x14ac:dyDescent="0.25">
      <c r="W3082" s="111"/>
    </row>
    <row r="3083" spans="23:23" x14ac:dyDescent="0.25">
      <c r="W3083" s="111"/>
    </row>
    <row r="3084" spans="23:23" x14ac:dyDescent="0.25">
      <c r="W3084" s="111"/>
    </row>
    <row r="3085" spans="23:23" x14ac:dyDescent="0.25">
      <c r="W3085" s="111"/>
    </row>
    <row r="3086" spans="23:23" x14ac:dyDescent="0.25">
      <c r="W3086" s="111"/>
    </row>
    <row r="3087" spans="23:23" x14ac:dyDescent="0.25">
      <c r="W3087" s="111"/>
    </row>
    <row r="3088" spans="23:23" x14ac:dyDescent="0.25">
      <c r="W3088" s="111"/>
    </row>
    <row r="3089" spans="23:23" x14ac:dyDescent="0.25">
      <c r="W3089" s="111"/>
    </row>
    <row r="3090" spans="23:23" x14ac:dyDescent="0.25">
      <c r="W3090" s="111"/>
    </row>
    <row r="3091" spans="23:23" x14ac:dyDescent="0.25">
      <c r="W3091" s="111"/>
    </row>
    <row r="3092" spans="23:23" x14ac:dyDescent="0.25">
      <c r="W3092" s="111"/>
    </row>
    <row r="3093" spans="23:23" x14ac:dyDescent="0.25">
      <c r="W3093" s="111"/>
    </row>
    <row r="3094" spans="23:23" x14ac:dyDescent="0.25">
      <c r="W3094" s="111"/>
    </row>
    <row r="3095" spans="23:23" x14ac:dyDescent="0.25">
      <c r="W3095" s="111"/>
    </row>
    <row r="3096" spans="23:23" x14ac:dyDescent="0.25">
      <c r="W3096" s="111"/>
    </row>
    <row r="3097" spans="23:23" x14ac:dyDescent="0.25">
      <c r="W3097" s="111"/>
    </row>
    <row r="3098" spans="23:23" x14ac:dyDescent="0.25">
      <c r="W3098" s="111"/>
    </row>
    <row r="3099" spans="23:23" x14ac:dyDescent="0.25">
      <c r="W3099" s="111"/>
    </row>
    <row r="3100" spans="23:23" x14ac:dyDescent="0.25">
      <c r="W3100" s="111"/>
    </row>
    <row r="3101" spans="23:23" x14ac:dyDescent="0.25">
      <c r="W3101" s="111"/>
    </row>
    <row r="3102" spans="23:23" x14ac:dyDescent="0.25">
      <c r="W3102" s="111"/>
    </row>
    <row r="3103" spans="23:23" x14ac:dyDescent="0.25">
      <c r="W3103" s="111"/>
    </row>
    <row r="3104" spans="23:23" x14ac:dyDescent="0.25">
      <c r="W3104" s="111"/>
    </row>
    <row r="3105" spans="23:23" x14ac:dyDescent="0.25">
      <c r="W3105" s="111"/>
    </row>
    <row r="3106" spans="23:23" x14ac:dyDescent="0.25">
      <c r="W3106" s="111"/>
    </row>
    <row r="3107" spans="23:23" x14ac:dyDescent="0.25">
      <c r="W3107" s="111"/>
    </row>
    <row r="3108" spans="23:23" x14ac:dyDescent="0.25">
      <c r="W3108" s="111"/>
    </row>
    <row r="3109" spans="23:23" x14ac:dyDescent="0.25">
      <c r="W3109" s="111"/>
    </row>
    <row r="3110" spans="23:23" x14ac:dyDescent="0.25">
      <c r="W3110" s="111"/>
    </row>
    <row r="3111" spans="23:23" x14ac:dyDescent="0.25">
      <c r="W3111" s="111"/>
    </row>
    <row r="3112" spans="23:23" x14ac:dyDescent="0.25">
      <c r="W3112" s="111"/>
    </row>
    <row r="3113" spans="23:23" x14ac:dyDescent="0.25">
      <c r="W3113" s="111"/>
    </row>
    <row r="3114" spans="23:23" x14ac:dyDescent="0.25">
      <c r="W3114" s="111"/>
    </row>
    <row r="3115" spans="23:23" x14ac:dyDescent="0.25">
      <c r="W3115" s="111"/>
    </row>
    <row r="3116" spans="23:23" x14ac:dyDescent="0.25">
      <c r="W3116" s="111"/>
    </row>
    <row r="3117" spans="23:23" x14ac:dyDescent="0.25">
      <c r="W3117" s="111"/>
    </row>
    <row r="3118" spans="23:23" x14ac:dyDescent="0.25">
      <c r="W3118" s="111"/>
    </row>
    <row r="3119" spans="23:23" x14ac:dyDescent="0.25">
      <c r="W3119" s="111"/>
    </row>
    <row r="3120" spans="23:23" x14ac:dyDescent="0.25">
      <c r="W3120" s="111"/>
    </row>
    <row r="3121" spans="23:23" x14ac:dyDescent="0.25">
      <c r="W3121" s="111"/>
    </row>
    <row r="3122" spans="23:23" x14ac:dyDescent="0.25">
      <c r="W3122" s="111"/>
    </row>
    <row r="3123" spans="23:23" x14ac:dyDescent="0.25">
      <c r="W3123" s="111"/>
    </row>
    <row r="3124" spans="23:23" x14ac:dyDescent="0.25">
      <c r="W3124" s="111"/>
    </row>
    <row r="3125" spans="23:23" x14ac:dyDescent="0.25">
      <c r="W3125" s="111"/>
    </row>
    <row r="3126" spans="23:23" x14ac:dyDescent="0.25">
      <c r="W3126" s="111"/>
    </row>
    <row r="3127" spans="23:23" x14ac:dyDescent="0.25">
      <c r="W3127" s="111"/>
    </row>
    <row r="3128" spans="23:23" x14ac:dyDescent="0.25">
      <c r="W3128" s="111"/>
    </row>
    <row r="3129" spans="23:23" x14ac:dyDescent="0.25">
      <c r="W3129" s="111"/>
    </row>
    <row r="3130" spans="23:23" x14ac:dyDescent="0.25">
      <c r="W3130" s="111"/>
    </row>
    <row r="3131" spans="23:23" x14ac:dyDescent="0.25">
      <c r="W3131" s="111"/>
    </row>
    <row r="3132" spans="23:23" x14ac:dyDescent="0.25">
      <c r="W3132" s="111"/>
    </row>
    <row r="3133" spans="23:23" x14ac:dyDescent="0.25">
      <c r="W3133" s="111"/>
    </row>
    <row r="3134" spans="23:23" x14ac:dyDescent="0.25">
      <c r="W3134" s="111"/>
    </row>
    <row r="3135" spans="23:23" x14ac:dyDescent="0.25">
      <c r="W3135" s="111"/>
    </row>
    <row r="3136" spans="23:23" x14ac:dyDescent="0.25">
      <c r="W3136" s="111"/>
    </row>
    <row r="3137" spans="23:23" x14ac:dyDescent="0.25">
      <c r="W3137" s="111"/>
    </row>
    <row r="3138" spans="23:23" x14ac:dyDescent="0.25">
      <c r="W3138" s="111"/>
    </row>
    <row r="3139" spans="23:23" x14ac:dyDescent="0.25">
      <c r="W3139" s="111"/>
    </row>
    <row r="3140" spans="23:23" x14ac:dyDescent="0.25">
      <c r="W3140" s="111"/>
    </row>
    <row r="3141" spans="23:23" x14ac:dyDescent="0.25">
      <c r="W3141" s="111"/>
    </row>
    <row r="3142" spans="23:23" x14ac:dyDescent="0.25">
      <c r="W3142" s="111"/>
    </row>
    <row r="3143" spans="23:23" x14ac:dyDescent="0.25">
      <c r="W3143" s="111"/>
    </row>
    <row r="3144" spans="23:23" x14ac:dyDescent="0.25">
      <c r="W3144" s="111"/>
    </row>
    <row r="3145" spans="23:23" x14ac:dyDescent="0.25">
      <c r="W3145" s="111"/>
    </row>
    <row r="3146" spans="23:23" x14ac:dyDescent="0.25">
      <c r="W3146" s="111"/>
    </row>
    <row r="3147" spans="23:23" x14ac:dyDescent="0.25">
      <c r="W3147" s="111"/>
    </row>
    <row r="3148" spans="23:23" x14ac:dyDescent="0.25">
      <c r="W3148" s="111"/>
    </row>
    <row r="3149" spans="23:23" x14ac:dyDescent="0.25">
      <c r="W3149" s="111"/>
    </row>
    <row r="3150" spans="23:23" x14ac:dyDescent="0.25">
      <c r="W3150" s="111"/>
    </row>
    <row r="3151" spans="23:23" x14ac:dyDescent="0.25">
      <c r="W3151" s="111"/>
    </row>
    <row r="3152" spans="23:23" x14ac:dyDescent="0.25">
      <c r="W3152" s="111"/>
    </row>
    <row r="3153" spans="23:23" x14ac:dyDescent="0.25">
      <c r="W3153" s="111"/>
    </row>
    <row r="3154" spans="23:23" x14ac:dyDescent="0.25">
      <c r="W3154" s="111"/>
    </row>
    <row r="3155" spans="23:23" x14ac:dyDescent="0.25">
      <c r="W3155" s="111"/>
    </row>
    <row r="3156" spans="23:23" x14ac:dyDescent="0.25">
      <c r="W3156" s="111"/>
    </row>
    <row r="3157" spans="23:23" x14ac:dyDescent="0.25">
      <c r="W3157" s="111"/>
    </row>
    <row r="3158" spans="23:23" x14ac:dyDescent="0.25">
      <c r="W3158" s="111"/>
    </row>
    <row r="3159" spans="23:23" x14ac:dyDescent="0.25">
      <c r="W3159" s="111"/>
    </row>
    <row r="3160" spans="23:23" x14ac:dyDescent="0.25">
      <c r="W3160" s="111"/>
    </row>
    <row r="3161" spans="23:23" x14ac:dyDescent="0.25">
      <c r="W3161" s="111"/>
    </row>
    <row r="3162" spans="23:23" x14ac:dyDescent="0.25">
      <c r="W3162" s="111"/>
    </row>
    <row r="3163" spans="23:23" x14ac:dyDescent="0.25">
      <c r="W3163" s="111"/>
    </row>
    <row r="3164" spans="23:23" x14ac:dyDescent="0.25">
      <c r="W3164" s="111"/>
    </row>
    <row r="3165" spans="23:23" x14ac:dyDescent="0.25">
      <c r="W3165" s="111"/>
    </row>
    <row r="3166" spans="23:23" x14ac:dyDescent="0.25">
      <c r="W3166" s="111"/>
    </row>
    <row r="3167" spans="23:23" x14ac:dyDescent="0.25">
      <c r="W3167" s="111"/>
    </row>
    <row r="3168" spans="23:23" x14ac:dyDescent="0.25">
      <c r="W3168" s="111"/>
    </row>
    <row r="3169" spans="23:23" x14ac:dyDescent="0.25">
      <c r="W3169" s="111"/>
    </row>
    <row r="3170" spans="23:23" x14ac:dyDescent="0.25">
      <c r="W3170" s="111"/>
    </row>
    <row r="3171" spans="23:23" x14ac:dyDescent="0.25">
      <c r="W3171" s="111"/>
    </row>
    <row r="3172" spans="23:23" x14ac:dyDescent="0.25">
      <c r="W3172" s="111"/>
    </row>
    <row r="3173" spans="23:23" x14ac:dyDescent="0.25">
      <c r="W3173" s="111"/>
    </row>
    <row r="3174" spans="23:23" x14ac:dyDescent="0.25">
      <c r="W3174" s="111"/>
    </row>
    <row r="3175" spans="23:23" x14ac:dyDescent="0.25">
      <c r="W3175" s="111"/>
    </row>
    <row r="3176" spans="23:23" x14ac:dyDescent="0.25">
      <c r="W3176" s="111"/>
    </row>
    <row r="3177" spans="23:23" x14ac:dyDescent="0.25">
      <c r="W3177" s="111"/>
    </row>
    <row r="3178" spans="23:23" x14ac:dyDescent="0.25">
      <c r="W3178" s="111"/>
    </row>
    <row r="3179" spans="23:23" x14ac:dyDescent="0.25">
      <c r="W3179" s="111"/>
    </row>
    <row r="3180" spans="23:23" x14ac:dyDescent="0.25">
      <c r="W3180" s="111"/>
    </row>
    <row r="3181" spans="23:23" x14ac:dyDescent="0.25">
      <c r="W3181" s="111"/>
    </row>
    <row r="3182" spans="23:23" x14ac:dyDescent="0.25">
      <c r="W3182" s="111"/>
    </row>
    <row r="3183" spans="23:23" x14ac:dyDescent="0.25">
      <c r="W3183" s="111"/>
    </row>
    <row r="3184" spans="23:23" x14ac:dyDescent="0.25">
      <c r="W3184" s="111"/>
    </row>
    <row r="3185" spans="23:23" x14ac:dyDescent="0.25">
      <c r="W3185" s="111"/>
    </row>
    <row r="3186" spans="23:23" x14ac:dyDescent="0.25">
      <c r="W3186" s="111"/>
    </row>
    <row r="3187" spans="23:23" x14ac:dyDescent="0.25">
      <c r="W3187" s="111"/>
    </row>
    <row r="3188" spans="23:23" x14ac:dyDescent="0.25">
      <c r="W3188" s="111"/>
    </row>
    <row r="3189" spans="23:23" x14ac:dyDescent="0.25">
      <c r="W3189" s="111"/>
    </row>
    <row r="3190" spans="23:23" x14ac:dyDescent="0.25">
      <c r="W3190" s="111"/>
    </row>
    <row r="3191" spans="23:23" x14ac:dyDescent="0.25">
      <c r="W3191" s="111"/>
    </row>
    <row r="3192" spans="23:23" x14ac:dyDescent="0.25">
      <c r="W3192" s="111"/>
    </row>
    <row r="3193" spans="23:23" x14ac:dyDescent="0.25">
      <c r="W3193" s="111"/>
    </row>
    <row r="3194" spans="23:23" x14ac:dyDescent="0.25">
      <c r="W3194" s="111"/>
    </row>
    <row r="3195" spans="23:23" x14ac:dyDescent="0.25">
      <c r="W3195" s="111"/>
    </row>
    <row r="3196" spans="23:23" x14ac:dyDescent="0.25">
      <c r="W3196" s="111"/>
    </row>
    <row r="3197" spans="23:23" x14ac:dyDescent="0.25">
      <c r="W3197" s="111"/>
    </row>
    <row r="3198" spans="23:23" x14ac:dyDescent="0.25">
      <c r="W3198" s="111"/>
    </row>
    <row r="3199" spans="23:23" x14ac:dyDescent="0.25">
      <c r="W3199" s="111"/>
    </row>
    <row r="3200" spans="23:23" x14ac:dyDescent="0.25">
      <c r="W3200" s="111"/>
    </row>
    <row r="3201" spans="23:23" x14ac:dyDescent="0.25">
      <c r="W3201" s="111"/>
    </row>
    <row r="3202" spans="23:23" x14ac:dyDescent="0.25">
      <c r="W3202" s="111"/>
    </row>
    <row r="3203" spans="23:23" x14ac:dyDescent="0.25">
      <c r="W3203" s="111"/>
    </row>
    <row r="3204" spans="23:23" x14ac:dyDescent="0.25">
      <c r="W3204" s="111"/>
    </row>
    <row r="3205" spans="23:23" x14ac:dyDescent="0.25">
      <c r="W3205" s="111"/>
    </row>
    <row r="3206" spans="23:23" x14ac:dyDescent="0.25">
      <c r="W3206" s="111"/>
    </row>
    <row r="3207" spans="23:23" x14ac:dyDescent="0.25">
      <c r="W3207" s="111"/>
    </row>
    <row r="3208" spans="23:23" x14ac:dyDescent="0.25">
      <c r="W3208" s="111"/>
    </row>
    <row r="3209" spans="23:23" x14ac:dyDescent="0.25">
      <c r="W3209" s="111"/>
    </row>
    <row r="3210" spans="23:23" x14ac:dyDescent="0.25">
      <c r="W3210" s="111"/>
    </row>
    <row r="3211" spans="23:23" x14ac:dyDescent="0.25">
      <c r="W3211" s="111"/>
    </row>
    <row r="3212" spans="23:23" x14ac:dyDescent="0.25">
      <c r="W3212" s="111"/>
    </row>
    <row r="3213" spans="23:23" x14ac:dyDescent="0.25">
      <c r="W3213" s="111"/>
    </row>
    <row r="3214" spans="23:23" x14ac:dyDescent="0.25">
      <c r="W3214" s="111"/>
    </row>
    <row r="3215" spans="23:23" x14ac:dyDescent="0.25">
      <c r="W3215" s="111"/>
    </row>
    <row r="3216" spans="23:23" x14ac:dyDescent="0.25">
      <c r="W3216" s="111"/>
    </row>
    <row r="3217" spans="23:23" x14ac:dyDescent="0.25">
      <c r="W3217" s="111"/>
    </row>
    <row r="3218" spans="23:23" x14ac:dyDescent="0.25">
      <c r="W3218" s="111"/>
    </row>
    <row r="3219" spans="23:23" x14ac:dyDescent="0.25">
      <c r="W3219" s="111"/>
    </row>
    <row r="3220" spans="23:23" x14ac:dyDescent="0.25">
      <c r="W3220" s="111"/>
    </row>
    <row r="3221" spans="23:23" x14ac:dyDescent="0.25">
      <c r="W3221" s="111"/>
    </row>
    <row r="3222" spans="23:23" x14ac:dyDescent="0.25">
      <c r="W3222" s="111"/>
    </row>
    <row r="3223" spans="23:23" x14ac:dyDescent="0.25">
      <c r="W3223" s="111"/>
    </row>
    <row r="3224" spans="23:23" x14ac:dyDescent="0.25">
      <c r="W3224" s="111"/>
    </row>
    <row r="3225" spans="23:23" x14ac:dyDescent="0.25">
      <c r="W3225" s="111"/>
    </row>
    <row r="3226" spans="23:23" x14ac:dyDescent="0.25">
      <c r="W3226" s="111"/>
    </row>
    <row r="3227" spans="23:23" x14ac:dyDescent="0.25">
      <c r="W3227" s="111"/>
    </row>
    <row r="3228" spans="23:23" x14ac:dyDescent="0.25">
      <c r="W3228" s="111"/>
    </row>
    <row r="3229" spans="23:23" x14ac:dyDescent="0.25">
      <c r="W3229" s="111"/>
    </row>
    <row r="3230" spans="23:23" x14ac:dyDescent="0.25">
      <c r="W3230" s="111"/>
    </row>
    <row r="3231" spans="23:23" x14ac:dyDescent="0.25">
      <c r="W3231" s="111"/>
    </row>
    <row r="3232" spans="23:23" x14ac:dyDescent="0.25">
      <c r="W3232" s="111"/>
    </row>
    <row r="3233" spans="23:23" x14ac:dyDescent="0.25">
      <c r="W3233" s="111"/>
    </row>
    <row r="3234" spans="23:23" x14ac:dyDescent="0.25">
      <c r="W3234" s="111"/>
    </row>
    <row r="3235" spans="23:23" x14ac:dyDescent="0.25">
      <c r="W3235" s="111"/>
    </row>
    <row r="3236" spans="23:23" x14ac:dyDescent="0.25">
      <c r="W3236" s="111"/>
    </row>
    <row r="3237" spans="23:23" x14ac:dyDescent="0.25">
      <c r="W3237" s="111"/>
    </row>
    <row r="3238" spans="23:23" x14ac:dyDescent="0.25">
      <c r="W3238" s="111"/>
    </row>
    <row r="3239" spans="23:23" x14ac:dyDescent="0.25">
      <c r="W3239" s="111"/>
    </row>
    <row r="3240" spans="23:23" x14ac:dyDescent="0.25">
      <c r="W3240" s="111"/>
    </row>
    <row r="3241" spans="23:23" x14ac:dyDescent="0.25">
      <c r="W3241" s="111"/>
    </row>
    <row r="3242" spans="23:23" x14ac:dyDescent="0.25">
      <c r="W3242" s="111"/>
    </row>
    <row r="3243" spans="23:23" x14ac:dyDescent="0.25">
      <c r="W3243" s="111"/>
    </row>
    <row r="3244" spans="23:23" x14ac:dyDescent="0.25">
      <c r="W3244" s="111"/>
    </row>
    <row r="3245" spans="23:23" x14ac:dyDescent="0.25">
      <c r="W3245" s="111"/>
    </row>
    <row r="3246" spans="23:23" x14ac:dyDescent="0.25">
      <c r="W3246" s="111"/>
    </row>
    <row r="3247" spans="23:23" x14ac:dyDescent="0.25">
      <c r="W3247" s="111"/>
    </row>
    <row r="3248" spans="23:23" x14ac:dyDescent="0.25">
      <c r="W3248" s="111"/>
    </row>
    <row r="3249" spans="23:23" x14ac:dyDescent="0.25">
      <c r="W3249" s="111"/>
    </row>
    <row r="3250" spans="23:23" x14ac:dyDescent="0.25">
      <c r="W3250" s="111"/>
    </row>
    <row r="3251" spans="23:23" x14ac:dyDescent="0.25">
      <c r="W3251" s="111"/>
    </row>
    <row r="3252" spans="23:23" x14ac:dyDescent="0.25">
      <c r="W3252" s="111"/>
    </row>
    <row r="3253" spans="23:23" x14ac:dyDescent="0.25">
      <c r="W3253" s="111"/>
    </row>
    <row r="3254" spans="23:23" x14ac:dyDescent="0.25">
      <c r="W3254" s="111"/>
    </row>
    <row r="3255" spans="23:23" x14ac:dyDescent="0.25">
      <c r="W3255" s="111"/>
    </row>
    <row r="3256" spans="23:23" x14ac:dyDescent="0.25">
      <c r="W3256" s="111"/>
    </row>
    <row r="3257" spans="23:23" x14ac:dyDescent="0.25">
      <c r="W3257" s="111"/>
    </row>
    <row r="3258" spans="23:23" x14ac:dyDescent="0.25">
      <c r="W3258" s="111"/>
    </row>
    <row r="3259" spans="23:23" x14ac:dyDescent="0.25">
      <c r="W3259" s="111"/>
    </row>
    <row r="3260" spans="23:23" x14ac:dyDescent="0.25">
      <c r="W3260" s="111"/>
    </row>
    <row r="3261" spans="23:23" x14ac:dyDescent="0.25">
      <c r="W3261" s="111"/>
    </row>
    <row r="3262" spans="23:23" x14ac:dyDescent="0.25">
      <c r="W3262" s="111"/>
    </row>
    <row r="3263" spans="23:23" x14ac:dyDescent="0.25">
      <c r="W3263" s="111"/>
    </row>
    <row r="3264" spans="23:23" x14ac:dyDescent="0.25">
      <c r="W3264" s="111"/>
    </row>
    <row r="3265" spans="23:23" x14ac:dyDescent="0.25">
      <c r="W3265" s="111"/>
    </row>
    <row r="3266" spans="23:23" x14ac:dyDescent="0.25">
      <c r="W3266" s="111"/>
    </row>
    <row r="3267" spans="23:23" x14ac:dyDescent="0.25">
      <c r="W3267" s="111"/>
    </row>
    <row r="3268" spans="23:23" x14ac:dyDescent="0.25">
      <c r="W3268" s="111"/>
    </row>
    <row r="3269" spans="23:23" x14ac:dyDescent="0.25">
      <c r="W3269" s="111"/>
    </row>
    <row r="3270" spans="23:23" x14ac:dyDescent="0.25">
      <c r="W3270" s="111"/>
    </row>
    <row r="3271" spans="23:23" x14ac:dyDescent="0.25">
      <c r="W3271" s="111"/>
    </row>
    <row r="3272" spans="23:23" x14ac:dyDescent="0.25">
      <c r="W3272" s="111"/>
    </row>
    <row r="3273" spans="23:23" x14ac:dyDescent="0.25">
      <c r="W3273" s="111"/>
    </row>
    <row r="3274" spans="23:23" x14ac:dyDescent="0.25">
      <c r="W3274" s="111"/>
    </row>
    <row r="3275" spans="23:23" x14ac:dyDescent="0.25">
      <c r="W3275" s="111"/>
    </row>
    <row r="3276" spans="23:23" x14ac:dyDescent="0.25">
      <c r="W3276" s="111"/>
    </row>
    <row r="3277" spans="23:23" x14ac:dyDescent="0.25">
      <c r="W3277" s="111"/>
    </row>
    <row r="3278" spans="23:23" x14ac:dyDescent="0.25">
      <c r="W3278" s="111"/>
    </row>
    <row r="3279" spans="23:23" x14ac:dyDescent="0.25">
      <c r="W3279" s="111"/>
    </row>
    <row r="3280" spans="23:23" x14ac:dyDescent="0.25">
      <c r="W3280" s="111"/>
    </row>
    <row r="3281" spans="23:23" x14ac:dyDescent="0.25">
      <c r="W3281" s="111"/>
    </row>
    <row r="3282" spans="23:23" x14ac:dyDescent="0.25">
      <c r="W3282" s="111"/>
    </row>
    <row r="3283" spans="23:23" x14ac:dyDescent="0.25">
      <c r="W3283" s="111"/>
    </row>
    <row r="3284" spans="23:23" x14ac:dyDescent="0.25">
      <c r="W3284" s="111"/>
    </row>
    <row r="3285" spans="23:23" x14ac:dyDescent="0.25">
      <c r="W3285" s="111"/>
    </row>
    <row r="3286" spans="23:23" x14ac:dyDescent="0.25">
      <c r="W3286" s="111"/>
    </row>
    <row r="3287" spans="23:23" x14ac:dyDescent="0.25">
      <c r="W3287" s="111"/>
    </row>
    <row r="3288" spans="23:23" x14ac:dyDescent="0.25">
      <c r="W3288" s="111"/>
    </row>
    <row r="3289" spans="23:23" x14ac:dyDescent="0.25">
      <c r="W3289" s="111"/>
    </row>
    <row r="3290" spans="23:23" x14ac:dyDescent="0.25">
      <c r="W3290" s="111"/>
    </row>
    <row r="3291" spans="23:23" x14ac:dyDescent="0.25">
      <c r="W3291" s="111"/>
    </row>
    <row r="3292" spans="23:23" x14ac:dyDescent="0.25">
      <c r="W3292" s="111"/>
    </row>
    <row r="3293" spans="23:23" x14ac:dyDescent="0.25">
      <c r="W3293" s="111"/>
    </row>
    <row r="3294" spans="23:23" x14ac:dyDescent="0.25">
      <c r="W3294" s="111"/>
    </row>
    <row r="3295" spans="23:23" x14ac:dyDescent="0.25">
      <c r="W3295" s="111"/>
    </row>
    <row r="3296" spans="23:23" x14ac:dyDescent="0.25">
      <c r="W3296" s="111"/>
    </row>
    <row r="3297" spans="23:23" x14ac:dyDescent="0.25">
      <c r="W3297" s="111"/>
    </row>
    <row r="3298" spans="23:23" x14ac:dyDescent="0.25">
      <c r="W3298" s="111"/>
    </row>
    <row r="3299" spans="23:23" x14ac:dyDescent="0.25">
      <c r="W3299" s="111"/>
    </row>
    <row r="3300" spans="23:23" x14ac:dyDescent="0.25">
      <c r="W3300" s="111"/>
    </row>
    <row r="3301" spans="23:23" x14ac:dyDescent="0.25">
      <c r="W3301" s="111"/>
    </row>
    <row r="3302" spans="23:23" x14ac:dyDescent="0.25">
      <c r="W3302" s="111"/>
    </row>
    <row r="3303" spans="23:23" x14ac:dyDescent="0.25">
      <c r="W3303" s="111"/>
    </row>
    <row r="3304" spans="23:23" x14ac:dyDescent="0.25">
      <c r="W3304" s="111"/>
    </row>
    <row r="3305" spans="23:23" x14ac:dyDescent="0.25">
      <c r="W3305" s="111"/>
    </row>
    <row r="3306" spans="23:23" x14ac:dyDescent="0.25">
      <c r="W3306" s="111"/>
    </row>
    <row r="3307" spans="23:23" x14ac:dyDescent="0.25">
      <c r="W3307" s="111"/>
    </row>
    <row r="3308" spans="23:23" x14ac:dyDescent="0.25">
      <c r="W3308" s="111"/>
    </row>
    <row r="3309" spans="23:23" x14ac:dyDescent="0.25">
      <c r="W3309" s="111"/>
    </row>
    <row r="3310" spans="23:23" x14ac:dyDescent="0.25">
      <c r="W3310" s="111"/>
    </row>
    <row r="3311" spans="23:23" x14ac:dyDescent="0.25">
      <c r="W3311" s="111"/>
    </row>
    <row r="3312" spans="23:23" x14ac:dyDescent="0.25">
      <c r="W3312" s="111"/>
    </row>
    <row r="3313" spans="23:23" x14ac:dyDescent="0.25">
      <c r="W3313" s="111"/>
    </row>
    <row r="3314" spans="23:23" x14ac:dyDescent="0.25">
      <c r="W3314" s="111"/>
    </row>
    <row r="3315" spans="23:23" x14ac:dyDescent="0.25">
      <c r="W3315" s="111"/>
    </row>
    <row r="3316" spans="23:23" x14ac:dyDescent="0.25">
      <c r="W3316" s="111"/>
    </row>
    <row r="3317" spans="23:23" x14ac:dyDescent="0.25">
      <c r="W3317" s="111"/>
    </row>
    <row r="3318" spans="23:23" x14ac:dyDescent="0.25">
      <c r="W3318" s="111"/>
    </row>
    <row r="3319" spans="23:23" x14ac:dyDescent="0.25">
      <c r="W3319" s="111"/>
    </row>
    <row r="3320" spans="23:23" x14ac:dyDescent="0.25">
      <c r="W3320" s="111"/>
    </row>
    <row r="3321" spans="23:23" x14ac:dyDescent="0.25">
      <c r="W3321" s="111"/>
    </row>
    <row r="3322" spans="23:23" x14ac:dyDescent="0.25">
      <c r="W3322" s="111"/>
    </row>
    <row r="3323" spans="23:23" x14ac:dyDescent="0.25">
      <c r="W3323" s="111"/>
    </row>
    <row r="3324" spans="23:23" x14ac:dyDescent="0.25">
      <c r="W3324" s="111"/>
    </row>
    <row r="3325" spans="23:23" x14ac:dyDescent="0.25">
      <c r="W3325" s="111"/>
    </row>
    <row r="3326" spans="23:23" x14ac:dyDescent="0.25">
      <c r="W3326" s="111"/>
    </row>
    <row r="3327" spans="23:23" x14ac:dyDescent="0.25">
      <c r="W3327" s="111"/>
    </row>
    <row r="3328" spans="23:23" x14ac:dyDescent="0.25">
      <c r="W3328" s="111"/>
    </row>
    <row r="3329" spans="23:23" x14ac:dyDescent="0.25">
      <c r="W3329" s="111"/>
    </row>
    <row r="3330" spans="23:23" x14ac:dyDescent="0.25">
      <c r="W3330" s="111"/>
    </row>
    <row r="3331" spans="23:23" x14ac:dyDescent="0.25">
      <c r="W3331" s="111"/>
    </row>
    <row r="3332" spans="23:23" x14ac:dyDescent="0.25">
      <c r="W3332" s="111"/>
    </row>
    <row r="3333" spans="23:23" x14ac:dyDescent="0.25">
      <c r="W3333" s="111"/>
    </row>
    <row r="3334" spans="23:23" x14ac:dyDescent="0.25">
      <c r="W3334" s="111"/>
    </row>
    <row r="3335" spans="23:23" x14ac:dyDescent="0.25">
      <c r="W3335" s="111"/>
    </row>
    <row r="3336" spans="23:23" x14ac:dyDescent="0.25">
      <c r="W3336" s="111"/>
    </row>
    <row r="3337" spans="23:23" x14ac:dyDescent="0.25">
      <c r="W3337" s="111"/>
    </row>
    <row r="3338" spans="23:23" x14ac:dyDescent="0.25">
      <c r="W3338" s="111"/>
    </row>
    <row r="3339" spans="23:23" x14ac:dyDescent="0.25">
      <c r="W3339" s="111"/>
    </row>
    <row r="3340" spans="23:23" x14ac:dyDescent="0.25">
      <c r="W3340" s="111"/>
    </row>
    <row r="3341" spans="23:23" x14ac:dyDescent="0.25">
      <c r="W3341" s="111"/>
    </row>
    <row r="3342" spans="23:23" x14ac:dyDescent="0.25">
      <c r="W3342" s="111"/>
    </row>
    <row r="3343" spans="23:23" x14ac:dyDescent="0.25">
      <c r="W3343" s="111"/>
    </row>
    <row r="3344" spans="23:23" x14ac:dyDescent="0.25">
      <c r="W3344" s="111"/>
    </row>
    <row r="3345" spans="23:23" x14ac:dyDescent="0.25">
      <c r="W3345" s="111"/>
    </row>
    <row r="3346" spans="23:23" x14ac:dyDescent="0.25">
      <c r="W3346" s="111"/>
    </row>
    <row r="3347" spans="23:23" x14ac:dyDescent="0.25">
      <c r="W3347" s="111"/>
    </row>
    <row r="3348" spans="23:23" x14ac:dyDescent="0.25">
      <c r="W3348" s="111"/>
    </row>
    <row r="3349" spans="23:23" x14ac:dyDescent="0.25">
      <c r="W3349" s="111"/>
    </row>
    <row r="3350" spans="23:23" x14ac:dyDescent="0.25">
      <c r="W3350" s="111"/>
    </row>
    <row r="3351" spans="23:23" x14ac:dyDescent="0.25">
      <c r="W3351" s="111"/>
    </row>
    <row r="3352" spans="23:23" x14ac:dyDescent="0.25">
      <c r="W3352" s="111"/>
    </row>
    <row r="3353" spans="23:23" x14ac:dyDescent="0.25">
      <c r="W3353" s="111"/>
    </row>
    <row r="3354" spans="23:23" x14ac:dyDescent="0.25">
      <c r="W3354" s="111"/>
    </row>
    <row r="3355" spans="23:23" x14ac:dyDescent="0.25">
      <c r="W3355" s="111"/>
    </row>
    <row r="3356" spans="23:23" x14ac:dyDescent="0.25">
      <c r="W3356" s="111"/>
    </row>
    <row r="3357" spans="23:23" x14ac:dyDescent="0.25">
      <c r="W3357" s="111"/>
    </row>
    <row r="3358" spans="23:23" x14ac:dyDescent="0.25">
      <c r="W3358" s="111"/>
    </row>
    <row r="3359" spans="23:23" x14ac:dyDescent="0.25">
      <c r="W3359" s="111"/>
    </row>
    <row r="3360" spans="23:23" x14ac:dyDescent="0.25">
      <c r="W3360" s="111"/>
    </row>
    <row r="3361" spans="23:23" x14ac:dyDescent="0.25">
      <c r="W3361" s="111"/>
    </row>
    <row r="3362" spans="23:23" x14ac:dyDescent="0.25">
      <c r="W3362" s="111"/>
    </row>
    <row r="3363" spans="23:23" x14ac:dyDescent="0.25">
      <c r="W3363" s="111"/>
    </row>
    <row r="3364" spans="23:23" x14ac:dyDescent="0.25">
      <c r="W3364" s="111"/>
    </row>
    <row r="3365" spans="23:23" x14ac:dyDescent="0.25">
      <c r="W3365" s="111"/>
    </row>
    <row r="3366" spans="23:23" x14ac:dyDescent="0.25">
      <c r="W3366" s="111"/>
    </row>
    <row r="3367" spans="23:23" x14ac:dyDescent="0.25">
      <c r="W3367" s="111"/>
    </row>
    <row r="3368" spans="23:23" x14ac:dyDescent="0.25">
      <c r="W3368" s="111"/>
    </row>
    <row r="3369" spans="23:23" x14ac:dyDescent="0.25">
      <c r="W3369" s="111"/>
    </row>
    <row r="3370" spans="23:23" x14ac:dyDescent="0.25">
      <c r="W3370" s="111"/>
    </row>
    <row r="3371" spans="23:23" x14ac:dyDescent="0.25">
      <c r="W3371" s="111"/>
    </row>
    <row r="3372" spans="23:23" x14ac:dyDescent="0.25">
      <c r="W3372" s="111"/>
    </row>
    <row r="3373" spans="23:23" x14ac:dyDescent="0.25">
      <c r="W3373" s="111"/>
    </row>
    <row r="3374" spans="23:23" x14ac:dyDescent="0.25">
      <c r="W3374" s="111"/>
    </row>
    <row r="3375" spans="23:23" x14ac:dyDescent="0.25">
      <c r="W3375" s="111"/>
    </row>
    <row r="3376" spans="23:23" x14ac:dyDescent="0.25">
      <c r="W3376" s="111"/>
    </row>
    <row r="3377" spans="23:23" x14ac:dyDescent="0.25">
      <c r="W3377" s="111"/>
    </row>
    <row r="3378" spans="23:23" x14ac:dyDescent="0.25">
      <c r="W3378" s="111"/>
    </row>
    <row r="3379" spans="23:23" x14ac:dyDescent="0.25">
      <c r="W3379" s="111"/>
    </row>
    <row r="3380" spans="23:23" x14ac:dyDescent="0.25">
      <c r="W3380" s="111"/>
    </row>
    <row r="3381" spans="23:23" x14ac:dyDescent="0.25">
      <c r="W3381" s="111"/>
    </row>
    <row r="3382" spans="23:23" x14ac:dyDescent="0.25">
      <c r="W3382" s="111"/>
    </row>
    <row r="3383" spans="23:23" x14ac:dyDescent="0.25">
      <c r="W3383" s="111"/>
    </row>
    <row r="3384" spans="23:23" x14ac:dyDescent="0.25">
      <c r="W3384" s="111"/>
    </row>
    <row r="3385" spans="23:23" x14ac:dyDescent="0.25">
      <c r="W3385" s="111"/>
    </row>
    <row r="3386" spans="23:23" x14ac:dyDescent="0.25">
      <c r="W3386" s="111"/>
    </row>
    <row r="3387" spans="23:23" x14ac:dyDescent="0.25">
      <c r="W3387" s="111"/>
    </row>
    <row r="3388" spans="23:23" x14ac:dyDescent="0.25">
      <c r="W3388" s="111"/>
    </row>
    <row r="3389" spans="23:23" x14ac:dyDescent="0.25">
      <c r="W3389" s="111"/>
    </row>
    <row r="3390" spans="23:23" x14ac:dyDescent="0.25">
      <c r="W3390" s="111"/>
    </row>
    <row r="3391" spans="23:23" x14ac:dyDescent="0.25">
      <c r="W3391" s="111"/>
    </row>
    <row r="3392" spans="23:23" x14ac:dyDescent="0.25">
      <c r="W3392" s="111"/>
    </row>
    <row r="3393" spans="23:23" x14ac:dyDescent="0.25">
      <c r="W3393" s="111"/>
    </row>
    <row r="3394" spans="23:23" x14ac:dyDescent="0.25">
      <c r="W3394" s="111"/>
    </row>
    <row r="3395" spans="23:23" x14ac:dyDescent="0.25">
      <c r="W3395" s="111"/>
    </row>
    <row r="3396" spans="23:23" x14ac:dyDescent="0.25">
      <c r="W3396" s="111"/>
    </row>
    <row r="3397" spans="23:23" x14ac:dyDescent="0.25">
      <c r="W3397" s="111"/>
    </row>
    <row r="3398" spans="23:23" x14ac:dyDescent="0.25">
      <c r="W3398" s="111"/>
    </row>
    <row r="3399" spans="23:23" x14ac:dyDescent="0.25">
      <c r="W3399" s="111"/>
    </row>
    <row r="3400" spans="23:23" x14ac:dyDescent="0.25">
      <c r="W3400" s="111"/>
    </row>
    <row r="3401" spans="23:23" x14ac:dyDescent="0.25">
      <c r="W3401" s="111"/>
    </row>
    <row r="3402" spans="23:23" x14ac:dyDescent="0.25">
      <c r="W3402" s="111"/>
    </row>
    <row r="3403" spans="23:23" x14ac:dyDescent="0.25">
      <c r="W3403" s="111"/>
    </row>
    <row r="3404" spans="23:23" x14ac:dyDescent="0.25">
      <c r="W3404" s="111"/>
    </row>
    <row r="3405" spans="23:23" x14ac:dyDescent="0.25">
      <c r="W3405" s="111"/>
    </row>
    <row r="3406" spans="23:23" x14ac:dyDescent="0.25">
      <c r="W3406" s="111"/>
    </row>
    <row r="3407" spans="23:23" x14ac:dyDescent="0.25">
      <c r="W3407" s="111"/>
    </row>
    <row r="3408" spans="23:23" x14ac:dyDescent="0.25">
      <c r="W3408" s="111"/>
    </row>
    <row r="3409" spans="23:23" x14ac:dyDescent="0.25">
      <c r="W3409" s="111"/>
    </row>
    <row r="3410" spans="23:23" x14ac:dyDescent="0.25">
      <c r="W3410" s="111"/>
    </row>
    <row r="3411" spans="23:23" x14ac:dyDescent="0.25">
      <c r="W3411" s="111"/>
    </row>
    <row r="3412" spans="23:23" x14ac:dyDescent="0.25">
      <c r="W3412" s="111"/>
    </row>
    <row r="3413" spans="23:23" x14ac:dyDescent="0.25">
      <c r="W3413" s="111"/>
    </row>
    <row r="3414" spans="23:23" x14ac:dyDescent="0.25">
      <c r="W3414" s="111"/>
    </row>
    <row r="3415" spans="23:23" x14ac:dyDescent="0.25">
      <c r="W3415" s="111"/>
    </row>
    <row r="3416" spans="23:23" x14ac:dyDescent="0.25">
      <c r="W3416" s="111"/>
    </row>
    <row r="3417" spans="23:23" x14ac:dyDescent="0.25">
      <c r="W3417" s="111"/>
    </row>
    <row r="3418" spans="23:23" x14ac:dyDescent="0.25">
      <c r="W3418" s="111"/>
    </row>
    <row r="3419" spans="23:23" x14ac:dyDescent="0.25">
      <c r="W3419" s="111"/>
    </row>
    <row r="3420" spans="23:23" x14ac:dyDescent="0.25">
      <c r="W3420" s="111"/>
    </row>
    <row r="3421" spans="23:23" x14ac:dyDescent="0.25">
      <c r="W3421" s="111"/>
    </row>
    <row r="3422" spans="23:23" x14ac:dyDescent="0.25">
      <c r="W3422" s="111"/>
    </row>
    <row r="3423" spans="23:23" x14ac:dyDescent="0.25">
      <c r="W3423" s="111"/>
    </row>
    <row r="3424" spans="23:23" x14ac:dyDescent="0.25">
      <c r="W3424" s="111"/>
    </row>
    <row r="3425" spans="23:23" x14ac:dyDescent="0.25">
      <c r="W3425" s="111"/>
    </row>
    <row r="3426" spans="23:23" x14ac:dyDescent="0.25">
      <c r="W3426" s="111"/>
    </row>
    <row r="3427" spans="23:23" x14ac:dyDescent="0.25">
      <c r="W3427" s="111"/>
    </row>
    <row r="3428" spans="23:23" x14ac:dyDescent="0.25">
      <c r="W3428" s="111"/>
    </row>
    <row r="3429" spans="23:23" x14ac:dyDescent="0.25">
      <c r="W3429" s="111"/>
    </row>
    <row r="3430" spans="23:23" x14ac:dyDescent="0.25">
      <c r="W3430" s="111"/>
    </row>
    <row r="3431" spans="23:23" x14ac:dyDescent="0.25">
      <c r="W3431" s="111"/>
    </row>
    <row r="3432" spans="23:23" x14ac:dyDescent="0.25">
      <c r="W3432" s="111"/>
    </row>
    <row r="3433" spans="23:23" x14ac:dyDescent="0.25">
      <c r="W3433" s="111"/>
    </row>
    <row r="3434" spans="23:23" x14ac:dyDescent="0.25">
      <c r="W3434" s="111"/>
    </row>
    <row r="3435" spans="23:23" x14ac:dyDescent="0.25">
      <c r="W3435" s="111"/>
    </row>
    <row r="3436" spans="23:23" x14ac:dyDescent="0.25">
      <c r="W3436" s="111"/>
    </row>
    <row r="3437" spans="23:23" x14ac:dyDescent="0.25">
      <c r="W3437" s="111"/>
    </row>
    <row r="3438" spans="23:23" x14ac:dyDescent="0.25">
      <c r="W3438" s="111"/>
    </row>
    <row r="3439" spans="23:23" x14ac:dyDescent="0.25">
      <c r="W3439" s="111"/>
    </row>
    <row r="3440" spans="23:23" x14ac:dyDescent="0.25">
      <c r="W3440" s="111"/>
    </row>
    <row r="3441" spans="23:23" x14ac:dyDescent="0.25">
      <c r="W3441" s="111"/>
    </row>
    <row r="3442" spans="23:23" x14ac:dyDescent="0.25">
      <c r="W3442" s="111"/>
    </row>
    <row r="3443" spans="23:23" x14ac:dyDescent="0.25">
      <c r="W3443" s="111"/>
    </row>
    <row r="3444" spans="23:23" x14ac:dyDescent="0.25">
      <c r="W3444" s="111"/>
    </row>
    <row r="3445" spans="23:23" x14ac:dyDescent="0.25">
      <c r="W3445" s="111"/>
    </row>
    <row r="3446" spans="23:23" x14ac:dyDescent="0.25">
      <c r="W3446" s="111"/>
    </row>
    <row r="3447" spans="23:23" x14ac:dyDescent="0.25">
      <c r="W3447" s="111"/>
    </row>
    <row r="3448" spans="23:23" x14ac:dyDescent="0.25">
      <c r="W3448" s="111"/>
    </row>
    <row r="3449" spans="23:23" x14ac:dyDescent="0.25">
      <c r="W3449" s="111"/>
    </row>
    <row r="3450" spans="23:23" x14ac:dyDescent="0.25">
      <c r="W3450" s="111"/>
    </row>
    <row r="3451" spans="23:23" x14ac:dyDescent="0.25">
      <c r="W3451" s="111"/>
    </row>
    <row r="3452" spans="23:23" x14ac:dyDescent="0.25">
      <c r="W3452" s="111"/>
    </row>
    <row r="3453" spans="23:23" x14ac:dyDescent="0.25">
      <c r="W3453" s="111"/>
    </row>
    <row r="3454" spans="23:23" x14ac:dyDescent="0.25">
      <c r="W3454" s="111"/>
    </row>
    <row r="3455" spans="23:23" x14ac:dyDescent="0.25">
      <c r="W3455" s="111"/>
    </row>
    <row r="3456" spans="23:23" x14ac:dyDescent="0.25">
      <c r="W3456" s="111"/>
    </row>
    <row r="3457" spans="23:23" x14ac:dyDescent="0.25">
      <c r="W3457" s="111"/>
    </row>
    <row r="3458" spans="23:23" x14ac:dyDescent="0.25">
      <c r="W3458" s="111"/>
    </row>
    <row r="3459" spans="23:23" x14ac:dyDescent="0.25">
      <c r="W3459" s="111"/>
    </row>
    <row r="3460" spans="23:23" x14ac:dyDescent="0.25">
      <c r="W3460" s="111"/>
    </row>
    <row r="3461" spans="23:23" x14ac:dyDescent="0.25">
      <c r="W3461" s="111"/>
    </row>
    <row r="3462" spans="23:23" x14ac:dyDescent="0.25">
      <c r="W3462" s="111"/>
    </row>
    <row r="3463" spans="23:23" x14ac:dyDescent="0.25">
      <c r="W3463" s="111"/>
    </row>
    <row r="3464" spans="23:23" x14ac:dyDescent="0.25">
      <c r="W3464" s="111"/>
    </row>
    <row r="3465" spans="23:23" x14ac:dyDescent="0.25">
      <c r="W3465" s="111"/>
    </row>
    <row r="3466" spans="23:23" x14ac:dyDescent="0.25">
      <c r="W3466" s="111"/>
    </row>
    <row r="3467" spans="23:23" x14ac:dyDescent="0.25">
      <c r="W3467" s="111"/>
    </row>
    <row r="3468" spans="23:23" x14ac:dyDescent="0.25">
      <c r="W3468" s="111"/>
    </row>
    <row r="3469" spans="23:23" x14ac:dyDescent="0.25">
      <c r="W3469" s="111"/>
    </row>
    <row r="3470" spans="23:23" x14ac:dyDescent="0.25">
      <c r="W3470" s="111"/>
    </row>
    <row r="3471" spans="23:23" x14ac:dyDescent="0.25">
      <c r="W3471" s="111"/>
    </row>
    <row r="3472" spans="23:23" x14ac:dyDescent="0.25">
      <c r="W3472" s="111"/>
    </row>
    <row r="3473" spans="23:23" x14ac:dyDescent="0.25">
      <c r="W3473" s="111"/>
    </row>
    <row r="3474" spans="23:23" x14ac:dyDescent="0.25">
      <c r="W3474" s="111"/>
    </row>
    <row r="3475" spans="23:23" x14ac:dyDescent="0.25">
      <c r="W3475" s="111"/>
    </row>
    <row r="3476" spans="23:23" x14ac:dyDescent="0.25">
      <c r="W3476" s="111"/>
    </row>
    <row r="3477" spans="23:23" x14ac:dyDescent="0.25">
      <c r="W3477" s="111"/>
    </row>
    <row r="3478" spans="23:23" x14ac:dyDescent="0.25">
      <c r="W3478" s="111"/>
    </row>
    <row r="3479" spans="23:23" x14ac:dyDescent="0.25">
      <c r="W3479" s="111"/>
    </row>
    <row r="3480" spans="23:23" x14ac:dyDescent="0.25">
      <c r="W3480" s="111"/>
    </row>
    <row r="3481" spans="23:23" x14ac:dyDescent="0.25">
      <c r="W3481" s="111"/>
    </row>
    <row r="3482" spans="23:23" x14ac:dyDescent="0.25">
      <c r="W3482" s="111"/>
    </row>
    <row r="3483" spans="23:23" x14ac:dyDescent="0.25">
      <c r="W3483" s="111"/>
    </row>
    <row r="3484" spans="23:23" x14ac:dyDescent="0.25">
      <c r="W3484" s="111"/>
    </row>
    <row r="3485" spans="23:23" x14ac:dyDescent="0.25">
      <c r="W3485" s="111"/>
    </row>
    <row r="3486" spans="23:23" x14ac:dyDescent="0.25">
      <c r="W3486" s="111"/>
    </row>
    <row r="3487" spans="23:23" x14ac:dyDescent="0.25">
      <c r="W3487" s="111"/>
    </row>
    <row r="3488" spans="23:23" x14ac:dyDescent="0.25">
      <c r="W3488" s="111"/>
    </row>
    <row r="3489" spans="23:23" x14ac:dyDescent="0.25">
      <c r="W3489" s="111"/>
    </row>
    <row r="3490" spans="23:23" x14ac:dyDescent="0.25">
      <c r="W3490" s="111"/>
    </row>
    <row r="3491" spans="23:23" x14ac:dyDescent="0.25">
      <c r="W3491" s="111"/>
    </row>
    <row r="3492" spans="23:23" x14ac:dyDescent="0.25">
      <c r="W3492" s="111"/>
    </row>
    <row r="3493" spans="23:23" x14ac:dyDescent="0.25">
      <c r="W3493" s="111"/>
    </row>
    <row r="3494" spans="23:23" x14ac:dyDescent="0.25">
      <c r="W3494" s="111"/>
    </row>
    <row r="3495" spans="23:23" x14ac:dyDescent="0.25">
      <c r="W3495" s="111"/>
    </row>
    <row r="3496" spans="23:23" x14ac:dyDescent="0.25">
      <c r="W3496" s="111"/>
    </row>
    <row r="3497" spans="23:23" x14ac:dyDescent="0.25">
      <c r="W3497" s="111"/>
    </row>
    <row r="3498" spans="23:23" x14ac:dyDescent="0.25">
      <c r="W3498" s="111"/>
    </row>
    <row r="3499" spans="23:23" x14ac:dyDescent="0.25">
      <c r="W3499" s="111"/>
    </row>
    <row r="3500" spans="23:23" x14ac:dyDescent="0.25">
      <c r="W3500" s="111"/>
    </row>
    <row r="3501" spans="23:23" x14ac:dyDescent="0.25">
      <c r="W3501" s="111"/>
    </row>
    <row r="3502" spans="23:23" x14ac:dyDescent="0.25">
      <c r="W3502" s="111"/>
    </row>
    <row r="3503" spans="23:23" x14ac:dyDescent="0.25">
      <c r="W3503" s="111"/>
    </row>
    <row r="3504" spans="23:23" x14ac:dyDescent="0.25">
      <c r="W3504" s="111"/>
    </row>
    <row r="3505" spans="23:23" x14ac:dyDescent="0.25">
      <c r="W3505" s="111"/>
    </row>
    <row r="3506" spans="23:23" x14ac:dyDescent="0.25">
      <c r="W3506" s="111"/>
    </row>
    <row r="3507" spans="23:23" x14ac:dyDescent="0.25">
      <c r="W3507" s="111"/>
    </row>
    <row r="3508" spans="23:23" x14ac:dyDescent="0.25">
      <c r="W3508" s="111"/>
    </row>
    <row r="3509" spans="23:23" x14ac:dyDescent="0.25">
      <c r="W3509" s="111"/>
    </row>
    <row r="3510" spans="23:23" x14ac:dyDescent="0.25">
      <c r="W3510" s="111"/>
    </row>
    <row r="3511" spans="23:23" x14ac:dyDescent="0.25">
      <c r="W3511" s="111"/>
    </row>
    <row r="3512" spans="23:23" x14ac:dyDescent="0.25">
      <c r="W3512" s="111"/>
    </row>
    <row r="3513" spans="23:23" x14ac:dyDescent="0.25">
      <c r="W3513" s="111"/>
    </row>
    <row r="3514" spans="23:23" x14ac:dyDescent="0.25">
      <c r="W3514" s="111"/>
    </row>
    <row r="3515" spans="23:23" x14ac:dyDescent="0.25">
      <c r="W3515" s="111"/>
    </row>
    <row r="3516" spans="23:23" x14ac:dyDescent="0.25">
      <c r="W3516" s="111"/>
    </row>
    <row r="3517" spans="23:23" x14ac:dyDescent="0.25">
      <c r="W3517" s="111"/>
    </row>
    <row r="3518" spans="23:23" x14ac:dyDescent="0.25">
      <c r="W3518" s="111"/>
    </row>
    <row r="3519" spans="23:23" x14ac:dyDescent="0.25">
      <c r="W3519" s="111"/>
    </row>
    <row r="3520" spans="23:23" x14ac:dyDescent="0.25">
      <c r="W3520" s="111"/>
    </row>
    <row r="3521" spans="23:23" x14ac:dyDescent="0.25">
      <c r="W3521" s="111"/>
    </row>
    <row r="3522" spans="23:23" x14ac:dyDescent="0.25">
      <c r="W3522" s="111"/>
    </row>
    <row r="3523" spans="23:23" x14ac:dyDescent="0.25">
      <c r="W3523" s="111"/>
    </row>
    <row r="3524" spans="23:23" x14ac:dyDescent="0.25">
      <c r="W3524" s="111"/>
    </row>
    <row r="3525" spans="23:23" x14ac:dyDescent="0.25">
      <c r="W3525" s="111"/>
    </row>
    <row r="3526" spans="23:23" x14ac:dyDescent="0.25">
      <c r="W3526" s="111"/>
    </row>
    <row r="3527" spans="23:23" x14ac:dyDescent="0.25">
      <c r="W3527" s="111"/>
    </row>
    <row r="3528" spans="23:23" x14ac:dyDescent="0.25">
      <c r="W3528" s="111"/>
    </row>
    <row r="3529" spans="23:23" x14ac:dyDescent="0.25">
      <c r="W3529" s="111"/>
    </row>
    <row r="3530" spans="23:23" x14ac:dyDescent="0.25">
      <c r="W3530" s="111"/>
    </row>
    <row r="3531" spans="23:23" x14ac:dyDescent="0.25">
      <c r="W3531" s="111"/>
    </row>
    <row r="3532" spans="23:23" x14ac:dyDescent="0.25">
      <c r="W3532" s="111"/>
    </row>
    <row r="3533" spans="23:23" x14ac:dyDescent="0.25">
      <c r="W3533" s="111"/>
    </row>
    <row r="3534" spans="23:23" x14ac:dyDescent="0.25">
      <c r="W3534" s="111"/>
    </row>
    <row r="3535" spans="23:23" x14ac:dyDescent="0.25">
      <c r="W3535" s="111"/>
    </row>
    <row r="3536" spans="23:23" x14ac:dyDescent="0.25">
      <c r="W3536" s="111"/>
    </row>
    <row r="3537" spans="23:23" x14ac:dyDescent="0.25">
      <c r="W3537" s="111"/>
    </row>
    <row r="3538" spans="23:23" x14ac:dyDescent="0.25">
      <c r="W3538" s="111"/>
    </row>
    <row r="3539" spans="23:23" x14ac:dyDescent="0.25">
      <c r="W3539" s="111"/>
    </row>
    <row r="3540" spans="23:23" x14ac:dyDescent="0.25">
      <c r="W3540" s="111"/>
    </row>
    <row r="3541" spans="23:23" x14ac:dyDescent="0.25">
      <c r="W3541" s="111"/>
    </row>
    <row r="3542" spans="23:23" x14ac:dyDescent="0.25">
      <c r="W3542" s="111"/>
    </row>
    <row r="3543" spans="23:23" x14ac:dyDescent="0.25">
      <c r="W3543" s="111"/>
    </row>
    <row r="3544" spans="23:23" x14ac:dyDescent="0.25">
      <c r="W3544" s="111"/>
    </row>
    <row r="3545" spans="23:23" x14ac:dyDescent="0.25">
      <c r="W3545" s="111"/>
    </row>
    <row r="3546" spans="23:23" x14ac:dyDescent="0.25">
      <c r="W3546" s="111"/>
    </row>
    <row r="3547" spans="23:23" x14ac:dyDescent="0.25">
      <c r="W3547" s="111"/>
    </row>
    <row r="3548" spans="23:23" x14ac:dyDescent="0.25">
      <c r="W3548" s="111"/>
    </row>
    <row r="3549" spans="23:23" x14ac:dyDescent="0.25">
      <c r="W3549" s="111"/>
    </row>
    <row r="3550" spans="23:23" x14ac:dyDescent="0.25">
      <c r="W3550" s="111"/>
    </row>
    <row r="3551" spans="23:23" x14ac:dyDescent="0.25">
      <c r="W3551" s="111"/>
    </row>
    <row r="3552" spans="23:23" x14ac:dyDescent="0.25">
      <c r="W3552" s="111"/>
    </row>
    <row r="3553" spans="23:23" x14ac:dyDescent="0.25">
      <c r="W3553" s="111"/>
    </row>
    <row r="3554" spans="23:23" x14ac:dyDescent="0.25">
      <c r="W3554" s="111"/>
    </row>
    <row r="3555" spans="23:23" x14ac:dyDescent="0.25">
      <c r="W3555" s="111"/>
    </row>
    <row r="3556" spans="23:23" x14ac:dyDescent="0.25">
      <c r="W3556" s="111"/>
    </row>
    <row r="3557" spans="23:23" x14ac:dyDescent="0.25">
      <c r="W3557" s="111"/>
    </row>
    <row r="3558" spans="23:23" x14ac:dyDescent="0.25">
      <c r="W3558" s="111"/>
    </row>
    <row r="3559" spans="23:23" x14ac:dyDescent="0.25">
      <c r="W3559" s="111"/>
    </row>
    <row r="3560" spans="23:23" x14ac:dyDescent="0.25">
      <c r="W3560" s="111"/>
    </row>
    <row r="3561" spans="23:23" x14ac:dyDescent="0.25">
      <c r="W3561" s="111"/>
    </row>
    <row r="3562" spans="23:23" x14ac:dyDescent="0.25">
      <c r="W3562" s="111"/>
    </row>
    <row r="3563" spans="23:23" x14ac:dyDescent="0.25">
      <c r="W3563" s="111"/>
    </row>
    <row r="3564" spans="23:23" x14ac:dyDescent="0.25">
      <c r="W3564" s="111"/>
    </row>
    <row r="3565" spans="23:23" x14ac:dyDescent="0.25">
      <c r="W3565" s="111"/>
    </row>
    <row r="3566" spans="23:23" x14ac:dyDescent="0.25">
      <c r="W3566" s="111"/>
    </row>
    <row r="3567" spans="23:23" x14ac:dyDescent="0.25">
      <c r="W3567" s="111"/>
    </row>
    <row r="3568" spans="23:23" x14ac:dyDescent="0.25">
      <c r="W3568" s="111"/>
    </row>
    <row r="3569" spans="23:23" x14ac:dyDescent="0.25">
      <c r="W3569" s="111"/>
    </row>
    <row r="3570" spans="23:23" x14ac:dyDescent="0.25">
      <c r="W3570" s="111"/>
    </row>
    <row r="3571" spans="23:23" x14ac:dyDescent="0.25">
      <c r="W3571" s="111"/>
    </row>
    <row r="3572" spans="23:23" x14ac:dyDescent="0.25">
      <c r="W3572" s="111"/>
    </row>
    <row r="3573" spans="23:23" x14ac:dyDescent="0.25">
      <c r="W3573" s="111"/>
    </row>
    <row r="3574" spans="23:23" x14ac:dyDescent="0.25">
      <c r="W3574" s="111"/>
    </row>
    <row r="3575" spans="23:23" x14ac:dyDescent="0.25">
      <c r="W3575" s="111"/>
    </row>
    <row r="3576" spans="23:23" x14ac:dyDescent="0.25">
      <c r="W3576" s="111"/>
    </row>
    <row r="3577" spans="23:23" x14ac:dyDescent="0.25">
      <c r="W3577" s="111"/>
    </row>
    <row r="3578" spans="23:23" x14ac:dyDescent="0.25">
      <c r="W3578" s="111"/>
    </row>
    <row r="3579" spans="23:23" x14ac:dyDescent="0.25">
      <c r="W3579" s="111"/>
    </row>
    <row r="3580" spans="23:23" x14ac:dyDescent="0.25">
      <c r="W3580" s="111"/>
    </row>
    <row r="3581" spans="23:23" x14ac:dyDescent="0.25">
      <c r="W3581" s="111"/>
    </row>
    <row r="3582" spans="23:23" x14ac:dyDescent="0.25">
      <c r="W3582" s="111"/>
    </row>
    <row r="3583" spans="23:23" x14ac:dyDescent="0.25">
      <c r="W3583" s="111"/>
    </row>
    <row r="3584" spans="23:23" x14ac:dyDescent="0.25">
      <c r="W3584" s="111"/>
    </row>
    <row r="3585" spans="23:23" x14ac:dyDescent="0.25">
      <c r="W3585" s="111"/>
    </row>
    <row r="3586" spans="23:23" x14ac:dyDescent="0.25">
      <c r="W3586" s="111"/>
    </row>
    <row r="3587" spans="23:23" x14ac:dyDescent="0.25">
      <c r="W3587" s="111"/>
    </row>
    <row r="3588" spans="23:23" x14ac:dyDescent="0.25">
      <c r="W3588" s="111"/>
    </row>
    <row r="3589" spans="23:23" x14ac:dyDescent="0.25">
      <c r="W3589" s="111"/>
    </row>
    <row r="3590" spans="23:23" x14ac:dyDescent="0.25">
      <c r="W3590" s="111"/>
    </row>
    <row r="3591" spans="23:23" x14ac:dyDescent="0.25">
      <c r="W3591" s="111"/>
    </row>
    <row r="3592" spans="23:23" x14ac:dyDescent="0.25">
      <c r="W3592" s="111"/>
    </row>
    <row r="3593" spans="23:23" x14ac:dyDescent="0.25">
      <c r="W3593" s="111"/>
    </row>
    <row r="3594" spans="23:23" x14ac:dyDescent="0.25">
      <c r="W3594" s="111"/>
    </row>
    <row r="3595" spans="23:23" x14ac:dyDescent="0.25">
      <c r="W3595" s="111"/>
    </row>
    <row r="3596" spans="23:23" x14ac:dyDescent="0.25">
      <c r="W3596" s="111"/>
    </row>
    <row r="3597" spans="23:23" x14ac:dyDescent="0.25">
      <c r="W3597" s="111"/>
    </row>
    <row r="3598" spans="23:23" x14ac:dyDescent="0.25">
      <c r="W3598" s="111"/>
    </row>
    <row r="3599" spans="23:23" x14ac:dyDescent="0.25">
      <c r="W3599" s="111"/>
    </row>
    <row r="3600" spans="23:23" x14ac:dyDescent="0.25">
      <c r="W3600" s="111"/>
    </row>
    <row r="3601" spans="23:23" x14ac:dyDescent="0.25">
      <c r="W3601" s="111"/>
    </row>
    <row r="3602" spans="23:23" x14ac:dyDescent="0.25">
      <c r="W3602" s="111"/>
    </row>
    <row r="3603" spans="23:23" x14ac:dyDescent="0.25">
      <c r="W3603" s="111"/>
    </row>
    <row r="3604" spans="23:23" x14ac:dyDescent="0.25">
      <c r="W3604" s="111"/>
    </row>
    <row r="3605" spans="23:23" x14ac:dyDescent="0.25">
      <c r="W3605" s="111"/>
    </row>
    <row r="3606" spans="23:23" x14ac:dyDescent="0.25">
      <c r="W3606" s="111"/>
    </row>
    <row r="3607" spans="23:23" x14ac:dyDescent="0.25">
      <c r="W3607" s="111"/>
    </row>
    <row r="3608" spans="23:23" x14ac:dyDescent="0.25">
      <c r="W3608" s="111"/>
    </row>
    <row r="3609" spans="23:23" x14ac:dyDescent="0.25">
      <c r="W3609" s="111"/>
    </row>
    <row r="3610" spans="23:23" x14ac:dyDescent="0.25">
      <c r="W3610" s="111"/>
    </row>
    <row r="3611" spans="23:23" x14ac:dyDescent="0.25">
      <c r="W3611" s="111"/>
    </row>
    <row r="3612" spans="23:23" x14ac:dyDescent="0.25">
      <c r="W3612" s="111"/>
    </row>
    <row r="3613" spans="23:23" x14ac:dyDescent="0.25">
      <c r="W3613" s="111"/>
    </row>
    <row r="3614" spans="23:23" x14ac:dyDescent="0.25">
      <c r="W3614" s="111"/>
    </row>
    <row r="3615" spans="23:23" x14ac:dyDescent="0.25">
      <c r="W3615" s="111"/>
    </row>
    <row r="3616" spans="23:23" x14ac:dyDescent="0.25">
      <c r="W3616" s="111"/>
    </row>
    <row r="3617" spans="23:23" x14ac:dyDescent="0.25">
      <c r="W3617" s="111"/>
    </row>
    <row r="3618" spans="23:23" x14ac:dyDescent="0.25">
      <c r="W3618" s="111"/>
    </row>
    <row r="3619" spans="23:23" x14ac:dyDescent="0.25">
      <c r="W3619" s="111"/>
    </row>
    <row r="3620" spans="23:23" x14ac:dyDescent="0.25">
      <c r="W3620" s="111"/>
    </row>
    <row r="3621" spans="23:23" x14ac:dyDescent="0.25">
      <c r="W3621" s="111"/>
    </row>
    <row r="3622" spans="23:23" x14ac:dyDescent="0.25">
      <c r="W3622" s="111"/>
    </row>
    <row r="3623" spans="23:23" x14ac:dyDescent="0.25">
      <c r="W3623" s="111"/>
    </row>
    <row r="3624" spans="23:23" x14ac:dyDescent="0.25">
      <c r="W3624" s="111"/>
    </row>
    <row r="3625" spans="23:23" x14ac:dyDescent="0.25">
      <c r="W3625" s="111"/>
    </row>
    <row r="3626" spans="23:23" x14ac:dyDescent="0.25">
      <c r="W3626" s="111"/>
    </row>
    <row r="3627" spans="23:23" x14ac:dyDescent="0.25">
      <c r="W3627" s="111"/>
    </row>
    <row r="3628" spans="23:23" x14ac:dyDescent="0.25">
      <c r="W3628" s="111"/>
    </row>
    <row r="3629" spans="23:23" x14ac:dyDescent="0.25">
      <c r="W3629" s="111"/>
    </row>
    <row r="3630" spans="23:23" x14ac:dyDescent="0.25">
      <c r="W3630" s="111"/>
    </row>
    <row r="3631" spans="23:23" x14ac:dyDescent="0.25">
      <c r="W3631" s="111"/>
    </row>
    <row r="3632" spans="23:23" x14ac:dyDescent="0.25">
      <c r="W3632" s="111"/>
    </row>
    <row r="3633" spans="23:23" x14ac:dyDescent="0.25">
      <c r="W3633" s="111"/>
    </row>
    <row r="3634" spans="23:23" x14ac:dyDescent="0.25">
      <c r="W3634" s="111"/>
    </row>
    <row r="3635" spans="23:23" x14ac:dyDescent="0.25">
      <c r="W3635" s="111"/>
    </row>
    <row r="3636" spans="23:23" x14ac:dyDescent="0.25">
      <c r="W3636" s="111"/>
    </row>
    <row r="3637" spans="23:23" x14ac:dyDescent="0.25">
      <c r="W3637" s="111"/>
    </row>
    <row r="3638" spans="23:23" x14ac:dyDescent="0.25">
      <c r="W3638" s="111"/>
    </row>
    <row r="3639" spans="23:23" x14ac:dyDescent="0.25">
      <c r="W3639" s="111"/>
    </row>
    <row r="3640" spans="23:23" x14ac:dyDescent="0.25">
      <c r="W3640" s="111"/>
    </row>
    <row r="3641" spans="23:23" x14ac:dyDescent="0.25">
      <c r="W3641" s="111"/>
    </row>
    <row r="3642" spans="23:23" x14ac:dyDescent="0.25">
      <c r="W3642" s="111"/>
    </row>
    <row r="3643" spans="23:23" x14ac:dyDescent="0.25">
      <c r="W3643" s="111"/>
    </row>
    <row r="3644" spans="23:23" x14ac:dyDescent="0.25">
      <c r="W3644" s="111"/>
    </row>
    <row r="3645" spans="23:23" x14ac:dyDescent="0.25">
      <c r="W3645" s="111"/>
    </row>
    <row r="3646" spans="23:23" x14ac:dyDescent="0.25">
      <c r="W3646" s="111"/>
    </row>
    <row r="3647" spans="23:23" x14ac:dyDescent="0.25">
      <c r="W3647" s="111"/>
    </row>
    <row r="3648" spans="23:23" x14ac:dyDescent="0.25">
      <c r="W3648" s="111"/>
    </row>
    <row r="3649" spans="23:23" x14ac:dyDescent="0.25">
      <c r="W3649" s="111"/>
    </row>
    <row r="3650" spans="23:23" x14ac:dyDescent="0.25">
      <c r="W3650" s="111"/>
    </row>
    <row r="3651" spans="23:23" x14ac:dyDescent="0.25">
      <c r="W3651" s="111"/>
    </row>
    <row r="3652" spans="23:23" x14ac:dyDescent="0.25">
      <c r="W3652" s="111"/>
    </row>
    <row r="3653" spans="23:23" x14ac:dyDescent="0.25">
      <c r="W3653" s="111"/>
    </row>
    <row r="3654" spans="23:23" x14ac:dyDescent="0.25">
      <c r="W3654" s="111"/>
    </row>
    <row r="3655" spans="23:23" x14ac:dyDescent="0.25">
      <c r="W3655" s="111"/>
    </row>
    <row r="3656" spans="23:23" x14ac:dyDescent="0.25">
      <c r="W3656" s="111"/>
    </row>
    <row r="3657" spans="23:23" x14ac:dyDescent="0.25">
      <c r="W3657" s="111"/>
    </row>
    <row r="3658" spans="23:23" x14ac:dyDescent="0.25">
      <c r="W3658" s="111"/>
    </row>
    <row r="3659" spans="23:23" x14ac:dyDescent="0.25">
      <c r="W3659" s="111"/>
    </row>
    <row r="3660" spans="23:23" x14ac:dyDescent="0.25">
      <c r="W3660" s="111"/>
    </row>
    <row r="3661" spans="23:23" x14ac:dyDescent="0.25">
      <c r="W3661" s="111"/>
    </row>
    <row r="3662" spans="23:23" x14ac:dyDescent="0.25">
      <c r="W3662" s="111"/>
    </row>
    <row r="3663" spans="23:23" x14ac:dyDescent="0.25">
      <c r="W3663" s="111"/>
    </row>
    <row r="3664" spans="23:23" x14ac:dyDescent="0.25">
      <c r="W3664" s="111"/>
    </row>
    <row r="3665" spans="23:23" x14ac:dyDescent="0.25">
      <c r="W3665" s="111"/>
    </row>
    <row r="3666" spans="23:23" x14ac:dyDescent="0.25">
      <c r="W3666" s="111"/>
    </row>
    <row r="3667" spans="23:23" x14ac:dyDescent="0.25">
      <c r="W3667" s="111"/>
    </row>
    <row r="3668" spans="23:23" x14ac:dyDescent="0.25">
      <c r="W3668" s="111"/>
    </row>
    <row r="3669" spans="23:23" x14ac:dyDescent="0.25">
      <c r="W3669" s="111"/>
    </row>
    <row r="3670" spans="23:23" x14ac:dyDescent="0.25">
      <c r="W3670" s="111"/>
    </row>
    <row r="3671" spans="23:23" x14ac:dyDescent="0.25">
      <c r="W3671" s="111"/>
    </row>
    <row r="3672" spans="23:23" x14ac:dyDescent="0.25">
      <c r="W3672" s="111"/>
    </row>
    <row r="3673" spans="23:23" x14ac:dyDescent="0.25">
      <c r="W3673" s="111"/>
    </row>
    <row r="3674" spans="23:23" x14ac:dyDescent="0.25">
      <c r="W3674" s="111"/>
    </row>
    <row r="3675" spans="23:23" x14ac:dyDescent="0.25">
      <c r="W3675" s="111"/>
    </row>
    <row r="3676" spans="23:23" x14ac:dyDescent="0.25">
      <c r="W3676" s="111"/>
    </row>
    <row r="3677" spans="23:23" x14ac:dyDescent="0.25">
      <c r="W3677" s="111"/>
    </row>
    <row r="3678" spans="23:23" x14ac:dyDescent="0.25">
      <c r="W3678" s="111"/>
    </row>
    <row r="3679" spans="23:23" x14ac:dyDescent="0.25">
      <c r="W3679" s="111"/>
    </row>
    <row r="3680" spans="23:23" x14ac:dyDescent="0.25">
      <c r="W3680" s="111"/>
    </row>
    <row r="3681" spans="23:23" x14ac:dyDescent="0.25">
      <c r="W3681" s="111"/>
    </row>
    <row r="3682" spans="23:23" x14ac:dyDescent="0.25">
      <c r="W3682" s="111"/>
    </row>
    <row r="3683" spans="23:23" x14ac:dyDescent="0.25">
      <c r="W3683" s="111"/>
    </row>
    <row r="3684" spans="23:23" x14ac:dyDescent="0.25">
      <c r="W3684" s="111"/>
    </row>
    <row r="3685" spans="23:23" x14ac:dyDescent="0.25">
      <c r="W3685" s="111"/>
    </row>
    <row r="3686" spans="23:23" x14ac:dyDescent="0.25">
      <c r="W3686" s="111"/>
    </row>
    <row r="3687" spans="23:23" x14ac:dyDescent="0.25">
      <c r="W3687" s="111"/>
    </row>
    <row r="3688" spans="23:23" x14ac:dyDescent="0.25">
      <c r="W3688" s="111"/>
    </row>
    <row r="3689" spans="23:23" x14ac:dyDescent="0.25">
      <c r="W3689" s="111"/>
    </row>
    <row r="3690" spans="23:23" x14ac:dyDescent="0.25">
      <c r="W3690" s="111"/>
    </row>
    <row r="3691" spans="23:23" x14ac:dyDescent="0.25">
      <c r="W3691" s="111"/>
    </row>
    <row r="3692" spans="23:23" x14ac:dyDescent="0.25">
      <c r="W3692" s="111"/>
    </row>
    <row r="3693" spans="23:23" x14ac:dyDescent="0.25">
      <c r="W3693" s="111"/>
    </row>
    <row r="3694" spans="23:23" x14ac:dyDescent="0.25">
      <c r="W3694" s="111"/>
    </row>
    <row r="3695" spans="23:23" x14ac:dyDescent="0.25">
      <c r="W3695" s="111"/>
    </row>
    <row r="3696" spans="23:23" x14ac:dyDescent="0.25">
      <c r="W3696" s="111"/>
    </row>
    <row r="3697" spans="23:23" x14ac:dyDescent="0.25">
      <c r="W3697" s="111"/>
    </row>
    <row r="3698" spans="23:23" x14ac:dyDescent="0.25">
      <c r="W3698" s="111"/>
    </row>
    <row r="3699" spans="23:23" x14ac:dyDescent="0.25">
      <c r="W3699" s="111"/>
    </row>
    <row r="3700" spans="23:23" x14ac:dyDescent="0.25">
      <c r="W3700" s="111"/>
    </row>
    <row r="3701" spans="23:23" x14ac:dyDescent="0.25">
      <c r="W3701" s="111"/>
    </row>
    <row r="3702" spans="23:23" x14ac:dyDescent="0.25">
      <c r="W3702" s="111"/>
    </row>
    <row r="3703" spans="23:23" x14ac:dyDescent="0.25">
      <c r="W3703" s="111"/>
    </row>
    <row r="3704" spans="23:23" x14ac:dyDescent="0.25">
      <c r="W3704" s="111"/>
    </row>
    <row r="3705" spans="23:23" x14ac:dyDescent="0.25">
      <c r="W3705" s="111"/>
    </row>
    <row r="3706" spans="23:23" x14ac:dyDescent="0.25">
      <c r="W3706" s="111"/>
    </row>
    <row r="3707" spans="23:23" x14ac:dyDescent="0.25">
      <c r="W3707" s="111"/>
    </row>
    <row r="3708" spans="23:23" x14ac:dyDescent="0.25">
      <c r="W3708" s="111"/>
    </row>
    <row r="3709" spans="23:23" x14ac:dyDescent="0.25">
      <c r="W3709" s="111"/>
    </row>
    <row r="3710" spans="23:23" x14ac:dyDescent="0.25">
      <c r="W3710" s="111"/>
    </row>
    <row r="3711" spans="23:23" x14ac:dyDescent="0.25">
      <c r="W3711" s="111"/>
    </row>
    <row r="3712" spans="23:23" x14ac:dyDescent="0.25">
      <c r="W3712" s="111"/>
    </row>
    <row r="3713" spans="23:23" x14ac:dyDescent="0.25">
      <c r="W3713" s="111"/>
    </row>
    <row r="3714" spans="23:23" x14ac:dyDescent="0.25">
      <c r="W3714" s="111"/>
    </row>
    <row r="3715" spans="23:23" x14ac:dyDescent="0.25">
      <c r="W3715" s="111"/>
    </row>
    <row r="3716" spans="23:23" x14ac:dyDescent="0.25">
      <c r="W3716" s="111"/>
    </row>
    <row r="3717" spans="23:23" x14ac:dyDescent="0.25">
      <c r="W3717" s="111"/>
    </row>
    <row r="3718" spans="23:23" x14ac:dyDescent="0.25">
      <c r="W3718" s="111"/>
    </row>
    <row r="3719" spans="23:23" x14ac:dyDescent="0.25">
      <c r="W3719" s="111"/>
    </row>
    <row r="3720" spans="23:23" x14ac:dyDescent="0.25">
      <c r="W3720" s="111"/>
    </row>
    <row r="3721" spans="23:23" x14ac:dyDescent="0.25">
      <c r="W3721" s="111"/>
    </row>
    <row r="3722" spans="23:23" x14ac:dyDescent="0.25">
      <c r="W3722" s="111"/>
    </row>
    <row r="3723" spans="23:23" x14ac:dyDescent="0.25">
      <c r="W3723" s="111"/>
    </row>
    <row r="3724" spans="23:23" x14ac:dyDescent="0.25">
      <c r="W3724" s="111"/>
    </row>
    <row r="3725" spans="23:23" x14ac:dyDescent="0.25">
      <c r="W3725" s="111"/>
    </row>
    <row r="3726" spans="23:23" x14ac:dyDescent="0.25">
      <c r="W3726" s="111"/>
    </row>
    <row r="3727" spans="23:23" x14ac:dyDescent="0.25">
      <c r="W3727" s="111"/>
    </row>
    <row r="3728" spans="23:23" x14ac:dyDescent="0.25">
      <c r="W3728" s="111"/>
    </row>
    <row r="3729" spans="23:23" x14ac:dyDescent="0.25">
      <c r="W3729" s="111"/>
    </row>
    <row r="3730" spans="23:23" x14ac:dyDescent="0.25">
      <c r="W3730" s="111"/>
    </row>
    <row r="3731" spans="23:23" x14ac:dyDescent="0.25">
      <c r="W3731" s="111"/>
    </row>
    <row r="3732" spans="23:23" x14ac:dyDescent="0.25">
      <c r="W3732" s="111"/>
    </row>
    <row r="3733" spans="23:23" x14ac:dyDescent="0.25">
      <c r="W3733" s="111"/>
    </row>
    <row r="3734" spans="23:23" x14ac:dyDescent="0.25">
      <c r="W3734" s="111"/>
    </row>
    <row r="3735" spans="23:23" x14ac:dyDescent="0.25">
      <c r="W3735" s="111"/>
    </row>
    <row r="3736" spans="23:23" x14ac:dyDescent="0.25">
      <c r="W3736" s="111"/>
    </row>
    <row r="3737" spans="23:23" x14ac:dyDescent="0.25">
      <c r="W3737" s="111"/>
    </row>
    <row r="3738" spans="23:23" x14ac:dyDescent="0.25">
      <c r="W3738" s="111"/>
    </row>
    <row r="3739" spans="23:23" x14ac:dyDescent="0.25">
      <c r="W3739" s="111"/>
    </row>
    <row r="3740" spans="23:23" x14ac:dyDescent="0.25">
      <c r="W3740" s="111"/>
    </row>
    <row r="3741" spans="23:23" x14ac:dyDescent="0.25">
      <c r="W3741" s="111"/>
    </row>
    <row r="3742" spans="23:23" x14ac:dyDescent="0.25">
      <c r="W3742" s="111"/>
    </row>
    <row r="3743" spans="23:23" x14ac:dyDescent="0.25">
      <c r="W3743" s="111"/>
    </row>
    <row r="3744" spans="23:23" x14ac:dyDescent="0.25">
      <c r="W3744" s="111"/>
    </row>
    <row r="3745" spans="23:23" x14ac:dyDescent="0.25">
      <c r="W3745" s="111"/>
    </row>
    <row r="3746" spans="23:23" x14ac:dyDescent="0.25">
      <c r="W3746" s="111"/>
    </row>
    <row r="3747" spans="23:23" x14ac:dyDescent="0.25">
      <c r="W3747" s="111"/>
    </row>
    <row r="3748" spans="23:23" x14ac:dyDescent="0.25">
      <c r="W3748" s="111"/>
    </row>
    <row r="3749" spans="23:23" x14ac:dyDescent="0.25">
      <c r="W3749" s="111"/>
    </row>
    <row r="3750" spans="23:23" x14ac:dyDescent="0.25">
      <c r="W3750" s="111"/>
    </row>
    <row r="3751" spans="23:23" x14ac:dyDescent="0.25">
      <c r="W3751" s="111"/>
    </row>
    <row r="3752" spans="23:23" x14ac:dyDescent="0.25">
      <c r="W3752" s="111"/>
    </row>
    <row r="3753" spans="23:23" x14ac:dyDescent="0.25">
      <c r="W3753" s="111"/>
    </row>
    <row r="3754" spans="23:23" x14ac:dyDescent="0.25">
      <c r="W3754" s="111"/>
    </row>
    <row r="3755" spans="23:23" x14ac:dyDescent="0.25">
      <c r="W3755" s="111"/>
    </row>
    <row r="3756" spans="23:23" x14ac:dyDescent="0.25">
      <c r="W3756" s="111"/>
    </row>
    <row r="3757" spans="23:23" x14ac:dyDescent="0.25">
      <c r="W3757" s="111"/>
    </row>
    <row r="3758" spans="23:23" x14ac:dyDescent="0.25">
      <c r="W3758" s="111"/>
    </row>
    <row r="3759" spans="23:23" x14ac:dyDescent="0.25">
      <c r="W3759" s="111"/>
    </row>
    <row r="3760" spans="23:23" x14ac:dyDescent="0.25">
      <c r="W3760" s="111"/>
    </row>
    <row r="3761" spans="23:23" x14ac:dyDescent="0.25">
      <c r="W3761" s="111"/>
    </row>
    <row r="3762" spans="23:23" x14ac:dyDescent="0.25">
      <c r="W3762" s="111"/>
    </row>
    <row r="3763" spans="23:23" x14ac:dyDescent="0.25">
      <c r="W3763" s="111"/>
    </row>
    <row r="3764" spans="23:23" x14ac:dyDescent="0.25">
      <c r="W3764" s="111"/>
    </row>
    <row r="3765" spans="23:23" x14ac:dyDescent="0.25">
      <c r="W3765" s="111"/>
    </row>
    <row r="3766" spans="23:23" x14ac:dyDescent="0.25">
      <c r="W3766" s="111"/>
    </row>
    <row r="3767" spans="23:23" x14ac:dyDescent="0.25">
      <c r="W3767" s="111"/>
    </row>
    <row r="3768" spans="23:23" x14ac:dyDescent="0.25">
      <c r="W3768" s="111"/>
    </row>
    <row r="3769" spans="23:23" x14ac:dyDescent="0.25">
      <c r="W3769" s="111"/>
    </row>
    <row r="3770" spans="23:23" x14ac:dyDescent="0.25">
      <c r="W3770" s="111"/>
    </row>
    <row r="3771" spans="23:23" x14ac:dyDescent="0.25">
      <c r="W3771" s="111"/>
    </row>
    <row r="3772" spans="23:23" x14ac:dyDescent="0.25">
      <c r="W3772" s="111"/>
    </row>
    <row r="3773" spans="23:23" x14ac:dyDescent="0.25">
      <c r="W3773" s="111"/>
    </row>
    <row r="3774" spans="23:23" x14ac:dyDescent="0.25">
      <c r="W3774" s="111"/>
    </row>
    <row r="3775" spans="23:23" x14ac:dyDescent="0.25">
      <c r="W3775" s="111"/>
    </row>
    <row r="3776" spans="23:23" x14ac:dyDescent="0.25">
      <c r="W3776" s="111"/>
    </row>
    <row r="3777" spans="23:23" x14ac:dyDescent="0.25">
      <c r="W3777" s="111"/>
    </row>
    <row r="3778" spans="23:23" x14ac:dyDescent="0.25">
      <c r="W3778" s="111"/>
    </row>
    <row r="3779" spans="23:23" x14ac:dyDescent="0.25">
      <c r="W3779" s="111"/>
    </row>
    <row r="3780" spans="23:23" x14ac:dyDescent="0.25">
      <c r="W3780" s="111"/>
    </row>
    <row r="3781" spans="23:23" x14ac:dyDescent="0.25">
      <c r="W3781" s="111"/>
    </row>
    <row r="3782" spans="23:23" x14ac:dyDescent="0.25">
      <c r="W3782" s="111"/>
    </row>
    <row r="3783" spans="23:23" x14ac:dyDescent="0.25">
      <c r="W3783" s="111"/>
    </row>
    <row r="3784" spans="23:23" x14ac:dyDescent="0.25">
      <c r="W3784" s="111"/>
    </row>
    <row r="3785" spans="23:23" x14ac:dyDescent="0.25">
      <c r="W3785" s="111"/>
    </row>
    <row r="3786" spans="23:23" x14ac:dyDescent="0.25">
      <c r="W3786" s="111"/>
    </row>
    <row r="3787" spans="23:23" x14ac:dyDescent="0.25">
      <c r="W3787" s="111"/>
    </row>
    <row r="3788" spans="23:23" x14ac:dyDescent="0.25">
      <c r="W3788" s="111"/>
    </row>
    <row r="3789" spans="23:23" x14ac:dyDescent="0.25">
      <c r="W3789" s="111"/>
    </row>
    <row r="3790" spans="23:23" x14ac:dyDescent="0.25">
      <c r="W3790" s="111"/>
    </row>
    <row r="3791" spans="23:23" x14ac:dyDescent="0.25">
      <c r="W3791" s="111"/>
    </row>
    <row r="3792" spans="23:23" x14ac:dyDescent="0.25">
      <c r="W3792" s="111"/>
    </row>
    <row r="3793" spans="23:23" x14ac:dyDescent="0.25">
      <c r="W3793" s="111"/>
    </row>
    <row r="3794" spans="23:23" x14ac:dyDescent="0.25">
      <c r="W3794" s="111"/>
    </row>
    <row r="3795" spans="23:23" x14ac:dyDescent="0.25">
      <c r="W3795" s="111"/>
    </row>
    <row r="3796" spans="23:23" x14ac:dyDescent="0.25">
      <c r="W3796" s="111"/>
    </row>
    <row r="3797" spans="23:23" x14ac:dyDescent="0.25">
      <c r="W3797" s="111"/>
    </row>
    <row r="3798" spans="23:23" x14ac:dyDescent="0.25">
      <c r="W3798" s="111"/>
    </row>
    <row r="3799" spans="23:23" x14ac:dyDescent="0.25">
      <c r="W3799" s="111"/>
    </row>
    <row r="3800" spans="23:23" x14ac:dyDescent="0.25">
      <c r="W3800" s="111"/>
    </row>
    <row r="3801" spans="23:23" x14ac:dyDescent="0.25">
      <c r="W3801" s="111"/>
    </row>
    <row r="3802" spans="23:23" x14ac:dyDescent="0.25">
      <c r="W3802" s="111"/>
    </row>
    <row r="3803" spans="23:23" x14ac:dyDescent="0.25">
      <c r="W3803" s="111"/>
    </row>
    <row r="3804" spans="23:23" x14ac:dyDescent="0.25">
      <c r="W3804" s="111"/>
    </row>
    <row r="3805" spans="23:23" x14ac:dyDescent="0.25">
      <c r="W3805" s="111"/>
    </row>
    <row r="3806" spans="23:23" x14ac:dyDescent="0.25">
      <c r="W3806" s="111"/>
    </row>
    <row r="3807" spans="23:23" x14ac:dyDescent="0.25">
      <c r="W3807" s="111"/>
    </row>
    <row r="3808" spans="23:23" x14ac:dyDescent="0.25">
      <c r="W3808" s="111"/>
    </row>
    <row r="3809" spans="23:23" x14ac:dyDescent="0.25">
      <c r="W3809" s="111"/>
    </row>
    <row r="3810" spans="23:23" x14ac:dyDescent="0.25">
      <c r="W3810" s="111"/>
    </row>
    <row r="3811" spans="23:23" x14ac:dyDescent="0.25">
      <c r="W3811" s="111"/>
    </row>
    <row r="3812" spans="23:23" x14ac:dyDescent="0.25">
      <c r="W3812" s="111"/>
    </row>
    <row r="3813" spans="23:23" x14ac:dyDescent="0.25">
      <c r="W3813" s="111"/>
    </row>
    <row r="3814" spans="23:23" x14ac:dyDescent="0.25">
      <c r="W3814" s="111"/>
    </row>
    <row r="3815" spans="23:23" x14ac:dyDescent="0.25">
      <c r="W3815" s="111"/>
    </row>
    <row r="3816" spans="23:23" x14ac:dyDescent="0.25">
      <c r="W3816" s="111"/>
    </row>
    <row r="3817" spans="23:23" x14ac:dyDescent="0.25">
      <c r="W3817" s="111"/>
    </row>
    <row r="3818" spans="23:23" x14ac:dyDescent="0.25">
      <c r="W3818" s="111"/>
    </row>
    <row r="3819" spans="23:23" x14ac:dyDescent="0.25">
      <c r="W3819" s="111"/>
    </row>
    <row r="3820" spans="23:23" x14ac:dyDescent="0.25">
      <c r="W3820" s="111"/>
    </row>
    <row r="3821" spans="23:23" x14ac:dyDescent="0.25">
      <c r="W3821" s="111"/>
    </row>
    <row r="3822" spans="23:23" x14ac:dyDescent="0.25">
      <c r="W3822" s="111"/>
    </row>
    <row r="3823" spans="23:23" x14ac:dyDescent="0.25">
      <c r="W3823" s="111"/>
    </row>
    <row r="3824" spans="23:23" x14ac:dyDescent="0.25">
      <c r="W3824" s="111"/>
    </row>
    <row r="3825" spans="23:23" x14ac:dyDescent="0.25">
      <c r="W3825" s="111"/>
    </row>
    <row r="3826" spans="23:23" x14ac:dyDescent="0.25">
      <c r="W3826" s="111"/>
    </row>
    <row r="3827" spans="23:23" x14ac:dyDescent="0.25">
      <c r="W3827" s="111"/>
    </row>
    <row r="3828" spans="23:23" x14ac:dyDescent="0.25">
      <c r="W3828" s="111"/>
    </row>
    <row r="3829" spans="23:23" x14ac:dyDescent="0.25">
      <c r="W3829" s="111"/>
    </row>
    <row r="3830" spans="23:23" x14ac:dyDescent="0.25">
      <c r="W3830" s="111"/>
    </row>
    <row r="3831" spans="23:23" x14ac:dyDescent="0.25">
      <c r="W3831" s="111"/>
    </row>
    <row r="3832" spans="23:23" x14ac:dyDescent="0.25">
      <c r="W3832" s="111"/>
    </row>
    <row r="3833" spans="23:23" x14ac:dyDescent="0.25">
      <c r="W3833" s="111"/>
    </row>
    <row r="3834" spans="23:23" x14ac:dyDescent="0.25">
      <c r="W3834" s="111"/>
    </row>
    <row r="3835" spans="23:23" x14ac:dyDescent="0.25">
      <c r="W3835" s="111"/>
    </row>
    <row r="3836" spans="23:23" x14ac:dyDescent="0.25">
      <c r="W3836" s="111"/>
    </row>
    <row r="3837" spans="23:23" x14ac:dyDescent="0.25">
      <c r="W3837" s="111"/>
    </row>
    <row r="3838" spans="23:23" x14ac:dyDescent="0.25">
      <c r="W3838" s="111"/>
    </row>
    <row r="3839" spans="23:23" x14ac:dyDescent="0.25">
      <c r="W3839" s="111"/>
    </row>
    <row r="3840" spans="23:23" x14ac:dyDescent="0.25">
      <c r="W3840" s="111"/>
    </row>
    <row r="3841" spans="23:23" x14ac:dyDescent="0.25">
      <c r="W3841" s="111"/>
    </row>
    <row r="3842" spans="23:23" x14ac:dyDescent="0.25">
      <c r="W3842" s="111"/>
    </row>
    <row r="3843" spans="23:23" x14ac:dyDescent="0.25">
      <c r="W3843" s="111"/>
    </row>
    <row r="3844" spans="23:23" x14ac:dyDescent="0.25">
      <c r="W3844" s="111"/>
    </row>
    <row r="3845" spans="23:23" x14ac:dyDescent="0.25">
      <c r="W3845" s="111"/>
    </row>
    <row r="3846" spans="23:23" x14ac:dyDescent="0.25">
      <c r="W3846" s="111"/>
    </row>
    <row r="3847" spans="23:23" x14ac:dyDescent="0.25">
      <c r="W3847" s="111"/>
    </row>
    <row r="3848" spans="23:23" x14ac:dyDescent="0.25">
      <c r="W3848" s="111"/>
    </row>
    <row r="3849" spans="23:23" x14ac:dyDescent="0.25">
      <c r="W3849" s="111"/>
    </row>
    <row r="3850" spans="23:23" x14ac:dyDescent="0.25">
      <c r="W3850" s="111"/>
    </row>
    <row r="3851" spans="23:23" x14ac:dyDescent="0.25">
      <c r="W3851" s="111"/>
    </row>
    <row r="3852" spans="23:23" x14ac:dyDescent="0.25">
      <c r="W3852" s="111"/>
    </row>
    <row r="3853" spans="23:23" x14ac:dyDescent="0.25">
      <c r="W3853" s="111"/>
    </row>
    <row r="3854" spans="23:23" x14ac:dyDescent="0.25">
      <c r="W3854" s="111"/>
    </row>
    <row r="3855" spans="23:23" x14ac:dyDescent="0.25">
      <c r="W3855" s="111"/>
    </row>
    <row r="3856" spans="23:23" x14ac:dyDescent="0.25">
      <c r="W3856" s="111"/>
    </row>
    <row r="3857" spans="23:23" x14ac:dyDescent="0.25">
      <c r="W3857" s="111"/>
    </row>
    <row r="3858" spans="23:23" x14ac:dyDescent="0.25">
      <c r="W3858" s="111"/>
    </row>
    <row r="3859" spans="23:23" x14ac:dyDescent="0.25">
      <c r="W3859" s="111"/>
    </row>
    <row r="3860" spans="23:23" x14ac:dyDescent="0.25">
      <c r="W3860" s="111"/>
    </row>
    <row r="3861" spans="23:23" x14ac:dyDescent="0.25">
      <c r="W3861" s="111"/>
    </row>
    <row r="3862" spans="23:23" x14ac:dyDescent="0.25">
      <c r="W3862" s="111"/>
    </row>
    <row r="3863" spans="23:23" x14ac:dyDescent="0.25">
      <c r="W3863" s="111"/>
    </row>
    <row r="3864" spans="23:23" x14ac:dyDescent="0.25">
      <c r="W3864" s="111"/>
    </row>
    <row r="3865" spans="23:23" x14ac:dyDescent="0.25">
      <c r="W3865" s="111"/>
    </row>
    <row r="3866" spans="23:23" x14ac:dyDescent="0.25">
      <c r="W3866" s="111"/>
    </row>
    <row r="3867" spans="23:23" x14ac:dyDescent="0.25">
      <c r="W3867" s="111"/>
    </row>
    <row r="3868" spans="23:23" x14ac:dyDescent="0.25">
      <c r="W3868" s="111"/>
    </row>
    <row r="3869" spans="23:23" x14ac:dyDescent="0.25">
      <c r="W3869" s="111"/>
    </row>
    <row r="3870" spans="23:23" x14ac:dyDescent="0.25">
      <c r="W3870" s="111"/>
    </row>
    <row r="3871" spans="23:23" x14ac:dyDescent="0.25">
      <c r="W3871" s="111"/>
    </row>
    <row r="3872" spans="23:23" x14ac:dyDescent="0.25">
      <c r="W3872" s="111"/>
    </row>
    <row r="3873" spans="23:23" x14ac:dyDescent="0.25">
      <c r="W3873" s="111"/>
    </row>
    <row r="3874" spans="23:23" x14ac:dyDescent="0.25">
      <c r="W3874" s="111"/>
    </row>
    <row r="3875" spans="23:23" x14ac:dyDescent="0.25">
      <c r="W3875" s="111"/>
    </row>
    <row r="3876" spans="23:23" x14ac:dyDescent="0.25">
      <c r="W3876" s="111"/>
    </row>
    <row r="3877" spans="23:23" x14ac:dyDescent="0.25">
      <c r="W3877" s="111"/>
    </row>
    <row r="3878" spans="23:23" x14ac:dyDescent="0.25">
      <c r="W3878" s="111"/>
    </row>
    <row r="3879" spans="23:23" x14ac:dyDescent="0.25">
      <c r="W3879" s="111"/>
    </row>
    <row r="3880" spans="23:23" x14ac:dyDescent="0.25">
      <c r="W3880" s="111"/>
    </row>
    <row r="3881" spans="23:23" x14ac:dyDescent="0.25">
      <c r="W3881" s="111"/>
    </row>
    <row r="3882" spans="23:23" x14ac:dyDescent="0.25">
      <c r="W3882" s="111"/>
    </row>
    <row r="3883" spans="23:23" x14ac:dyDescent="0.25">
      <c r="W3883" s="111"/>
    </row>
    <row r="3884" spans="23:23" x14ac:dyDescent="0.25">
      <c r="W3884" s="111"/>
    </row>
    <row r="3885" spans="23:23" x14ac:dyDescent="0.25">
      <c r="W3885" s="111"/>
    </row>
    <row r="3886" spans="23:23" x14ac:dyDescent="0.25">
      <c r="W3886" s="111"/>
    </row>
    <row r="3887" spans="23:23" x14ac:dyDescent="0.25">
      <c r="W3887" s="111"/>
    </row>
    <row r="3888" spans="23:23" x14ac:dyDescent="0.25">
      <c r="W3888" s="111"/>
    </row>
    <row r="3889" spans="23:23" x14ac:dyDescent="0.25">
      <c r="W3889" s="111"/>
    </row>
    <row r="3890" spans="23:23" x14ac:dyDescent="0.25">
      <c r="W3890" s="111"/>
    </row>
    <row r="3891" spans="23:23" x14ac:dyDescent="0.25">
      <c r="W3891" s="111"/>
    </row>
    <row r="3892" spans="23:23" x14ac:dyDescent="0.25">
      <c r="W3892" s="111"/>
    </row>
    <row r="3893" spans="23:23" x14ac:dyDescent="0.25">
      <c r="W3893" s="111"/>
    </row>
    <row r="3894" spans="23:23" x14ac:dyDescent="0.25">
      <c r="W3894" s="111"/>
    </row>
    <row r="3895" spans="23:23" x14ac:dyDescent="0.25">
      <c r="W3895" s="111"/>
    </row>
    <row r="3896" spans="23:23" x14ac:dyDescent="0.25">
      <c r="W3896" s="111"/>
    </row>
    <row r="3897" spans="23:23" x14ac:dyDescent="0.25">
      <c r="W3897" s="111"/>
    </row>
    <row r="3898" spans="23:23" x14ac:dyDescent="0.25">
      <c r="W3898" s="111"/>
    </row>
    <row r="3899" spans="23:23" x14ac:dyDescent="0.25">
      <c r="W3899" s="111"/>
    </row>
    <row r="3900" spans="23:23" x14ac:dyDescent="0.25">
      <c r="W3900" s="111"/>
    </row>
    <row r="3901" spans="23:23" x14ac:dyDescent="0.25">
      <c r="W3901" s="111"/>
    </row>
    <row r="3902" spans="23:23" x14ac:dyDescent="0.25">
      <c r="W3902" s="111"/>
    </row>
    <row r="3903" spans="23:23" x14ac:dyDescent="0.25">
      <c r="W3903" s="111"/>
    </row>
    <row r="3904" spans="23:23" x14ac:dyDescent="0.25">
      <c r="W3904" s="111"/>
    </row>
    <row r="3905" spans="23:23" x14ac:dyDescent="0.25">
      <c r="W3905" s="111"/>
    </row>
    <row r="3906" spans="23:23" x14ac:dyDescent="0.25">
      <c r="W3906" s="111"/>
    </row>
    <row r="3907" spans="23:23" x14ac:dyDescent="0.25">
      <c r="W3907" s="111"/>
    </row>
    <row r="3908" spans="23:23" x14ac:dyDescent="0.25">
      <c r="W3908" s="111"/>
    </row>
    <row r="3909" spans="23:23" x14ac:dyDescent="0.25">
      <c r="W3909" s="111"/>
    </row>
    <row r="3910" spans="23:23" x14ac:dyDescent="0.25">
      <c r="W3910" s="111"/>
    </row>
    <row r="3911" spans="23:23" x14ac:dyDescent="0.25">
      <c r="W3911" s="111"/>
    </row>
    <row r="3912" spans="23:23" x14ac:dyDescent="0.25">
      <c r="W3912" s="111"/>
    </row>
    <row r="3913" spans="23:23" x14ac:dyDescent="0.25">
      <c r="W3913" s="111"/>
    </row>
    <row r="3914" spans="23:23" x14ac:dyDescent="0.25">
      <c r="W3914" s="111"/>
    </row>
    <row r="3915" spans="23:23" x14ac:dyDescent="0.25">
      <c r="W3915" s="111"/>
    </row>
    <row r="3916" spans="23:23" x14ac:dyDescent="0.25">
      <c r="W3916" s="111"/>
    </row>
    <row r="3917" spans="23:23" x14ac:dyDescent="0.25">
      <c r="W3917" s="111"/>
    </row>
    <row r="3918" spans="23:23" x14ac:dyDescent="0.25">
      <c r="W3918" s="111"/>
    </row>
    <row r="3919" spans="23:23" x14ac:dyDescent="0.25">
      <c r="W3919" s="111"/>
    </row>
    <row r="3920" spans="23:23" x14ac:dyDescent="0.25">
      <c r="W3920" s="111"/>
    </row>
    <row r="3921" spans="23:23" x14ac:dyDescent="0.25">
      <c r="W3921" s="111"/>
    </row>
    <row r="3922" spans="23:23" x14ac:dyDescent="0.25">
      <c r="W3922" s="111"/>
    </row>
    <row r="3923" spans="23:23" x14ac:dyDescent="0.25">
      <c r="W3923" s="111"/>
    </row>
    <row r="3924" spans="23:23" x14ac:dyDescent="0.25">
      <c r="W3924" s="111"/>
    </row>
    <row r="3925" spans="23:23" x14ac:dyDescent="0.25">
      <c r="W3925" s="111"/>
    </row>
    <row r="3926" spans="23:23" x14ac:dyDescent="0.25">
      <c r="W3926" s="111"/>
    </row>
    <row r="3927" spans="23:23" x14ac:dyDescent="0.25">
      <c r="W3927" s="111"/>
    </row>
    <row r="3928" spans="23:23" x14ac:dyDescent="0.25">
      <c r="W3928" s="111"/>
    </row>
    <row r="3929" spans="23:23" x14ac:dyDescent="0.25">
      <c r="W3929" s="111"/>
    </row>
    <row r="3930" spans="23:23" x14ac:dyDescent="0.25">
      <c r="W3930" s="111"/>
    </row>
    <row r="3931" spans="23:23" x14ac:dyDescent="0.25">
      <c r="W3931" s="111"/>
    </row>
    <row r="3932" spans="23:23" x14ac:dyDescent="0.25">
      <c r="W3932" s="111"/>
    </row>
    <row r="3933" spans="23:23" x14ac:dyDescent="0.25">
      <c r="W3933" s="111"/>
    </row>
    <row r="3934" spans="23:23" x14ac:dyDescent="0.25">
      <c r="W3934" s="111"/>
    </row>
    <row r="3935" spans="23:23" x14ac:dyDescent="0.25">
      <c r="W3935" s="111"/>
    </row>
    <row r="3936" spans="23:23" x14ac:dyDescent="0.25">
      <c r="W3936" s="111"/>
    </row>
    <row r="3937" spans="23:23" x14ac:dyDescent="0.25">
      <c r="W3937" s="111"/>
    </row>
    <row r="3938" spans="23:23" x14ac:dyDescent="0.25">
      <c r="W3938" s="111"/>
    </row>
    <row r="3939" spans="23:23" x14ac:dyDescent="0.25">
      <c r="W3939" s="111"/>
    </row>
    <row r="3940" spans="23:23" x14ac:dyDescent="0.25">
      <c r="W3940" s="111"/>
    </row>
    <row r="3941" spans="23:23" x14ac:dyDescent="0.25">
      <c r="W3941" s="111"/>
    </row>
    <row r="3942" spans="23:23" x14ac:dyDescent="0.25">
      <c r="W3942" s="111"/>
    </row>
    <row r="3943" spans="23:23" x14ac:dyDescent="0.25">
      <c r="W3943" s="111"/>
    </row>
    <row r="3944" spans="23:23" x14ac:dyDescent="0.25">
      <c r="W3944" s="111"/>
    </row>
    <row r="3945" spans="23:23" x14ac:dyDescent="0.25">
      <c r="W3945" s="111"/>
    </row>
    <row r="3946" spans="23:23" x14ac:dyDescent="0.25">
      <c r="W3946" s="111"/>
    </row>
    <row r="3947" spans="23:23" x14ac:dyDescent="0.25">
      <c r="W3947" s="111"/>
    </row>
    <row r="3948" spans="23:23" x14ac:dyDescent="0.25">
      <c r="W3948" s="111"/>
    </row>
    <row r="3949" spans="23:23" x14ac:dyDescent="0.25">
      <c r="W3949" s="111"/>
    </row>
    <row r="3950" spans="23:23" x14ac:dyDescent="0.25">
      <c r="W3950" s="111"/>
    </row>
    <row r="3951" spans="23:23" x14ac:dyDescent="0.25">
      <c r="W3951" s="111"/>
    </row>
    <row r="3952" spans="23:23" x14ac:dyDescent="0.25">
      <c r="W3952" s="111"/>
    </row>
    <row r="3953" spans="23:23" x14ac:dyDescent="0.25">
      <c r="W3953" s="111"/>
    </row>
    <row r="3954" spans="23:23" x14ac:dyDescent="0.25">
      <c r="W3954" s="111"/>
    </row>
    <row r="3955" spans="23:23" x14ac:dyDescent="0.25">
      <c r="W3955" s="111"/>
    </row>
    <row r="3956" spans="23:23" x14ac:dyDescent="0.25">
      <c r="W3956" s="111"/>
    </row>
    <row r="3957" spans="23:23" x14ac:dyDescent="0.25">
      <c r="W3957" s="111"/>
    </row>
    <row r="3958" spans="23:23" x14ac:dyDescent="0.25">
      <c r="W3958" s="111"/>
    </row>
    <row r="3959" spans="23:23" x14ac:dyDescent="0.25">
      <c r="W3959" s="111"/>
    </row>
    <row r="3960" spans="23:23" x14ac:dyDescent="0.25">
      <c r="W3960" s="111"/>
    </row>
    <row r="3961" spans="23:23" x14ac:dyDescent="0.25">
      <c r="W3961" s="111"/>
    </row>
    <row r="3962" spans="23:23" x14ac:dyDescent="0.25">
      <c r="W3962" s="111"/>
    </row>
    <row r="3963" spans="23:23" x14ac:dyDescent="0.25">
      <c r="W3963" s="111"/>
    </row>
    <row r="3964" spans="23:23" x14ac:dyDescent="0.25">
      <c r="W3964" s="111"/>
    </row>
    <row r="3965" spans="23:23" x14ac:dyDescent="0.25">
      <c r="W3965" s="111"/>
    </row>
    <row r="3966" spans="23:23" x14ac:dyDescent="0.25">
      <c r="W3966" s="111"/>
    </row>
    <row r="3967" spans="23:23" x14ac:dyDescent="0.25">
      <c r="W3967" s="111"/>
    </row>
    <row r="3968" spans="23:23" x14ac:dyDescent="0.25">
      <c r="W3968" s="111"/>
    </row>
    <row r="3969" spans="23:23" x14ac:dyDescent="0.25">
      <c r="W3969" s="111"/>
    </row>
    <row r="3970" spans="23:23" x14ac:dyDescent="0.25">
      <c r="W3970" s="111"/>
    </row>
    <row r="3971" spans="23:23" x14ac:dyDescent="0.25">
      <c r="W3971" s="111"/>
    </row>
    <row r="3972" spans="23:23" x14ac:dyDescent="0.25">
      <c r="W3972" s="111"/>
    </row>
    <row r="3973" spans="23:23" x14ac:dyDescent="0.25">
      <c r="W3973" s="111"/>
    </row>
    <row r="3974" spans="23:23" x14ac:dyDescent="0.25">
      <c r="W3974" s="111"/>
    </row>
    <row r="3975" spans="23:23" x14ac:dyDescent="0.25">
      <c r="W3975" s="111"/>
    </row>
    <row r="3976" spans="23:23" x14ac:dyDescent="0.25">
      <c r="W3976" s="111"/>
    </row>
    <row r="3977" spans="23:23" x14ac:dyDescent="0.25">
      <c r="W3977" s="111"/>
    </row>
    <row r="3978" spans="23:23" x14ac:dyDescent="0.25">
      <c r="W3978" s="111"/>
    </row>
    <row r="3979" spans="23:23" x14ac:dyDescent="0.25">
      <c r="W3979" s="111"/>
    </row>
    <row r="3980" spans="23:23" x14ac:dyDescent="0.25">
      <c r="W3980" s="111"/>
    </row>
    <row r="3981" spans="23:23" x14ac:dyDescent="0.25">
      <c r="W3981" s="111"/>
    </row>
    <row r="3982" spans="23:23" x14ac:dyDescent="0.25">
      <c r="W3982" s="111"/>
    </row>
    <row r="3983" spans="23:23" x14ac:dyDescent="0.25">
      <c r="W3983" s="111"/>
    </row>
    <row r="3984" spans="23:23" x14ac:dyDescent="0.25">
      <c r="W3984" s="111"/>
    </row>
    <row r="3985" spans="23:23" x14ac:dyDescent="0.25">
      <c r="W3985" s="111"/>
    </row>
    <row r="3986" spans="23:23" x14ac:dyDescent="0.25">
      <c r="W3986" s="111"/>
    </row>
    <row r="3987" spans="23:23" x14ac:dyDescent="0.25">
      <c r="W3987" s="111"/>
    </row>
    <row r="3988" spans="23:23" x14ac:dyDescent="0.25">
      <c r="W3988" s="111"/>
    </row>
    <row r="3989" spans="23:23" x14ac:dyDescent="0.25">
      <c r="W3989" s="111"/>
    </row>
    <row r="3990" spans="23:23" x14ac:dyDescent="0.25">
      <c r="W3990" s="111"/>
    </row>
    <row r="3991" spans="23:23" x14ac:dyDescent="0.25">
      <c r="W3991" s="111"/>
    </row>
    <row r="3992" spans="23:23" x14ac:dyDescent="0.25">
      <c r="W3992" s="111"/>
    </row>
    <row r="3993" spans="23:23" x14ac:dyDescent="0.25">
      <c r="W3993" s="111"/>
    </row>
    <row r="3994" spans="23:23" x14ac:dyDescent="0.25">
      <c r="W3994" s="111"/>
    </row>
    <row r="3995" spans="23:23" x14ac:dyDescent="0.25">
      <c r="W3995" s="111"/>
    </row>
    <row r="3996" spans="23:23" x14ac:dyDescent="0.25">
      <c r="W3996" s="111"/>
    </row>
    <row r="3997" spans="23:23" x14ac:dyDescent="0.25">
      <c r="W3997" s="111"/>
    </row>
    <row r="3998" spans="23:23" x14ac:dyDescent="0.25">
      <c r="W3998" s="111"/>
    </row>
    <row r="3999" spans="23:23" x14ac:dyDescent="0.25">
      <c r="W3999" s="111"/>
    </row>
    <row r="4000" spans="23:23" x14ac:dyDescent="0.25">
      <c r="W4000" s="111"/>
    </row>
    <row r="4001" spans="23:23" x14ac:dyDescent="0.25">
      <c r="W4001" s="111"/>
    </row>
    <row r="4002" spans="23:23" x14ac:dyDescent="0.25">
      <c r="W4002" s="111"/>
    </row>
    <row r="4003" spans="23:23" x14ac:dyDescent="0.25">
      <c r="W4003" s="111"/>
    </row>
    <row r="4004" spans="23:23" x14ac:dyDescent="0.25">
      <c r="W4004" s="111"/>
    </row>
    <row r="4005" spans="23:23" x14ac:dyDescent="0.25">
      <c r="W4005" s="111"/>
    </row>
    <row r="4006" spans="23:23" x14ac:dyDescent="0.25">
      <c r="W4006" s="111"/>
    </row>
    <row r="4007" spans="23:23" x14ac:dyDescent="0.25">
      <c r="W4007" s="111"/>
    </row>
    <row r="4008" spans="23:23" x14ac:dyDescent="0.25">
      <c r="W4008" s="111"/>
    </row>
    <row r="4009" spans="23:23" x14ac:dyDescent="0.25">
      <c r="W4009" s="111"/>
    </row>
    <row r="4010" spans="23:23" x14ac:dyDescent="0.25">
      <c r="W4010" s="111"/>
    </row>
    <row r="4011" spans="23:23" x14ac:dyDescent="0.25">
      <c r="W4011" s="111"/>
    </row>
    <row r="4012" spans="23:23" x14ac:dyDescent="0.25">
      <c r="W4012" s="111"/>
    </row>
    <row r="4013" spans="23:23" x14ac:dyDescent="0.25">
      <c r="W4013" s="111"/>
    </row>
    <row r="4014" spans="23:23" x14ac:dyDescent="0.25">
      <c r="W4014" s="111"/>
    </row>
    <row r="4015" spans="23:23" x14ac:dyDescent="0.25">
      <c r="W4015" s="111"/>
    </row>
    <row r="4016" spans="23:23" x14ac:dyDescent="0.25">
      <c r="W4016" s="111"/>
    </row>
    <row r="4017" spans="23:23" x14ac:dyDescent="0.25">
      <c r="W4017" s="111"/>
    </row>
    <row r="4018" spans="23:23" x14ac:dyDescent="0.25">
      <c r="W4018" s="111"/>
    </row>
    <row r="4019" spans="23:23" x14ac:dyDescent="0.25">
      <c r="W4019" s="111"/>
    </row>
    <row r="4020" spans="23:23" x14ac:dyDescent="0.25">
      <c r="W4020" s="111"/>
    </row>
    <row r="4021" spans="23:23" x14ac:dyDescent="0.25">
      <c r="W4021" s="111"/>
    </row>
    <row r="4022" spans="23:23" x14ac:dyDescent="0.25">
      <c r="W4022" s="111"/>
    </row>
    <row r="4023" spans="23:23" x14ac:dyDescent="0.25">
      <c r="W4023" s="111"/>
    </row>
    <row r="4024" spans="23:23" x14ac:dyDescent="0.25">
      <c r="W4024" s="111"/>
    </row>
    <row r="4025" spans="23:23" x14ac:dyDescent="0.25">
      <c r="W4025" s="111"/>
    </row>
    <row r="4026" spans="23:23" x14ac:dyDescent="0.25">
      <c r="W4026" s="111"/>
    </row>
    <row r="4027" spans="23:23" x14ac:dyDescent="0.25">
      <c r="W4027" s="111"/>
    </row>
    <row r="4028" spans="23:23" x14ac:dyDescent="0.25">
      <c r="W4028" s="111"/>
    </row>
    <row r="4029" spans="23:23" x14ac:dyDescent="0.25">
      <c r="W4029" s="111"/>
    </row>
    <row r="4030" spans="23:23" x14ac:dyDescent="0.25">
      <c r="W4030" s="111"/>
    </row>
    <row r="4031" spans="23:23" x14ac:dyDescent="0.25">
      <c r="W4031" s="111"/>
    </row>
    <row r="4032" spans="23:23" x14ac:dyDescent="0.25">
      <c r="W4032" s="111"/>
    </row>
    <row r="4033" spans="23:23" x14ac:dyDescent="0.25">
      <c r="W4033" s="111"/>
    </row>
    <row r="4034" spans="23:23" x14ac:dyDescent="0.25">
      <c r="W4034" s="111"/>
    </row>
    <row r="4035" spans="23:23" x14ac:dyDescent="0.25">
      <c r="W4035" s="111"/>
    </row>
    <row r="4036" spans="23:23" x14ac:dyDescent="0.25">
      <c r="W4036" s="111"/>
    </row>
    <row r="4037" spans="23:23" x14ac:dyDescent="0.25">
      <c r="W4037" s="111"/>
    </row>
    <row r="4038" spans="23:23" x14ac:dyDescent="0.25">
      <c r="W4038" s="111"/>
    </row>
    <row r="4039" spans="23:23" x14ac:dyDescent="0.25">
      <c r="W4039" s="111"/>
    </row>
    <row r="4040" spans="23:23" x14ac:dyDescent="0.25">
      <c r="W4040" s="111"/>
    </row>
    <row r="4041" spans="23:23" x14ac:dyDescent="0.25">
      <c r="W4041" s="111"/>
    </row>
    <row r="4042" spans="23:23" x14ac:dyDescent="0.25">
      <c r="W4042" s="111"/>
    </row>
    <row r="4043" spans="23:23" x14ac:dyDescent="0.25">
      <c r="W4043" s="111"/>
    </row>
    <row r="4044" spans="23:23" x14ac:dyDescent="0.25">
      <c r="W4044" s="111"/>
    </row>
    <row r="4045" spans="23:23" x14ac:dyDescent="0.25">
      <c r="W4045" s="111"/>
    </row>
    <row r="4046" spans="23:23" x14ac:dyDescent="0.25">
      <c r="W4046" s="111"/>
    </row>
    <row r="4047" spans="23:23" x14ac:dyDescent="0.25">
      <c r="W4047" s="111"/>
    </row>
    <row r="4048" spans="23:23" x14ac:dyDescent="0.25">
      <c r="W4048" s="111"/>
    </row>
    <row r="4049" spans="23:23" x14ac:dyDescent="0.25">
      <c r="W4049" s="111"/>
    </row>
    <row r="4050" spans="23:23" x14ac:dyDescent="0.25">
      <c r="W4050" s="111"/>
    </row>
    <row r="4051" spans="23:23" x14ac:dyDescent="0.25">
      <c r="W4051" s="111"/>
    </row>
    <row r="4052" spans="23:23" x14ac:dyDescent="0.25">
      <c r="W4052" s="111"/>
    </row>
    <row r="4053" spans="23:23" x14ac:dyDescent="0.25">
      <c r="W4053" s="111"/>
    </row>
    <row r="4054" spans="23:23" x14ac:dyDescent="0.25">
      <c r="W4054" s="111"/>
    </row>
    <row r="4055" spans="23:23" x14ac:dyDescent="0.25">
      <c r="W4055" s="111"/>
    </row>
    <row r="4056" spans="23:23" x14ac:dyDescent="0.25">
      <c r="W4056" s="111"/>
    </row>
    <row r="4057" spans="23:23" x14ac:dyDescent="0.25">
      <c r="W4057" s="111"/>
    </row>
    <row r="4058" spans="23:23" x14ac:dyDescent="0.25">
      <c r="W4058" s="111"/>
    </row>
    <row r="4059" spans="23:23" x14ac:dyDescent="0.25">
      <c r="W4059" s="111"/>
    </row>
    <row r="4060" spans="23:23" x14ac:dyDescent="0.25">
      <c r="W4060" s="111"/>
    </row>
    <row r="4061" spans="23:23" x14ac:dyDescent="0.25">
      <c r="W4061" s="111"/>
    </row>
    <row r="4062" spans="23:23" x14ac:dyDescent="0.25">
      <c r="W4062" s="111"/>
    </row>
    <row r="4063" spans="23:23" x14ac:dyDescent="0.25">
      <c r="W4063" s="111"/>
    </row>
    <row r="4064" spans="23:23" x14ac:dyDescent="0.25">
      <c r="W4064" s="111"/>
    </row>
    <row r="4065" spans="23:23" x14ac:dyDescent="0.25">
      <c r="W4065" s="111"/>
    </row>
    <row r="4066" spans="23:23" x14ac:dyDescent="0.25">
      <c r="W4066" s="111"/>
    </row>
    <row r="4067" spans="23:23" x14ac:dyDescent="0.25">
      <c r="W4067" s="111"/>
    </row>
    <row r="4068" spans="23:23" x14ac:dyDescent="0.25">
      <c r="W4068" s="111"/>
    </row>
    <row r="4069" spans="23:23" x14ac:dyDescent="0.25">
      <c r="W4069" s="111"/>
    </row>
    <row r="4070" spans="23:23" x14ac:dyDescent="0.25">
      <c r="W4070" s="111"/>
    </row>
    <row r="4071" spans="23:23" x14ac:dyDescent="0.25">
      <c r="W4071" s="111"/>
    </row>
    <row r="4072" spans="23:23" x14ac:dyDescent="0.25">
      <c r="W4072" s="111"/>
    </row>
    <row r="4073" spans="23:23" x14ac:dyDescent="0.25">
      <c r="W4073" s="111"/>
    </row>
    <row r="4074" spans="23:23" x14ac:dyDescent="0.25">
      <c r="W4074" s="111"/>
    </row>
    <row r="4075" spans="23:23" x14ac:dyDescent="0.25">
      <c r="W4075" s="111"/>
    </row>
    <row r="4076" spans="23:23" x14ac:dyDescent="0.25">
      <c r="W4076" s="111"/>
    </row>
    <row r="4077" spans="23:23" x14ac:dyDescent="0.25">
      <c r="W4077" s="111"/>
    </row>
    <row r="4078" spans="23:23" x14ac:dyDescent="0.25">
      <c r="W4078" s="111"/>
    </row>
    <row r="4079" spans="23:23" x14ac:dyDescent="0.25">
      <c r="W4079" s="111"/>
    </row>
    <row r="4080" spans="23:23" x14ac:dyDescent="0.25">
      <c r="W4080" s="111"/>
    </row>
    <row r="4081" spans="23:23" x14ac:dyDescent="0.25">
      <c r="W4081" s="111"/>
    </row>
    <row r="4082" spans="23:23" x14ac:dyDescent="0.25">
      <c r="W4082" s="111"/>
    </row>
    <row r="4083" spans="23:23" x14ac:dyDescent="0.25">
      <c r="W4083" s="111"/>
    </row>
    <row r="4084" spans="23:23" x14ac:dyDescent="0.25">
      <c r="W4084" s="111"/>
    </row>
    <row r="4085" spans="23:23" x14ac:dyDescent="0.25">
      <c r="W4085" s="111"/>
    </row>
    <row r="4086" spans="23:23" x14ac:dyDescent="0.25">
      <c r="W4086" s="111"/>
    </row>
    <row r="4087" spans="23:23" x14ac:dyDescent="0.25">
      <c r="W4087" s="111"/>
    </row>
    <row r="4088" spans="23:23" x14ac:dyDescent="0.25">
      <c r="W4088" s="111"/>
    </row>
    <row r="4089" spans="23:23" x14ac:dyDescent="0.25">
      <c r="W4089" s="111"/>
    </row>
    <row r="4090" spans="23:23" x14ac:dyDescent="0.25">
      <c r="W4090" s="111"/>
    </row>
    <row r="4091" spans="23:23" x14ac:dyDescent="0.25">
      <c r="W4091" s="111"/>
    </row>
    <row r="4092" spans="23:23" x14ac:dyDescent="0.25">
      <c r="W4092" s="111"/>
    </row>
    <row r="4093" spans="23:23" x14ac:dyDescent="0.25">
      <c r="W4093" s="111"/>
    </row>
    <row r="4094" spans="23:23" x14ac:dyDescent="0.25">
      <c r="W4094" s="111"/>
    </row>
    <row r="4095" spans="23:23" x14ac:dyDescent="0.25">
      <c r="W4095" s="111"/>
    </row>
    <row r="4096" spans="23:23" x14ac:dyDescent="0.25">
      <c r="W4096" s="111"/>
    </row>
    <row r="4097" spans="23:23" x14ac:dyDescent="0.25">
      <c r="W4097" s="111"/>
    </row>
    <row r="4098" spans="23:23" x14ac:dyDescent="0.25">
      <c r="W4098" s="111"/>
    </row>
    <row r="4099" spans="23:23" x14ac:dyDescent="0.25">
      <c r="W4099" s="111"/>
    </row>
    <row r="4100" spans="23:23" x14ac:dyDescent="0.25">
      <c r="W4100" s="111"/>
    </row>
    <row r="4101" spans="23:23" x14ac:dyDescent="0.25">
      <c r="W4101" s="111"/>
    </row>
    <row r="4102" spans="23:23" x14ac:dyDescent="0.25">
      <c r="W4102" s="111"/>
    </row>
    <row r="4103" spans="23:23" x14ac:dyDescent="0.25">
      <c r="W4103" s="111"/>
    </row>
    <row r="4104" spans="23:23" x14ac:dyDescent="0.25">
      <c r="W4104" s="111"/>
    </row>
    <row r="4105" spans="23:23" x14ac:dyDescent="0.25">
      <c r="W4105" s="111"/>
    </row>
    <row r="4106" spans="23:23" x14ac:dyDescent="0.25">
      <c r="W4106" s="111"/>
    </row>
    <row r="4107" spans="23:23" x14ac:dyDescent="0.25">
      <c r="W4107" s="111"/>
    </row>
    <row r="4108" spans="23:23" x14ac:dyDescent="0.25">
      <c r="W4108" s="111"/>
    </row>
    <row r="4109" spans="23:23" x14ac:dyDescent="0.25">
      <c r="W4109" s="111"/>
    </row>
    <row r="4110" spans="23:23" x14ac:dyDescent="0.25">
      <c r="W4110" s="111"/>
    </row>
    <row r="4111" spans="23:23" x14ac:dyDescent="0.25">
      <c r="W4111" s="111"/>
    </row>
    <row r="4112" spans="23:23" x14ac:dyDescent="0.25">
      <c r="W4112" s="111"/>
    </row>
    <row r="4113" spans="23:23" x14ac:dyDescent="0.25">
      <c r="W4113" s="111"/>
    </row>
    <row r="4114" spans="23:23" x14ac:dyDescent="0.25">
      <c r="W4114" s="111"/>
    </row>
    <row r="4115" spans="23:23" x14ac:dyDescent="0.25">
      <c r="W4115" s="111"/>
    </row>
    <row r="4116" spans="23:23" x14ac:dyDescent="0.25">
      <c r="W4116" s="111"/>
    </row>
    <row r="4117" spans="23:23" x14ac:dyDescent="0.25">
      <c r="W4117" s="111"/>
    </row>
    <row r="4118" spans="23:23" x14ac:dyDescent="0.25">
      <c r="W4118" s="111"/>
    </row>
    <row r="4119" spans="23:23" x14ac:dyDescent="0.25">
      <c r="W4119" s="111"/>
    </row>
    <row r="4120" spans="23:23" x14ac:dyDescent="0.25">
      <c r="W4120" s="111"/>
    </row>
    <row r="4121" spans="23:23" x14ac:dyDescent="0.25">
      <c r="W4121" s="111"/>
    </row>
    <row r="4122" spans="23:23" x14ac:dyDescent="0.25">
      <c r="W4122" s="111"/>
    </row>
    <row r="4123" spans="23:23" x14ac:dyDescent="0.25">
      <c r="W4123" s="111"/>
    </row>
    <row r="4124" spans="23:23" x14ac:dyDescent="0.25">
      <c r="W4124" s="111"/>
    </row>
    <row r="4125" spans="23:23" x14ac:dyDescent="0.25">
      <c r="W4125" s="111"/>
    </row>
    <row r="4126" spans="23:23" x14ac:dyDescent="0.25">
      <c r="W4126" s="111"/>
    </row>
    <row r="4127" spans="23:23" x14ac:dyDescent="0.25">
      <c r="W4127" s="111"/>
    </row>
    <row r="4128" spans="23:23" x14ac:dyDescent="0.25">
      <c r="W4128" s="111"/>
    </row>
    <row r="4129" spans="23:23" x14ac:dyDescent="0.25">
      <c r="W4129" s="111"/>
    </row>
    <row r="4130" spans="23:23" x14ac:dyDescent="0.25">
      <c r="W4130" s="111"/>
    </row>
    <row r="4131" spans="23:23" x14ac:dyDescent="0.25">
      <c r="W4131" s="111"/>
    </row>
    <row r="4132" spans="23:23" x14ac:dyDescent="0.25">
      <c r="W4132" s="111"/>
    </row>
    <row r="4133" spans="23:23" x14ac:dyDescent="0.25">
      <c r="W4133" s="111"/>
    </row>
    <row r="4134" spans="23:23" x14ac:dyDescent="0.25">
      <c r="W4134" s="111"/>
    </row>
    <row r="4135" spans="23:23" x14ac:dyDescent="0.25">
      <c r="W4135" s="111"/>
    </row>
    <row r="4136" spans="23:23" x14ac:dyDescent="0.25">
      <c r="W4136" s="111"/>
    </row>
    <row r="4137" spans="23:23" x14ac:dyDescent="0.25">
      <c r="W4137" s="111"/>
    </row>
    <row r="4138" spans="23:23" x14ac:dyDescent="0.25">
      <c r="W4138" s="111"/>
    </row>
    <row r="4139" spans="23:23" x14ac:dyDescent="0.25">
      <c r="W4139" s="111"/>
    </row>
    <row r="4140" spans="23:23" x14ac:dyDescent="0.25">
      <c r="W4140" s="111"/>
    </row>
    <row r="4141" spans="23:23" x14ac:dyDescent="0.25">
      <c r="W4141" s="111"/>
    </row>
    <row r="4142" spans="23:23" x14ac:dyDescent="0.25">
      <c r="W4142" s="111"/>
    </row>
    <row r="4143" spans="23:23" x14ac:dyDescent="0.25">
      <c r="W4143" s="111"/>
    </row>
    <row r="4144" spans="23:23" x14ac:dyDescent="0.25">
      <c r="W4144" s="111"/>
    </row>
    <row r="4145" spans="23:23" x14ac:dyDescent="0.25">
      <c r="W4145" s="111"/>
    </row>
    <row r="4146" spans="23:23" x14ac:dyDescent="0.25">
      <c r="W4146" s="111"/>
    </row>
    <row r="4147" spans="23:23" x14ac:dyDescent="0.25">
      <c r="W4147" s="111"/>
    </row>
    <row r="4148" spans="23:23" x14ac:dyDescent="0.25">
      <c r="W4148" s="111"/>
    </row>
    <row r="4149" spans="23:23" x14ac:dyDescent="0.25">
      <c r="W4149" s="111"/>
    </row>
    <row r="4150" spans="23:23" x14ac:dyDescent="0.25">
      <c r="W4150" s="111"/>
    </row>
    <row r="4151" spans="23:23" x14ac:dyDescent="0.25">
      <c r="W4151" s="111"/>
    </row>
    <row r="4152" spans="23:23" x14ac:dyDescent="0.25">
      <c r="W4152" s="111"/>
    </row>
    <row r="4153" spans="23:23" x14ac:dyDescent="0.25">
      <c r="W4153" s="111"/>
    </row>
    <row r="4154" spans="23:23" x14ac:dyDescent="0.25">
      <c r="W4154" s="111"/>
    </row>
    <row r="4155" spans="23:23" x14ac:dyDescent="0.25">
      <c r="W4155" s="111"/>
    </row>
    <row r="4156" spans="23:23" x14ac:dyDescent="0.25">
      <c r="W4156" s="111"/>
    </row>
    <row r="4157" spans="23:23" x14ac:dyDescent="0.25">
      <c r="W4157" s="111"/>
    </row>
    <row r="4158" spans="23:23" x14ac:dyDescent="0.25">
      <c r="W4158" s="111"/>
    </row>
    <row r="4159" spans="23:23" x14ac:dyDescent="0.25">
      <c r="W4159" s="111"/>
    </row>
    <row r="4160" spans="23:23" x14ac:dyDescent="0.25">
      <c r="W4160" s="111"/>
    </row>
    <row r="4161" spans="23:23" x14ac:dyDescent="0.25">
      <c r="W4161" s="111"/>
    </row>
    <row r="4162" spans="23:23" x14ac:dyDescent="0.25">
      <c r="W4162" s="111"/>
    </row>
    <row r="4163" spans="23:23" x14ac:dyDescent="0.25">
      <c r="W4163" s="111"/>
    </row>
    <row r="4164" spans="23:23" x14ac:dyDescent="0.25">
      <c r="W4164" s="111"/>
    </row>
    <row r="4165" spans="23:23" x14ac:dyDescent="0.25">
      <c r="W4165" s="111"/>
    </row>
    <row r="4166" spans="23:23" x14ac:dyDescent="0.25">
      <c r="W4166" s="111"/>
    </row>
    <row r="4167" spans="23:23" x14ac:dyDescent="0.25">
      <c r="W4167" s="111"/>
    </row>
    <row r="4168" spans="23:23" x14ac:dyDescent="0.25">
      <c r="W4168" s="111"/>
    </row>
    <row r="4169" spans="23:23" x14ac:dyDescent="0.25">
      <c r="W4169" s="111"/>
    </row>
    <row r="4170" spans="23:23" x14ac:dyDescent="0.25">
      <c r="W4170" s="111"/>
    </row>
    <row r="4171" spans="23:23" x14ac:dyDescent="0.25">
      <c r="W4171" s="111"/>
    </row>
    <row r="4172" spans="23:23" x14ac:dyDescent="0.25">
      <c r="W4172" s="111"/>
    </row>
    <row r="4173" spans="23:23" x14ac:dyDescent="0.25">
      <c r="W4173" s="111"/>
    </row>
    <row r="4174" spans="23:23" x14ac:dyDescent="0.25">
      <c r="W4174" s="111"/>
    </row>
    <row r="4175" spans="23:23" x14ac:dyDescent="0.25">
      <c r="W4175" s="111"/>
    </row>
    <row r="4176" spans="23:23" x14ac:dyDescent="0.25">
      <c r="W4176" s="111"/>
    </row>
    <row r="4177" spans="23:23" x14ac:dyDescent="0.25">
      <c r="W4177" s="111"/>
    </row>
    <row r="4178" spans="23:23" x14ac:dyDescent="0.25">
      <c r="W4178" s="111"/>
    </row>
    <row r="4179" spans="23:23" x14ac:dyDescent="0.25">
      <c r="W4179" s="111"/>
    </row>
    <row r="4180" spans="23:23" x14ac:dyDescent="0.25">
      <c r="W4180" s="111"/>
    </row>
    <row r="4181" spans="23:23" x14ac:dyDescent="0.25">
      <c r="W4181" s="111"/>
    </row>
    <row r="4182" spans="23:23" x14ac:dyDescent="0.25">
      <c r="W4182" s="111"/>
    </row>
    <row r="4183" spans="23:23" x14ac:dyDescent="0.25">
      <c r="W4183" s="111"/>
    </row>
    <row r="4184" spans="23:23" x14ac:dyDescent="0.25">
      <c r="W4184" s="111"/>
    </row>
    <row r="4185" spans="23:23" x14ac:dyDescent="0.25">
      <c r="W4185" s="111"/>
    </row>
    <row r="4186" spans="23:23" x14ac:dyDescent="0.25">
      <c r="W4186" s="111"/>
    </row>
    <row r="4187" spans="23:23" x14ac:dyDescent="0.25">
      <c r="W4187" s="111"/>
    </row>
    <row r="4188" spans="23:23" x14ac:dyDescent="0.25">
      <c r="W4188" s="111"/>
    </row>
    <row r="4189" spans="23:23" x14ac:dyDescent="0.25">
      <c r="W4189" s="111"/>
    </row>
    <row r="4190" spans="23:23" x14ac:dyDescent="0.25">
      <c r="W4190" s="111"/>
    </row>
    <row r="4191" spans="23:23" x14ac:dyDescent="0.25">
      <c r="W4191" s="111"/>
    </row>
    <row r="4192" spans="23:23" x14ac:dyDescent="0.25">
      <c r="W4192" s="111"/>
    </row>
    <row r="4193" spans="23:23" x14ac:dyDescent="0.25">
      <c r="W4193" s="111"/>
    </row>
    <row r="4194" spans="23:23" x14ac:dyDescent="0.25">
      <c r="W4194" s="111"/>
    </row>
    <row r="4195" spans="23:23" x14ac:dyDescent="0.25">
      <c r="W4195" s="111"/>
    </row>
    <row r="4196" spans="23:23" x14ac:dyDescent="0.25">
      <c r="W4196" s="111"/>
    </row>
    <row r="4197" spans="23:23" x14ac:dyDescent="0.25">
      <c r="W4197" s="111"/>
    </row>
    <row r="4198" spans="23:23" x14ac:dyDescent="0.25">
      <c r="W4198" s="111"/>
    </row>
    <row r="4199" spans="23:23" x14ac:dyDescent="0.25">
      <c r="W4199" s="111"/>
    </row>
    <row r="4200" spans="23:23" x14ac:dyDescent="0.25">
      <c r="W4200" s="111"/>
    </row>
    <row r="4201" spans="23:23" x14ac:dyDescent="0.25">
      <c r="W4201" s="111"/>
    </row>
    <row r="4202" spans="23:23" x14ac:dyDescent="0.25">
      <c r="W4202" s="111"/>
    </row>
    <row r="4203" spans="23:23" x14ac:dyDescent="0.25">
      <c r="W4203" s="111"/>
    </row>
    <row r="4204" spans="23:23" x14ac:dyDescent="0.25">
      <c r="W4204" s="111"/>
    </row>
    <row r="4205" spans="23:23" x14ac:dyDescent="0.25">
      <c r="W4205" s="111"/>
    </row>
    <row r="4206" spans="23:23" x14ac:dyDescent="0.25">
      <c r="W4206" s="111"/>
    </row>
    <row r="4207" spans="23:23" x14ac:dyDescent="0.25">
      <c r="W4207" s="111"/>
    </row>
    <row r="4208" spans="23:23" x14ac:dyDescent="0.25">
      <c r="W4208" s="111"/>
    </row>
    <row r="4209" spans="23:23" x14ac:dyDescent="0.25">
      <c r="W4209" s="111"/>
    </row>
    <row r="4210" spans="23:23" x14ac:dyDescent="0.25">
      <c r="W4210" s="111"/>
    </row>
    <row r="4211" spans="23:23" x14ac:dyDescent="0.25">
      <c r="W4211" s="111"/>
    </row>
    <row r="4212" spans="23:23" x14ac:dyDescent="0.25">
      <c r="W4212" s="111"/>
    </row>
    <row r="4213" spans="23:23" x14ac:dyDescent="0.25">
      <c r="W4213" s="111"/>
    </row>
    <row r="4214" spans="23:23" x14ac:dyDescent="0.25">
      <c r="W4214" s="111"/>
    </row>
    <row r="4215" spans="23:23" x14ac:dyDescent="0.25">
      <c r="W4215" s="111"/>
    </row>
    <row r="4216" spans="23:23" x14ac:dyDescent="0.25">
      <c r="W4216" s="111"/>
    </row>
    <row r="4217" spans="23:23" x14ac:dyDescent="0.25">
      <c r="W4217" s="111"/>
    </row>
    <row r="4218" spans="23:23" x14ac:dyDescent="0.25">
      <c r="W4218" s="111"/>
    </row>
    <row r="4219" spans="23:23" x14ac:dyDescent="0.25">
      <c r="W4219" s="111"/>
    </row>
    <row r="4220" spans="23:23" x14ac:dyDescent="0.25">
      <c r="W4220" s="111"/>
    </row>
    <row r="4221" spans="23:23" x14ac:dyDescent="0.25">
      <c r="W4221" s="111"/>
    </row>
    <row r="4222" spans="23:23" x14ac:dyDescent="0.25">
      <c r="W4222" s="111"/>
    </row>
    <row r="4223" spans="23:23" x14ac:dyDescent="0.25">
      <c r="W4223" s="111"/>
    </row>
    <row r="4224" spans="23:23" x14ac:dyDescent="0.25">
      <c r="W4224" s="111"/>
    </row>
    <row r="4225" spans="23:23" x14ac:dyDescent="0.25">
      <c r="W4225" s="111"/>
    </row>
    <row r="4226" spans="23:23" x14ac:dyDescent="0.25">
      <c r="W4226" s="111"/>
    </row>
    <row r="4227" spans="23:23" x14ac:dyDescent="0.25">
      <c r="W4227" s="111"/>
    </row>
    <row r="4228" spans="23:23" x14ac:dyDescent="0.25">
      <c r="W4228" s="111"/>
    </row>
    <row r="4229" spans="23:23" x14ac:dyDescent="0.25">
      <c r="W4229" s="111"/>
    </row>
    <row r="4230" spans="23:23" x14ac:dyDescent="0.25">
      <c r="W4230" s="111"/>
    </row>
    <row r="4231" spans="23:23" x14ac:dyDescent="0.25">
      <c r="W4231" s="111"/>
    </row>
    <row r="4232" spans="23:23" x14ac:dyDescent="0.25">
      <c r="W4232" s="111"/>
    </row>
    <row r="4233" spans="23:23" x14ac:dyDescent="0.25">
      <c r="W4233" s="111"/>
    </row>
    <row r="4234" spans="23:23" x14ac:dyDescent="0.25">
      <c r="W4234" s="111"/>
    </row>
    <row r="4235" spans="23:23" x14ac:dyDescent="0.25">
      <c r="W4235" s="111"/>
    </row>
    <row r="4236" spans="23:23" x14ac:dyDescent="0.25">
      <c r="W4236" s="111"/>
    </row>
    <row r="4237" spans="23:23" x14ac:dyDescent="0.25">
      <c r="W4237" s="111"/>
    </row>
    <row r="4238" spans="23:23" x14ac:dyDescent="0.25">
      <c r="W4238" s="111"/>
    </row>
    <row r="4239" spans="23:23" x14ac:dyDescent="0.25">
      <c r="W4239" s="111"/>
    </row>
    <row r="4240" spans="23:23" x14ac:dyDescent="0.25">
      <c r="W4240" s="111"/>
    </row>
    <row r="4241" spans="23:23" x14ac:dyDescent="0.25">
      <c r="W4241" s="111"/>
    </row>
    <row r="4242" spans="23:23" x14ac:dyDescent="0.25">
      <c r="W4242" s="111"/>
    </row>
    <row r="4243" spans="23:23" x14ac:dyDescent="0.25">
      <c r="W4243" s="111"/>
    </row>
    <row r="4244" spans="23:23" x14ac:dyDescent="0.25">
      <c r="W4244" s="111"/>
    </row>
    <row r="4245" spans="23:23" x14ac:dyDescent="0.25">
      <c r="W4245" s="111"/>
    </row>
    <row r="4246" spans="23:23" x14ac:dyDescent="0.25">
      <c r="W4246" s="111"/>
    </row>
    <row r="4247" spans="23:23" x14ac:dyDescent="0.25">
      <c r="W4247" s="111"/>
    </row>
    <row r="4248" spans="23:23" x14ac:dyDescent="0.25">
      <c r="W4248" s="111"/>
    </row>
    <row r="4249" spans="23:23" x14ac:dyDescent="0.25">
      <c r="W4249" s="111"/>
    </row>
    <row r="4250" spans="23:23" x14ac:dyDescent="0.25">
      <c r="W4250" s="111"/>
    </row>
    <row r="4251" spans="23:23" x14ac:dyDescent="0.25">
      <c r="W4251" s="111"/>
    </row>
    <row r="4252" spans="23:23" x14ac:dyDescent="0.25">
      <c r="W4252" s="111"/>
    </row>
    <row r="4253" spans="23:23" x14ac:dyDescent="0.25">
      <c r="W4253" s="111"/>
    </row>
    <row r="4254" spans="23:23" x14ac:dyDescent="0.25">
      <c r="W4254" s="111"/>
    </row>
    <row r="4255" spans="23:23" x14ac:dyDescent="0.25">
      <c r="W4255" s="111"/>
    </row>
    <row r="4256" spans="23:23" x14ac:dyDescent="0.25">
      <c r="W4256" s="111"/>
    </row>
    <row r="4257" spans="23:23" x14ac:dyDescent="0.25">
      <c r="W4257" s="111"/>
    </row>
    <row r="4258" spans="23:23" x14ac:dyDescent="0.25">
      <c r="W4258" s="111"/>
    </row>
    <row r="4259" spans="23:23" x14ac:dyDescent="0.25">
      <c r="W4259" s="111"/>
    </row>
    <row r="4260" spans="23:23" x14ac:dyDescent="0.25">
      <c r="W4260" s="111"/>
    </row>
    <row r="4261" spans="23:23" x14ac:dyDescent="0.25">
      <c r="W4261" s="111"/>
    </row>
    <row r="4262" spans="23:23" x14ac:dyDescent="0.25">
      <c r="W4262" s="111"/>
    </row>
    <row r="4263" spans="23:23" x14ac:dyDescent="0.25">
      <c r="W4263" s="111"/>
    </row>
    <row r="4264" spans="23:23" x14ac:dyDescent="0.25">
      <c r="W4264" s="111"/>
    </row>
    <row r="4265" spans="23:23" x14ac:dyDescent="0.25">
      <c r="W4265" s="111"/>
    </row>
    <row r="4266" spans="23:23" x14ac:dyDescent="0.25">
      <c r="W4266" s="111"/>
    </row>
    <row r="4267" spans="23:23" x14ac:dyDescent="0.25">
      <c r="W4267" s="111"/>
    </row>
    <row r="4268" spans="23:23" x14ac:dyDescent="0.25">
      <c r="W4268" s="111"/>
    </row>
    <row r="4269" spans="23:23" x14ac:dyDescent="0.25">
      <c r="W4269" s="111"/>
    </row>
    <row r="4270" spans="23:23" x14ac:dyDescent="0.25">
      <c r="W4270" s="111"/>
    </row>
    <row r="4271" spans="23:23" x14ac:dyDescent="0.25">
      <c r="W4271" s="111"/>
    </row>
    <row r="4272" spans="23:23" x14ac:dyDescent="0.25">
      <c r="W4272" s="111"/>
    </row>
    <row r="4273" spans="23:23" x14ac:dyDescent="0.25">
      <c r="W4273" s="111"/>
    </row>
    <row r="4274" spans="23:23" x14ac:dyDescent="0.25">
      <c r="W4274" s="111"/>
    </row>
    <row r="4275" spans="23:23" x14ac:dyDescent="0.25">
      <c r="W4275" s="111"/>
    </row>
    <row r="4276" spans="23:23" x14ac:dyDescent="0.25">
      <c r="W4276" s="111"/>
    </row>
    <row r="4277" spans="23:23" x14ac:dyDescent="0.25">
      <c r="W4277" s="111"/>
    </row>
    <row r="4278" spans="23:23" x14ac:dyDescent="0.25">
      <c r="W4278" s="111"/>
    </row>
    <row r="4279" spans="23:23" x14ac:dyDescent="0.25">
      <c r="W4279" s="111"/>
    </row>
    <row r="4280" spans="23:23" x14ac:dyDescent="0.25">
      <c r="W4280" s="111"/>
    </row>
    <row r="4281" spans="23:23" x14ac:dyDescent="0.25">
      <c r="W4281" s="111"/>
    </row>
    <row r="4282" spans="23:23" x14ac:dyDescent="0.25">
      <c r="W4282" s="111"/>
    </row>
    <row r="4283" spans="23:23" x14ac:dyDescent="0.25">
      <c r="W4283" s="111"/>
    </row>
    <row r="4284" spans="23:23" x14ac:dyDescent="0.25">
      <c r="W4284" s="111"/>
    </row>
    <row r="4285" spans="23:23" x14ac:dyDescent="0.25">
      <c r="W4285" s="111"/>
    </row>
    <row r="4286" spans="23:23" x14ac:dyDescent="0.25">
      <c r="W4286" s="111"/>
    </row>
    <row r="4287" spans="23:23" x14ac:dyDescent="0.25">
      <c r="W4287" s="111"/>
    </row>
    <row r="4288" spans="23:23" x14ac:dyDescent="0.25">
      <c r="W4288" s="111"/>
    </row>
    <row r="4289" spans="23:23" x14ac:dyDescent="0.25">
      <c r="W4289" s="111"/>
    </row>
    <row r="4290" spans="23:23" x14ac:dyDescent="0.25">
      <c r="W4290" s="111"/>
    </row>
    <row r="4291" spans="23:23" x14ac:dyDescent="0.25">
      <c r="W4291" s="111"/>
    </row>
    <row r="4292" spans="23:23" x14ac:dyDescent="0.25">
      <c r="W4292" s="111"/>
    </row>
    <row r="4293" spans="23:23" x14ac:dyDescent="0.25">
      <c r="W4293" s="111"/>
    </row>
    <row r="4294" spans="23:23" x14ac:dyDescent="0.25">
      <c r="W4294" s="111"/>
    </row>
    <row r="4295" spans="23:23" x14ac:dyDescent="0.25">
      <c r="W4295" s="111"/>
    </row>
    <row r="4296" spans="23:23" x14ac:dyDescent="0.25">
      <c r="W4296" s="111"/>
    </row>
    <row r="4297" spans="23:23" x14ac:dyDescent="0.25">
      <c r="W4297" s="111"/>
    </row>
    <row r="4298" spans="23:23" x14ac:dyDescent="0.25">
      <c r="W4298" s="111"/>
    </row>
    <row r="4299" spans="23:23" x14ac:dyDescent="0.25">
      <c r="W4299" s="111"/>
    </row>
    <row r="4300" spans="23:23" x14ac:dyDescent="0.25">
      <c r="W4300" s="111"/>
    </row>
    <row r="4301" spans="23:23" x14ac:dyDescent="0.25">
      <c r="W4301" s="111"/>
    </row>
    <row r="4302" spans="23:23" x14ac:dyDescent="0.25">
      <c r="W4302" s="111"/>
    </row>
    <row r="4303" spans="23:23" x14ac:dyDescent="0.25">
      <c r="W4303" s="111"/>
    </row>
    <row r="4304" spans="23:23" x14ac:dyDescent="0.25">
      <c r="W4304" s="111"/>
    </row>
    <row r="4305" spans="23:23" x14ac:dyDescent="0.25">
      <c r="W4305" s="111"/>
    </row>
    <row r="4306" spans="23:23" x14ac:dyDescent="0.25">
      <c r="W4306" s="111"/>
    </row>
    <row r="4307" spans="23:23" x14ac:dyDescent="0.25">
      <c r="W4307" s="111"/>
    </row>
    <row r="4308" spans="23:23" x14ac:dyDescent="0.25">
      <c r="W4308" s="111"/>
    </row>
    <row r="4309" spans="23:23" x14ac:dyDescent="0.25">
      <c r="W4309" s="111"/>
    </row>
    <row r="4310" spans="23:23" x14ac:dyDescent="0.25">
      <c r="W4310" s="111"/>
    </row>
    <row r="4311" spans="23:23" x14ac:dyDescent="0.25">
      <c r="W4311" s="111"/>
    </row>
    <row r="4312" spans="23:23" x14ac:dyDescent="0.25">
      <c r="W4312" s="111"/>
    </row>
    <row r="4313" spans="23:23" x14ac:dyDescent="0.25">
      <c r="W4313" s="111"/>
    </row>
    <row r="4314" spans="23:23" x14ac:dyDescent="0.25">
      <c r="W4314" s="111"/>
    </row>
    <row r="4315" spans="23:23" x14ac:dyDescent="0.25">
      <c r="W4315" s="111"/>
    </row>
    <row r="4316" spans="23:23" x14ac:dyDescent="0.25">
      <c r="W4316" s="111"/>
    </row>
    <row r="4317" spans="23:23" x14ac:dyDescent="0.25">
      <c r="W4317" s="111"/>
    </row>
    <row r="4318" spans="23:23" x14ac:dyDescent="0.25">
      <c r="W4318" s="111"/>
    </row>
    <row r="4319" spans="23:23" x14ac:dyDescent="0.25">
      <c r="W4319" s="111"/>
    </row>
    <row r="4320" spans="23:23" x14ac:dyDescent="0.25">
      <c r="W4320" s="111"/>
    </row>
    <row r="4321" spans="23:23" x14ac:dyDescent="0.25">
      <c r="W4321" s="111"/>
    </row>
    <row r="4322" spans="23:23" x14ac:dyDescent="0.25">
      <c r="W4322" s="111"/>
    </row>
    <row r="4323" spans="23:23" x14ac:dyDescent="0.25">
      <c r="W4323" s="111"/>
    </row>
    <row r="4324" spans="23:23" x14ac:dyDescent="0.25">
      <c r="W4324" s="111"/>
    </row>
    <row r="4325" spans="23:23" x14ac:dyDescent="0.25">
      <c r="W4325" s="111"/>
    </row>
    <row r="4326" spans="23:23" x14ac:dyDescent="0.25">
      <c r="W4326" s="111"/>
    </row>
    <row r="4327" spans="23:23" x14ac:dyDescent="0.25">
      <c r="W4327" s="111"/>
    </row>
    <row r="4328" spans="23:23" x14ac:dyDescent="0.25">
      <c r="W4328" s="111"/>
    </row>
    <row r="4329" spans="23:23" x14ac:dyDescent="0.25">
      <c r="W4329" s="111"/>
    </row>
    <row r="4330" spans="23:23" x14ac:dyDescent="0.25">
      <c r="W4330" s="111"/>
    </row>
    <row r="4331" spans="23:23" x14ac:dyDescent="0.25">
      <c r="W4331" s="111"/>
    </row>
    <row r="4332" spans="23:23" x14ac:dyDescent="0.25">
      <c r="W4332" s="111"/>
    </row>
    <row r="4333" spans="23:23" x14ac:dyDescent="0.25">
      <c r="W4333" s="111"/>
    </row>
    <row r="4334" spans="23:23" x14ac:dyDescent="0.25">
      <c r="W4334" s="111"/>
    </row>
    <row r="4335" spans="23:23" x14ac:dyDescent="0.25">
      <c r="W4335" s="111"/>
    </row>
    <row r="4336" spans="23:23" x14ac:dyDescent="0.25">
      <c r="W4336" s="111"/>
    </row>
    <row r="4337" spans="23:23" x14ac:dyDescent="0.25">
      <c r="W4337" s="111"/>
    </row>
    <row r="4338" spans="23:23" x14ac:dyDescent="0.25">
      <c r="W4338" s="111"/>
    </row>
    <row r="4339" spans="23:23" x14ac:dyDescent="0.25">
      <c r="W4339" s="111"/>
    </row>
    <row r="4340" spans="23:23" x14ac:dyDescent="0.25">
      <c r="W4340" s="111"/>
    </row>
    <row r="4341" spans="23:23" x14ac:dyDescent="0.25">
      <c r="W4341" s="111"/>
    </row>
    <row r="4342" spans="23:23" x14ac:dyDescent="0.25">
      <c r="W4342" s="111"/>
    </row>
    <row r="4343" spans="23:23" x14ac:dyDescent="0.25">
      <c r="W4343" s="111"/>
    </row>
    <row r="4344" spans="23:23" x14ac:dyDescent="0.25">
      <c r="W4344" s="111"/>
    </row>
    <row r="4345" spans="23:23" x14ac:dyDescent="0.25">
      <c r="W4345" s="111"/>
    </row>
    <row r="4346" spans="23:23" x14ac:dyDescent="0.25">
      <c r="W4346" s="111"/>
    </row>
    <row r="4347" spans="23:23" x14ac:dyDescent="0.25">
      <c r="W4347" s="111"/>
    </row>
    <row r="4348" spans="23:23" x14ac:dyDescent="0.25">
      <c r="W4348" s="111"/>
    </row>
    <row r="4349" spans="23:23" x14ac:dyDescent="0.25">
      <c r="W4349" s="111"/>
    </row>
    <row r="4350" spans="23:23" x14ac:dyDescent="0.25">
      <c r="W4350" s="111"/>
    </row>
    <row r="4351" spans="23:23" x14ac:dyDescent="0.25">
      <c r="W4351" s="111"/>
    </row>
    <row r="4352" spans="23:23" x14ac:dyDescent="0.25">
      <c r="W4352" s="111"/>
    </row>
    <row r="4353" spans="23:23" x14ac:dyDescent="0.25">
      <c r="W4353" s="111"/>
    </row>
    <row r="4354" spans="23:23" x14ac:dyDescent="0.25">
      <c r="W4354" s="111"/>
    </row>
    <row r="4355" spans="23:23" x14ac:dyDescent="0.25">
      <c r="W4355" s="111"/>
    </row>
    <row r="4356" spans="23:23" x14ac:dyDescent="0.25">
      <c r="W4356" s="111"/>
    </row>
    <row r="4357" spans="23:23" x14ac:dyDescent="0.25">
      <c r="W4357" s="111"/>
    </row>
    <row r="4358" spans="23:23" x14ac:dyDescent="0.25">
      <c r="W4358" s="111"/>
    </row>
    <row r="4359" spans="23:23" x14ac:dyDescent="0.25">
      <c r="W4359" s="111"/>
    </row>
    <row r="4360" spans="23:23" x14ac:dyDescent="0.25">
      <c r="W4360" s="111"/>
    </row>
    <row r="4361" spans="23:23" x14ac:dyDescent="0.25">
      <c r="W4361" s="111"/>
    </row>
    <row r="4362" spans="23:23" x14ac:dyDescent="0.25">
      <c r="W4362" s="111"/>
    </row>
    <row r="4363" spans="23:23" x14ac:dyDescent="0.25">
      <c r="W4363" s="111"/>
    </row>
    <row r="4364" spans="23:23" x14ac:dyDescent="0.25">
      <c r="W4364" s="111"/>
    </row>
    <row r="4365" spans="23:23" x14ac:dyDescent="0.25">
      <c r="W4365" s="111"/>
    </row>
    <row r="4366" spans="23:23" x14ac:dyDescent="0.25">
      <c r="W4366" s="111"/>
    </row>
    <row r="4367" spans="23:23" x14ac:dyDescent="0.25">
      <c r="W4367" s="111"/>
    </row>
    <row r="4368" spans="23:23" x14ac:dyDescent="0.25">
      <c r="W4368" s="111"/>
    </row>
    <row r="4369" spans="23:23" x14ac:dyDescent="0.25">
      <c r="W4369" s="111"/>
    </row>
    <row r="4370" spans="23:23" x14ac:dyDescent="0.25">
      <c r="W4370" s="111"/>
    </row>
    <row r="4371" spans="23:23" x14ac:dyDescent="0.25">
      <c r="W4371" s="111"/>
    </row>
    <row r="4372" spans="23:23" x14ac:dyDescent="0.25">
      <c r="W4372" s="111"/>
    </row>
    <row r="4373" spans="23:23" x14ac:dyDescent="0.25">
      <c r="W4373" s="111"/>
    </row>
    <row r="4374" spans="23:23" x14ac:dyDescent="0.25">
      <c r="W4374" s="111"/>
    </row>
    <row r="4375" spans="23:23" x14ac:dyDescent="0.25">
      <c r="W4375" s="111"/>
    </row>
    <row r="4376" spans="23:23" x14ac:dyDescent="0.25">
      <c r="W4376" s="111"/>
    </row>
    <row r="4377" spans="23:23" x14ac:dyDescent="0.25">
      <c r="W4377" s="111"/>
    </row>
    <row r="4378" spans="23:23" x14ac:dyDescent="0.25">
      <c r="W4378" s="111"/>
    </row>
    <row r="4379" spans="23:23" x14ac:dyDescent="0.25">
      <c r="W4379" s="111"/>
    </row>
    <row r="4380" spans="23:23" x14ac:dyDescent="0.25">
      <c r="W4380" s="111"/>
    </row>
    <row r="4381" spans="23:23" x14ac:dyDescent="0.25">
      <c r="W4381" s="111"/>
    </row>
    <row r="4382" spans="23:23" x14ac:dyDescent="0.25">
      <c r="W4382" s="111"/>
    </row>
    <row r="4383" spans="23:23" x14ac:dyDescent="0.25">
      <c r="W4383" s="111"/>
    </row>
    <row r="4384" spans="23:23" x14ac:dyDescent="0.25">
      <c r="W4384" s="111"/>
    </row>
    <row r="4385" spans="23:23" x14ac:dyDescent="0.25">
      <c r="W4385" s="111"/>
    </row>
    <row r="4386" spans="23:23" x14ac:dyDescent="0.25">
      <c r="W4386" s="111"/>
    </row>
    <row r="4387" spans="23:23" x14ac:dyDescent="0.25">
      <c r="W4387" s="111"/>
    </row>
    <row r="4388" spans="23:23" x14ac:dyDescent="0.25">
      <c r="W4388" s="111"/>
    </row>
    <row r="4389" spans="23:23" x14ac:dyDescent="0.25">
      <c r="W4389" s="111"/>
    </row>
    <row r="4390" spans="23:23" x14ac:dyDescent="0.25">
      <c r="W4390" s="111"/>
    </row>
    <row r="4391" spans="23:23" x14ac:dyDescent="0.25">
      <c r="W4391" s="111"/>
    </row>
    <row r="4392" spans="23:23" x14ac:dyDescent="0.25">
      <c r="W4392" s="111"/>
    </row>
    <row r="4393" spans="23:23" x14ac:dyDescent="0.25">
      <c r="W4393" s="111"/>
    </row>
    <row r="4394" spans="23:23" x14ac:dyDescent="0.25">
      <c r="W4394" s="111"/>
    </row>
    <row r="4395" spans="23:23" x14ac:dyDescent="0.25">
      <c r="W4395" s="111"/>
    </row>
    <row r="4396" spans="23:23" x14ac:dyDescent="0.25">
      <c r="W4396" s="111"/>
    </row>
    <row r="4397" spans="23:23" x14ac:dyDescent="0.25">
      <c r="W4397" s="111"/>
    </row>
    <row r="4398" spans="23:23" x14ac:dyDescent="0.25">
      <c r="W4398" s="111"/>
    </row>
    <row r="4399" spans="23:23" x14ac:dyDescent="0.25">
      <c r="W4399" s="111"/>
    </row>
    <row r="4400" spans="23:23" x14ac:dyDescent="0.25">
      <c r="W4400" s="111"/>
    </row>
    <row r="4401" spans="23:23" x14ac:dyDescent="0.25">
      <c r="W4401" s="111"/>
    </row>
    <row r="4402" spans="23:23" x14ac:dyDescent="0.25">
      <c r="W4402" s="111"/>
    </row>
    <row r="4403" spans="23:23" x14ac:dyDescent="0.25">
      <c r="W4403" s="111"/>
    </row>
    <row r="4404" spans="23:23" x14ac:dyDescent="0.25">
      <c r="W4404" s="111"/>
    </row>
    <row r="4405" spans="23:23" x14ac:dyDescent="0.25">
      <c r="W4405" s="111"/>
    </row>
    <row r="4406" spans="23:23" x14ac:dyDescent="0.25">
      <c r="W4406" s="111"/>
    </row>
    <row r="4407" spans="23:23" x14ac:dyDescent="0.25">
      <c r="W4407" s="111"/>
    </row>
    <row r="4408" spans="23:23" x14ac:dyDescent="0.25">
      <c r="W4408" s="111"/>
    </row>
    <row r="4409" spans="23:23" x14ac:dyDescent="0.25">
      <c r="W4409" s="111"/>
    </row>
    <row r="4410" spans="23:23" x14ac:dyDescent="0.25">
      <c r="W4410" s="111"/>
    </row>
    <row r="4411" spans="23:23" x14ac:dyDescent="0.25">
      <c r="W4411" s="111"/>
    </row>
    <row r="4412" spans="23:23" x14ac:dyDescent="0.25">
      <c r="W4412" s="111"/>
    </row>
    <row r="4413" spans="23:23" x14ac:dyDescent="0.25">
      <c r="W4413" s="111"/>
    </row>
    <row r="4414" spans="23:23" x14ac:dyDescent="0.25">
      <c r="W4414" s="111"/>
    </row>
    <row r="4415" spans="23:23" x14ac:dyDescent="0.25">
      <c r="W4415" s="111"/>
    </row>
    <row r="4416" spans="23:23" x14ac:dyDescent="0.25">
      <c r="W4416" s="111"/>
    </row>
    <row r="4417" spans="23:23" x14ac:dyDescent="0.25">
      <c r="W4417" s="111"/>
    </row>
    <row r="4418" spans="23:23" x14ac:dyDescent="0.25">
      <c r="W4418" s="111"/>
    </row>
    <row r="4419" spans="23:23" x14ac:dyDescent="0.25">
      <c r="W4419" s="111"/>
    </row>
    <row r="4420" spans="23:23" x14ac:dyDescent="0.25">
      <c r="W4420" s="111"/>
    </row>
    <row r="4421" spans="23:23" x14ac:dyDescent="0.25">
      <c r="W4421" s="111"/>
    </row>
    <row r="4422" spans="23:23" x14ac:dyDescent="0.25">
      <c r="W4422" s="111"/>
    </row>
    <row r="4423" spans="23:23" x14ac:dyDescent="0.25">
      <c r="W4423" s="111"/>
    </row>
    <row r="4424" spans="23:23" x14ac:dyDescent="0.25">
      <c r="W4424" s="111"/>
    </row>
    <row r="4425" spans="23:23" x14ac:dyDescent="0.25">
      <c r="W4425" s="111"/>
    </row>
    <row r="4426" spans="23:23" x14ac:dyDescent="0.25">
      <c r="W4426" s="111"/>
    </row>
    <row r="4427" spans="23:23" x14ac:dyDescent="0.25">
      <c r="W4427" s="111"/>
    </row>
    <row r="4428" spans="23:23" x14ac:dyDescent="0.25">
      <c r="W4428" s="111"/>
    </row>
    <row r="4429" spans="23:23" x14ac:dyDescent="0.25">
      <c r="W4429" s="111"/>
    </row>
    <row r="4430" spans="23:23" x14ac:dyDescent="0.25">
      <c r="W4430" s="111"/>
    </row>
    <row r="4431" spans="23:23" x14ac:dyDescent="0.25">
      <c r="W4431" s="111"/>
    </row>
    <row r="4432" spans="23:23" x14ac:dyDescent="0.25">
      <c r="W4432" s="111"/>
    </row>
    <row r="4433" spans="23:23" x14ac:dyDescent="0.25">
      <c r="W4433" s="111"/>
    </row>
    <row r="4434" spans="23:23" x14ac:dyDescent="0.25">
      <c r="W4434" s="111"/>
    </row>
    <row r="4435" spans="23:23" x14ac:dyDescent="0.25">
      <c r="W4435" s="111"/>
    </row>
    <row r="4436" spans="23:23" x14ac:dyDescent="0.25">
      <c r="W4436" s="111"/>
    </row>
    <row r="4437" spans="23:23" x14ac:dyDescent="0.25">
      <c r="W4437" s="111"/>
    </row>
    <row r="4438" spans="23:23" x14ac:dyDescent="0.25">
      <c r="W4438" s="111"/>
    </row>
    <row r="4439" spans="23:23" x14ac:dyDescent="0.25">
      <c r="W4439" s="111"/>
    </row>
    <row r="4440" spans="23:23" x14ac:dyDescent="0.25">
      <c r="W4440" s="111"/>
    </row>
    <row r="4441" spans="23:23" x14ac:dyDescent="0.25">
      <c r="W4441" s="111"/>
    </row>
    <row r="4442" spans="23:23" x14ac:dyDescent="0.25">
      <c r="W4442" s="111"/>
    </row>
    <row r="4443" spans="23:23" x14ac:dyDescent="0.25">
      <c r="W4443" s="111"/>
    </row>
    <row r="4444" spans="23:23" x14ac:dyDescent="0.25">
      <c r="W4444" s="111"/>
    </row>
    <row r="4445" spans="23:23" x14ac:dyDescent="0.25">
      <c r="W4445" s="111"/>
    </row>
    <row r="4446" spans="23:23" x14ac:dyDescent="0.25">
      <c r="W4446" s="111"/>
    </row>
    <row r="4447" spans="23:23" x14ac:dyDescent="0.25">
      <c r="W4447" s="111"/>
    </row>
    <row r="4448" spans="23:23" x14ac:dyDescent="0.25">
      <c r="W4448" s="111"/>
    </row>
    <row r="4449" spans="23:23" x14ac:dyDescent="0.25">
      <c r="W4449" s="111"/>
    </row>
    <row r="4450" spans="23:23" x14ac:dyDescent="0.25">
      <c r="W4450" s="111"/>
    </row>
    <row r="4451" spans="23:23" x14ac:dyDescent="0.25">
      <c r="W4451" s="111"/>
    </row>
    <row r="4452" spans="23:23" x14ac:dyDescent="0.25">
      <c r="W4452" s="111"/>
    </row>
    <row r="4453" spans="23:23" x14ac:dyDescent="0.25">
      <c r="W4453" s="111"/>
    </row>
    <row r="4454" spans="23:23" x14ac:dyDescent="0.25">
      <c r="W4454" s="111"/>
    </row>
    <row r="4455" spans="23:23" x14ac:dyDescent="0.25">
      <c r="W4455" s="111"/>
    </row>
    <row r="4456" spans="23:23" x14ac:dyDescent="0.25">
      <c r="W4456" s="111"/>
    </row>
    <row r="4457" spans="23:23" x14ac:dyDescent="0.25">
      <c r="W4457" s="111"/>
    </row>
    <row r="4458" spans="23:23" x14ac:dyDescent="0.25">
      <c r="W4458" s="111"/>
    </row>
    <row r="4459" spans="23:23" x14ac:dyDescent="0.25">
      <c r="W4459" s="111"/>
    </row>
    <row r="4460" spans="23:23" x14ac:dyDescent="0.25">
      <c r="W4460" s="111"/>
    </row>
    <row r="4461" spans="23:23" x14ac:dyDescent="0.25">
      <c r="W4461" s="111"/>
    </row>
    <row r="4462" spans="23:23" x14ac:dyDescent="0.25">
      <c r="W4462" s="111"/>
    </row>
    <row r="4463" spans="23:23" x14ac:dyDescent="0.25">
      <c r="W4463" s="111"/>
    </row>
    <row r="4464" spans="23:23" x14ac:dyDescent="0.25">
      <c r="W4464" s="111"/>
    </row>
    <row r="4465" spans="23:23" x14ac:dyDescent="0.25">
      <c r="W4465" s="111"/>
    </row>
    <row r="4466" spans="23:23" x14ac:dyDescent="0.25">
      <c r="W4466" s="111"/>
    </row>
    <row r="4467" spans="23:23" x14ac:dyDescent="0.25">
      <c r="W4467" s="111"/>
    </row>
    <row r="4468" spans="23:23" x14ac:dyDescent="0.25">
      <c r="W4468" s="111"/>
    </row>
    <row r="4469" spans="23:23" x14ac:dyDescent="0.25">
      <c r="W4469" s="111"/>
    </row>
    <row r="4470" spans="23:23" x14ac:dyDescent="0.25">
      <c r="W4470" s="111"/>
    </row>
    <row r="4471" spans="23:23" x14ac:dyDescent="0.25">
      <c r="W4471" s="111"/>
    </row>
    <row r="4472" spans="23:23" x14ac:dyDescent="0.25">
      <c r="W4472" s="111"/>
    </row>
    <row r="4473" spans="23:23" x14ac:dyDescent="0.25">
      <c r="W4473" s="111"/>
    </row>
    <row r="4474" spans="23:23" x14ac:dyDescent="0.25">
      <c r="W4474" s="111"/>
    </row>
    <row r="4475" spans="23:23" x14ac:dyDescent="0.25">
      <c r="W4475" s="111"/>
    </row>
    <row r="4476" spans="23:23" x14ac:dyDescent="0.25">
      <c r="W4476" s="111"/>
    </row>
    <row r="4477" spans="23:23" x14ac:dyDescent="0.25">
      <c r="W4477" s="111"/>
    </row>
    <row r="4478" spans="23:23" x14ac:dyDescent="0.25">
      <c r="W4478" s="111"/>
    </row>
    <row r="4479" spans="23:23" x14ac:dyDescent="0.25">
      <c r="W4479" s="111"/>
    </row>
    <row r="4480" spans="23:23" x14ac:dyDescent="0.25">
      <c r="W4480" s="111"/>
    </row>
    <row r="4481" spans="23:23" x14ac:dyDescent="0.25">
      <c r="W4481" s="111"/>
    </row>
    <row r="4482" spans="23:23" x14ac:dyDescent="0.25">
      <c r="W4482" s="111"/>
    </row>
    <row r="4483" spans="23:23" x14ac:dyDescent="0.25">
      <c r="W4483" s="111"/>
    </row>
    <row r="4484" spans="23:23" x14ac:dyDescent="0.25">
      <c r="W4484" s="111"/>
    </row>
    <row r="4485" spans="23:23" x14ac:dyDescent="0.25">
      <c r="W4485" s="111"/>
    </row>
    <row r="4486" spans="23:23" x14ac:dyDescent="0.25">
      <c r="W4486" s="111"/>
    </row>
    <row r="4487" spans="23:23" x14ac:dyDescent="0.25">
      <c r="W4487" s="111"/>
    </row>
    <row r="4488" spans="23:23" x14ac:dyDescent="0.25">
      <c r="W4488" s="111"/>
    </row>
    <row r="4489" spans="23:23" x14ac:dyDescent="0.25">
      <c r="W4489" s="111"/>
    </row>
    <row r="4490" spans="23:23" x14ac:dyDescent="0.25">
      <c r="W4490" s="111"/>
    </row>
    <row r="4491" spans="23:23" x14ac:dyDescent="0.25">
      <c r="W4491" s="111"/>
    </row>
    <row r="4492" spans="23:23" x14ac:dyDescent="0.25">
      <c r="W4492" s="111"/>
    </row>
    <row r="4493" spans="23:23" x14ac:dyDescent="0.25">
      <c r="W4493" s="111"/>
    </row>
    <row r="4494" spans="23:23" x14ac:dyDescent="0.25">
      <c r="W4494" s="111"/>
    </row>
    <row r="4495" spans="23:23" x14ac:dyDescent="0.25">
      <c r="W4495" s="111"/>
    </row>
    <row r="4496" spans="23:23" x14ac:dyDescent="0.25">
      <c r="W4496" s="111"/>
    </row>
    <row r="4497" spans="23:23" x14ac:dyDescent="0.25">
      <c r="W4497" s="111"/>
    </row>
    <row r="4498" spans="23:23" x14ac:dyDescent="0.25">
      <c r="W4498" s="111"/>
    </row>
    <row r="4499" spans="23:23" x14ac:dyDescent="0.25">
      <c r="W4499" s="111"/>
    </row>
    <row r="4500" spans="23:23" x14ac:dyDescent="0.25">
      <c r="W4500" s="111"/>
    </row>
    <row r="4501" spans="23:23" x14ac:dyDescent="0.25">
      <c r="W4501" s="111"/>
    </row>
    <row r="4502" spans="23:23" x14ac:dyDescent="0.25">
      <c r="W4502" s="111"/>
    </row>
    <row r="4503" spans="23:23" x14ac:dyDescent="0.25">
      <c r="W4503" s="111"/>
    </row>
    <row r="4504" spans="23:23" x14ac:dyDescent="0.25">
      <c r="W4504" s="111"/>
    </row>
    <row r="4505" spans="23:23" x14ac:dyDescent="0.25">
      <c r="W4505" s="111"/>
    </row>
    <row r="4506" spans="23:23" x14ac:dyDescent="0.25">
      <c r="W4506" s="111"/>
    </row>
    <row r="4507" spans="23:23" x14ac:dyDescent="0.25">
      <c r="W4507" s="111"/>
    </row>
    <row r="4508" spans="23:23" x14ac:dyDescent="0.25">
      <c r="W4508" s="111"/>
    </row>
    <row r="4509" spans="23:23" x14ac:dyDescent="0.25">
      <c r="W4509" s="111"/>
    </row>
    <row r="4510" spans="23:23" x14ac:dyDescent="0.25">
      <c r="W4510" s="111"/>
    </row>
    <row r="4511" spans="23:23" x14ac:dyDescent="0.25">
      <c r="W4511" s="111"/>
    </row>
    <row r="4512" spans="23:23" x14ac:dyDescent="0.25">
      <c r="W4512" s="111"/>
    </row>
    <row r="4513" spans="23:23" x14ac:dyDescent="0.25">
      <c r="W4513" s="111"/>
    </row>
    <row r="4514" spans="23:23" x14ac:dyDescent="0.25">
      <c r="W4514" s="111"/>
    </row>
    <row r="4515" spans="23:23" x14ac:dyDescent="0.25">
      <c r="W4515" s="111"/>
    </row>
    <row r="4516" spans="23:23" x14ac:dyDescent="0.25">
      <c r="W4516" s="111"/>
    </row>
    <row r="4517" spans="23:23" x14ac:dyDescent="0.25">
      <c r="W4517" s="111"/>
    </row>
    <row r="4518" spans="23:23" x14ac:dyDescent="0.25">
      <c r="W4518" s="111"/>
    </row>
    <row r="4519" spans="23:23" x14ac:dyDescent="0.25">
      <c r="W4519" s="111"/>
    </row>
    <row r="4520" spans="23:23" x14ac:dyDescent="0.25">
      <c r="W4520" s="111"/>
    </row>
    <row r="4521" spans="23:23" x14ac:dyDescent="0.25">
      <c r="W4521" s="111"/>
    </row>
    <row r="4522" spans="23:23" x14ac:dyDescent="0.25">
      <c r="W4522" s="111"/>
    </row>
    <row r="4523" spans="23:23" x14ac:dyDescent="0.25">
      <c r="W4523" s="111"/>
    </row>
    <row r="4524" spans="23:23" x14ac:dyDescent="0.25">
      <c r="W4524" s="111"/>
    </row>
    <row r="4525" spans="23:23" x14ac:dyDescent="0.25">
      <c r="W4525" s="111"/>
    </row>
    <row r="4526" spans="23:23" x14ac:dyDescent="0.25">
      <c r="W4526" s="111"/>
    </row>
    <row r="4527" spans="23:23" x14ac:dyDescent="0.25">
      <c r="W4527" s="111"/>
    </row>
    <row r="4528" spans="23:23" x14ac:dyDescent="0.25">
      <c r="W4528" s="111"/>
    </row>
    <row r="4529" spans="23:23" x14ac:dyDescent="0.25">
      <c r="W4529" s="111"/>
    </row>
    <row r="4530" spans="23:23" x14ac:dyDescent="0.25">
      <c r="W4530" s="111"/>
    </row>
    <row r="4531" spans="23:23" x14ac:dyDescent="0.25">
      <c r="W4531" s="111"/>
    </row>
    <row r="4532" spans="23:23" x14ac:dyDescent="0.25">
      <c r="W4532" s="111"/>
    </row>
    <row r="4533" spans="23:23" x14ac:dyDescent="0.25">
      <c r="W4533" s="111"/>
    </row>
    <row r="4534" spans="23:23" x14ac:dyDescent="0.25">
      <c r="W4534" s="111"/>
    </row>
    <row r="4535" spans="23:23" x14ac:dyDescent="0.25">
      <c r="W4535" s="111"/>
    </row>
    <row r="4536" spans="23:23" x14ac:dyDescent="0.25">
      <c r="W4536" s="111"/>
    </row>
    <row r="4537" spans="23:23" x14ac:dyDescent="0.25">
      <c r="W4537" s="111"/>
    </row>
    <row r="4538" spans="23:23" x14ac:dyDescent="0.25">
      <c r="W4538" s="111"/>
    </row>
    <row r="4539" spans="23:23" x14ac:dyDescent="0.25">
      <c r="W4539" s="111"/>
    </row>
    <row r="4540" spans="23:23" x14ac:dyDescent="0.25">
      <c r="W4540" s="111"/>
    </row>
    <row r="4541" spans="23:23" x14ac:dyDescent="0.25">
      <c r="W4541" s="111"/>
    </row>
    <row r="4542" spans="23:23" x14ac:dyDescent="0.25">
      <c r="W4542" s="111"/>
    </row>
    <row r="4543" spans="23:23" x14ac:dyDescent="0.25">
      <c r="W4543" s="111"/>
    </row>
    <row r="4544" spans="23:23" x14ac:dyDescent="0.25">
      <c r="W4544" s="111"/>
    </row>
    <row r="4545" spans="23:23" x14ac:dyDescent="0.25">
      <c r="W4545" s="111"/>
    </row>
    <row r="4546" spans="23:23" x14ac:dyDescent="0.25">
      <c r="W4546" s="111"/>
    </row>
    <row r="4547" spans="23:23" x14ac:dyDescent="0.25">
      <c r="W4547" s="111"/>
    </row>
    <row r="4548" spans="23:23" x14ac:dyDescent="0.25">
      <c r="W4548" s="111"/>
    </row>
    <row r="4549" spans="23:23" x14ac:dyDescent="0.25">
      <c r="W4549" s="111"/>
    </row>
    <row r="4550" spans="23:23" x14ac:dyDescent="0.25">
      <c r="W4550" s="111"/>
    </row>
    <row r="4551" spans="23:23" x14ac:dyDescent="0.25">
      <c r="W4551" s="111"/>
    </row>
    <row r="4552" spans="23:23" x14ac:dyDescent="0.25">
      <c r="W4552" s="111"/>
    </row>
    <row r="4553" spans="23:23" x14ac:dyDescent="0.25">
      <c r="W4553" s="111"/>
    </row>
    <row r="4554" spans="23:23" x14ac:dyDescent="0.25">
      <c r="W4554" s="111"/>
    </row>
    <row r="4555" spans="23:23" x14ac:dyDescent="0.25">
      <c r="W4555" s="111"/>
    </row>
    <row r="4556" spans="23:23" x14ac:dyDescent="0.25">
      <c r="W4556" s="111"/>
    </row>
    <row r="4557" spans="23:23" x14ac:dyDescent="0.25">
      <c r="W4557" s="111"/>
    </row>
    <row r="4558" spans="23:23" x14ac:dyDescent="0.25">
      <c r="W4558" s="111"/>
    </row>
    <row r="4559" spans="23:23" x14ac:dyDescent="0.25">
      <c r="W4559" s="111"/>
    </row>
    <row r="4560" spans="23:23" x14ac:dyDescent="0.25">
      <c r="W4560" s="111"/>
    </row>
    <row r="4561" spans="23:23" x14ac:dyDescent="0.25">
      <c r="W4561" s="111"/>
    </row>
    <row r="4562" spans="23:23" x14ac:dyDescent="0.25">
      <c r="W4562" s="111"/>
    </row>
    <row r="4563" spans="23:23" x14ac:dyDescent="0.25">
      <c r="W4563" s="111"/>
    </row>
    <row r="4564" spans="23:23" x14ac:dyDescent="0.25">
      <c r="W4564" s="111"/>
    </row>
    <row r="4565" spans="23:23" x14ac:dyDescent="0.25">
      <c r="W4565" s="111"/>
    </row>
    <row r="4566" spans="23:23" x14ac:dyDescent="0.25">
      <c r="W4566" s="111"/>
    </row>
    <row r="4567" spans="23:23" x14ac:dyDescent="0.25">
      <c r="W4567" s="111"/>
    </row>
    <row r="4568" spans="23:23" x14ac:dyDescent="0.25">
      <c r="W4568" s="111"/>
    </row>
    <row r="4569" spans="23:23" x14ac:dyDescent="0.25">
      <c r="W4569" s="111"/>
    </row>
    <row r="4570" spans="23:23" x14ac:dyDescent="0.25">
      <c r="W4570" s="111"/>
    </row>
    <row r="4571" spans="23:23" x14ac:dyDescent="0.25">
      <c r="W4571" s="111"/>
    </row>
    <row r="4572" spans="23:23" x14ac:dyDescent="0.25">
      <c r="W4572" s="111"/>
    </row>
    <row r="4573" spans="23:23" x14ac:dyDescent="0.25">
      <c r="W4573" s="111"/>
    </row>
    <row r="4574" spans="23:23" x14ac:dyDescent="0.25">
      <c r="W4574" s="111"/>
    </row>
    <row r="4575" spans="23:23" x14ac:dyDescent="0.25">
      <c r="W4575" s="111"/>
    </row>
    <row r="4576" spans="23:23" x14ac:dyDescent="0.25">
      <c r="W4576" s="111"/>
    </row>
    <row r="4577" spans="23:23" x14ac:dyDescent="0.25">
      <c r="W4577" s="111"/>
    </row>
    <row r="4578" spans="23:23" x14ac:dyDescent="0.25">
      <c r="W4578" s="111"/>
    </row>
    <row r="4579" spans="23:23" x14ac:dyDescent="0.25">
      <c r="W4579" s="111"/>
    </row>
    <row r="4580" spans="23:23" x14ac:dyDescent="0.25">
      <c r="W4580" s="111"/>
    </row>
    <row r="4581" spans="23:23" x14ac:dyDescent="0.25">
      <c r="W4581" s="111"/>
    </row>
    <row r="4582" spans="23:23" x14ac:dyDescent="0.25">
      <c r="W4582" s="111"/>
    </row>
    <row r="4583" spans="23:23" x14ac:dyDescent="0.25">
      <c r="W4583" s="111"/>
    </row>
    <row r="4584" spans="23:23" x14ac:dyDescent="0.25">
      <c r="W4584" s="111"/>
    </row>
    <row r="4585" spans="23:23" x14ac:dyDescent="0.25">
      <c r="W4585" s="111"/>
    </row>
    <row r="4586" spans="23:23" x14ac:dyDescent="0.25">
      <c r="W4586" s="111"/>
    </row>
    <row r="4587" spans="23:23" x14ac:dyDescent="0.25">
      <c r="W4587" s="111"/>
    </row>
    <row r="4588" spans="23:23" x14ac:dyDescent="0.25">
      <c r="W4588" s="111"/>
    </row>
    <row r="4589" spans="23:23" x14ac:dyDescent="0.25">
      <c r="W4589" s="111"/>
    </row>
    <row r="4590" spans="23:23" x14ac:dyDescent="0.25">
      <c r="W4590" s="111"/>
    </row>
    <row r="4591" spans="23:23" x14ac:dyDescent="0.25">
      <c r="W4591" s="111"/>
    </row>
    <row r="4592" spans="23:23" x14ac:dyDescent="0.25">
      <c r="W4592" s="111"/>
    </row>
    <row r="4593" spans="23:23" x14ac:dyDescent="0.25">
      <c r="W4593" s="111"/>
    </row>
    <row r="4594" spans="23:23" x14ac:dyDescent="0.25">
      <c r="W4594" s="111"/>
    </row>
    <row r="4595" spans="23:23" x14ac:dyDescent="0.25">
      <c r="W4595" s="111"/>
    </row>
    <row r="4596" spans="23:23" x14ac:dyDescent="0.25">
      <c r="W4596" s="111"/>
    </row>
    <row r="4597" spans="23:23" x14ac:dyDescent="0.25">
      <c r="W4597" s="111"/>
    </row>
    <row r="4598" spans="23:23" x14ac:dyDescent="0.25">
      <c r="W4598" s="111"/>
    </row>
    <row r="4599" spans="23:23" x14ac:dyDescent="0.25">
      <c r="W4599" s="111"/>
    </row>
    <row r="4600" spans="23:23" x14ac:dyDescent="0.25">
      <c r="W4600" s="111"/>
    </row>
    <row r="4601" spans="23:23" x14ac:dyDescent="0.25">
      <c r="W4601" s="111"/>
    </row>
    <row r="4602" spans="23:23" x14ac:dyDescent="0.25">
      <c r="W4602" s="111"/>
    </row>
    <row r="4603" spans="23:23" x14ac:dyDescent="0.25">
      <c r="W4603" s="111"/>
    </row>
    <row r="4604" spans="23:23" x14ac:dyDescent="0.25">
      <c r="W4604" s="111"/>
    </row>
    <row r="4605" spans="23:23" x14ac:dyDescent="0.25">
      <c r="W4605" s="111"/>
    </row>
    <row r="4606" spans="23:23" x14ac:dyDescent="0.25">
      <c r="W4606" s="111"/>
    </row>
    <row r="4607" spans="23:23" x14ac:dyDescent="0.25">
      <c r="W4607" s="111"/>
    </row>
    <row r="4608" spans="23:23" x14ac:dyDescent="0.25">
      <c r="W4608" s="111"/>
    </row>
    <row r="4609" spans="23:23" x14ac:dyDescent="0.25">
      <c r="W4609" s="111"/>
    </row>
    <row r="4610" spans="23:23" x14ac:dyDescent="0.25">
      <c r="W4610" s="111"/>
    </row>
    <row r="4611" spans="23:23" x14ac:dyDescent="0.25">
      <c r="W4611" s="111"/>
    </row>
    <row r="4612" spans="23:23" x14ac:dyDescent="0.25">
      <c r="W4612" s="111"/>
    </row>
    <row r="4613" spans="23:23" x14ac:dyDescent="0.25">
      <c r="W4613" s="111"/>
    </row>
    <row r="4614" spans="23:23" x14ac:dyDescent="0.25">
      <c r="W4614" s="111"/>
    </row>
    <row r="4615" spans="23:23" x14ac:dyDescent="0.25">
      <c r="W4615" s="111"/>
    </row>
    <row r="4616" spans="23:23" x14ac:dyDescent="0.25">
      <c r="W4616" s="111"/>
    </row>
    <row r="4617" spans="23:23" x14ac:dyDescent="0.25">
      <c r="W4617" s="111"/>
    </row>
    <row r="4618" spans="23:23" x14ac:dyDescent="0.25">
      <c r="W4618" s="111"/>
    </row>
    <row r="4619" spans="23:23" x14ac:dyDescent="0.25">
      <c r="W4619" s="111"/>
    </row>
    <row r="4620" spans="23:23" x14ac:dyDescent="0.25">
      <c r="W4620" s="111"/>
    </row>
    <row r="4621" spans="23:23" x14ac:dyDescent="0.25">
      <c r="W4621" s="111"/>
    </row>
    <row r="4622" spans="23:23" x14ac:dyDescent="0.25">
      <c r="W4622" s="111"/>
    </row>
    <row r="4623" spans="23:23" x14ac:dyDescent="0.25">
      <c r="W4623" s="111"/>
    </row>
    <row r="4624" spans="23:23" x14ac:dyDescent="0.25">
      <c r="W4624" s="111"/>
    </row>
    <row r="4625" spans="23:23" x14ac:dyDescent="0.25">
      <c r="W4625" s="111"/>
    </row>
    <row r="4626" spans="23:23" x14ac:dyDescent="0.25">
      <c r="W4626" s="111"/>
    </row>
    <row r="4627" spans="23:23" x14ac:dyDescent="0.25">
      <c r="W4627" s="111"/>
    </row>
    <row r="4628" spans="23:23" x14ac:dyDescent="0.25">
      <c r="W4628" s="111"/>
    </row>
    <row r="4629" spans="23:23" x14ac:dyDescent="0.25">
      <c r="W4629" s="111"/>
    </row>
    <row r="4630" spans="23:23" x14ac:dyDescent="0.25">
      <c r="W4630" s="111"/>
    </row>
    <row r="4631" spans="23:23" x14ac:dyDescent="0.25">
      <c r="W4631" s="111"/>
    </row>
    <row r="4632" spans="23:23" x14ac:dyDescent="0.25">
      <c r="W4632" s="111"/>
    </row>
    <row r="4633" spans="23:23" x14ac:dyDescent="0.25">
      <c r="W4633" s="111"/>
    </row>
    <row r="4634" spans="23:23" x14ac:dyDescent="0.25">
      <c r="W4634" s="111"/>
    </row>
    <row r="4635" spans="23:23" x14ac:dyDescent="0.25">
      <c r="W4635" s="111"/>
    </row>
    <row r="4636" spans="23:23" x14ac:dyDescent="0.25">
      <c r="W4636" s="111"/>
    </row>
    <row r="4637" spans="23:23" x14ac:dyDescent="0.25">
      <c r="W4637" s="111"/>
    </row>
    <row r="4638" spans="23:23" x14ac:dyDescent="0.25">
      <c r="W4638" s="111"/>
    </row>
    <row r="4639" spans="23:23" x14ac:dyDescent="0.25">
      <c r="W4639" s="111"/>
    </row>
    <row r="4640" spans="23:23" x14ac:dyDescent="0.25">
      <c r="W4640" s="111"/>
    </row>
    <row r="4641" spans="23:23" x14ac:dyDescent="0.25">
      <c r="W4641" s="111"/>
    </row>
    <row r="4642" spans="23:23" x14ac:dyDescent="0.25">
      <c r="W4642" s="111"/>
    </row>
    <row r="4643" spans="23:23" x14ac:dyDescent="0.25">
      <c r="W4643" s="111"/>
    </row>
    <row r="4644" spans="23:23" x14ac:dyDescent="0.25">
      <c r="W4644" s="111"/>
    </row>
    <row r="4645" spans="23:23" x14ac:dyDescent="0.25">
      <c r="W4645" s="111"/>
    </row>
    <row r="4646" spans="23:23" x14ac:dyDescent="0.25">
      <c r="W4646" s="111"/>
    </row>
    <row r="4647" spans="23:23" x14ac:dyDescent="0.25">
      <c r="W4647" s="111"/>
    </row>
    <row r="4648" spans="23:23" x14ac:dyDescent="0.25">
      <c r="W4648" s="111"/>
    </row>
    <row r="4649" spans="23:23" x14ac:dyDescent="0.25">
      <c r="W4649" s="111"/>
    </row>
    <row r="4650" spans="23:23" x14ac:dyDescent="0.25">
      <c r="W4650" s="111"/>
    </row>
    <row r="4651" spans="23:23" x14ac:dyDescent="0.25">
      <c r="W4651" s="111"/>
    </row>
    <row r="4652" spans="23:23" x14ac:dyDescent="0.25">
      <c r="W4652" s="111"/>
    </row>
    <row r="4653" spans="23:23" x14ac:dyDescent="0.25">
      <c r="W4653" s="111"/>
    </row>
    <row r="4654" spans="23:23" x14ac:dyDescent="0.25">
      <c r="W4654" s="111"/>
    </row>
    <row r="4655" spans="23:23" x14ac:dyDescent="0.25">
      <c r="W4655" s="111"/>
    </row>
    <row r="4656" spans="23:23" x14ac:dyDescent="0.25">
      <c r="W4656" s="111"/>
    </row>
    <row r="4657" spans="23:23" x14ac:dyDescent="0.25">
      <c r="W4657" s="111"/>
    </row>
    <row r="4658" spans="23:23" x14ac:dyDescent="0.25">
      <c r="W4658" s="111"/>
    </row>
    <row r="4659" spans="23:23" x14ac:dyDescent="0.25">
      <c r="W4659" s="111"/>
    </row>
    <row r="4660" spans="23:23" x14ac:dyDescent="0.25">
      <c r="W4660" s="111"/>
    </row>
    <row r="4661" spans="23:23" x14ac:dyDescent="0.25">
      <c r="W4661" s="111"/>
    </row>
    <row r="4662" spans="23:23" x14ac:dyDescent="0.25">
      <c r="W4662" s="111"/>
    </row>
    <row r="4663" spans="23:23" x14ac:dyDescent="0.25">
      <c r="W4663" s="111"/>
    </row>
    <row r="4664" spans="23:23" x14ac:dyDescent="0.25">
      <c r="W4664" s="111"/>
    </row>
    <row r="4665" spans="23:23" x14ac:dyDescent="0.25">
      <c r="W4665" s="111"/>
    </row>
    <row r="4666" spans="23:23" x14ac:dyDescent="0.25">
      <c r="W4666" s="111"/>
    </row>
    <row r="4667" spans="23:23" x14ac:dyDescent="0.25">
      <c r="W4667" s="111"/>
    </row>
    <row r="4668" spans="23:23" x14ac:dyDescent="0.25">
      <c r="W4668" s="111"/>
    </row>
    <row r="4669" spans="23:23" x14ac:dyDescent="0.25">
      <c r="W4669" s="111"/>
    </row>
    <row r="4670" spans="23:23" x14ac:dyDescent="0.25">
      <c r="W4670" s="111"/>
    </row>
    <row r="4671" spans="23:23" x14ac:dyDescent="0.25">
      <c r="W4671" s="111"/>
    </row>
    <row r="4672" spans="23:23" x14ac:dyDescent="0.25">
      <c r="W4672" s="111"/>
    </row>
    <row r="4673" spans="23:23" x14ac:dyDescent="0.25">
      <c r="W4673" s="111"/>
    </row>
    <row r="4674" spans="23:23" x14ac:dyDescent="0.25">
      <c r="W4674" s="111"/>
    </row>
    <row r="4675" spans="23:23" x14ac:dyDescent="0.25">
      <c r="W4675" s="111"/>
    </row>
    <row r="4676" spans="23:23" x14ac:dyDescent="0.25">
      <c r="W4676" s="111"/>
    </row>
    <row r="4677" spans="23:23" x14ac:dyDescent="0.25">
      <c r="W4677" s="111"/>
    </row>
    <row r="4678" spans="23:23" x14ac:dyDescent="0.25">
      <c r="W4678" s="111"/>
    </row>
    <row r="4679" spans="23:23" x14ac:dyDescent="0.25">
      <c r="W4679" s="111"/>
    </row>
    <row r="4680" spans="23:23" x14ac:dyDescent="0.25">
      <c r="W4680" s="111"/>
    </row>
    <row r="4681" spans="23:23" x14ac:dyDescent="0.25">
      <c r="W4681" s="111"/>
    </row>
    <row r="4682" spans="23:23" x14ac:dyDescent="0.25">
      <c r="W4682" s="111"/>
    </row>
    <row r="4683" spans="23:23" x14ac:dyDescent="0.25">
      <c r="W4683" s="111"/>
    </row>
    <row r="4684" spans="23:23" x14ac:dyDescent="0.25">
      <c r="W4684" s="111"/>
    </row>
    <row r="4685" spans="23:23" x14ac:dyDescent="0.25">
      <c r="W4685" s="111"/>
    </row>
    <row r="4686" spans="23:23" x14ac:dyDescent="0.25">
      <c r="W4686" s="111"/>
    </row>
    <row r="4687" spans="23:23" x14ac:dyDescent="0.25">
      <c r="W4687" s="111"/>
    </row>
    <row r="4688" spans="23:23" x14ac:dyDescent="0.25">
      <c r="W4688" s="111"/>
    </row>
    <row r="4689" spans="23:23" x14ac:dyDescent="0.25">
      <c r="W4689" s="111"/>
    </row>
    <row r="4690" spans="23:23" x14ac:dyDescent="0.25">
      <c r="W4690" s="111"/>
    </row>
    <row r="4691" spans="23:23" x14ac:dyDescent="0.25">
      <c r="W4691" s="111"/>
    </row>
    <row r="4692" spans="23:23" x14ac:dyDescent="0.25">
      <c r="W4692" s="111"/>
    </row>
    <row r="4693" spans="23:23" x14ac:dyDescent="0.25">
      <c r="W4693" s="111"/>
    </row>
    <row r="4694" spans="23:23" x14ac:dyDescent="0.25">
      <c r="W4694" s="111"/>
    </row>
    <row r="4695" spans="23:23" x14ac:dyDescent="0.25">
      <c r="W4695" s="111"/>
    </row>
    <row r="4696" spans="23:23" x14ac:dyDescent="0.25">
      <c r="W4696" s="111"/>
    </row>
    <row r="4697" spans="23:23" x14ac:dyDescent="0.25">
      <c r="W4697" s="111"/>
    </row>
    <row r="4698" spans="23:23" x14ac:dyDescent="0.25">
      <c r="W4698" s="111"/>
    </row>
    <row r="4699" spans="23:23" x14ac:dyDescent="0.25">
      <c r="W4699" s="111"/>
    </row>
    <row r="4700" spans="23:23" x14ac:dyDescent="0.25">
      <c r="W4700" s="111"/>
    </row>
    <row r="4701" spans="23:23" x14ac:dyDescent="0.25">
      <c r="W4701" s="111"/>
    </row>
    <row r="4702" spans="23:23" x14ac:dyDescent="0.25">
      <c r="W4702" s="111"/>
    </row>
    <row r="4703" spans="23:23" x14ac:dyDescent="0.25">
      <c r="W4703" s="111"/>
    </row>
    <row r="4704" spans="23:23" x14ac:dyDescent="0.25">
      <c r="W4704" s="111"/>
    </row>
    <row r="4705" spans="23:23" x14ac:dyDescent="0.25">
      <c r="W4705" s="111"/>
    </row>
    <row r="4706" spans="23:23" x14ac:dyDescent="0.25">
      <c r="W4706" s="111"/>
    </row>
    <row r="4707" spans="23:23" x14ac:dyDescent="0.25">
      <c r="W4707" s="111"/>
    </row>
    <row r="4708" spans="23:23" x14ac:dyDescent="0.25">
      <c r="W4708" s="111"/>
    </row>
    <row r="4709" spans="23:23" x14ac:dyDescent="0.25">
      <c r="W4709" s="111"/>
    </row>
    <row r="4710" spans="23:23" x14ac:dyDescent="0.25">
      <c r="W4710" s="111"/>
    </row>
    <row r="4711" spans="23:23" x14ac:dyDescent="0.25">
      <c r="W4711" s="111"/>
    </row>
    <row r="4712" spans="23:23" x14ac:dyDescent="0.25">
      <c r="W4712" s="111"/>
    </row>
    <row r="4713" spans="23:23" x14ac:dyDescent="0.25">
      <c r="W4713" s="111"/>
    </row>
    <row r="4714" spans="23:23" x14ac:dyDescent="0.25">
      <c r="W4714" s="111"/>
    </row>
    <row r="4715" spans="23:23" x14ac:dyDescent="0.25">
      <c r="W4715" s="111"/>
    </row>
    <row r="4716" spans="23:23" x14ac:dyDescent="0.25">
      <c r="W4716" s="111"/>
    </row>
    <row r="4717" spans="23:23" x14ac:dyDescent="0.25">
      <c r="W4717" s="111"/>
    </row>
    <row r="4718" spans="23:23" x14ac:dyDescent="0.25">
      <c r="W4718" s="111"/>
    </row>
    <row r="4719" spans="23:23" x14ac:dyDescent="0.25">
      <c r="W4719" s="111"/>
    </row>
    <row r="4720" spans="23:23" x14ac:dyDescent="0.25">
      <c r="W4720" s="111"/>
    </row>
    <row r="4721" spans="23:23" x14ac:dyDescent="0.25">
      <c r="W4721" s="111"/>
    </row>
    <row r="4722" spans="23:23" x14ac:dyDescent="0.25">
      <c r="W4722" s="111"/>
    </row>
    <row r="4723" spans="23:23" x14ac:dyDescent="0.25">
      <c r="W4723" s="111"/>
    </row>
    <row r="4724" spans="23:23" x14ac:dyDescent="0.25">
      <c r="W4724" s="111"/>
    </row>
    <row r="4725" spans="23:23" x14ac:dyDescent="0.25">
      <c r="W4725" s="111"/>
    </row>
    <row r="4726" spans="23:23" x14ac:dyDescent="0.25">
      <c r="W4726" s="111"/>
    </row>
    <row r="4727" spans="23:23" x14ac:dyDescent="0.25">
      <c r="W4727" s="111"/>
    </row>
    <row r="4728" spans="23:23" x14ac:dyDescent="0.25">
      <c r="W4728" s="111"/>
    </row>
    <row r="4729" spans="23:23" x14ac:dyDescent="0.25">
      <c r="W4729" s="111"/>
    </row>
    <row r="4730" spans="23:23" x14ac:dyDescent="0.25">
      <c r="W4730" s="111"/>
    </row>
    <row r="4731" spans="23:23" x14ac:dyDescent="0.25">
      <c r="W4731" s="111"/>
    </row>
    <row r="4732" spans="23:23" x14ac:dyDescent="0.25">
      <c r="W4732" s="111"/>
    </row>
    <row r="4733" spans="23:23" x14ac:dyDescent="0.25">
      <c r="W4733" s="111"/>
    </row>
    <row r="4734" spans="23:23" x14ac:dyDescent="0.25">
      <c r="W4734" s="111"/>
    </row>
    <row r="4735" spans="23:23" x14ac:dyDescent="0.25">
      <c r="W4735" s="111"/>
    </row>
    <row r="4736" spans="23:23" x14ac:dyDescent="0.25">
      <c r="W4736" s="111"/>
    </row>
    <row r="4737" spans="23:23" x14ac:dyDescent="0.25">
      <c r="W4737" s="111"/>
    </row>
    <row r="4738" spans="23:23" x14ac:dyDescent="0.25">
      <c r="W4738" s="111"/>
    </row>
    <row r="4739" spans="23:23" x14ac:dyDescent="0.25">
      <c r="W4739" s="111"/>
    </row>
    <row r="4740" spans="23:23" x14ac:dyDescent="0.25">
      <c r="W4740" s="111"/>
    </row>
    <row r="4741" spans="23:23" x14ac:dyDescent="0.25">
      <c r="W4741" s="111"/>
    </row>
    <row r="4742" spans="23:23" x14ac:dyDescent="0.25">
      <c r="W4742" s="111"/>
    </row>
    <row r="4743" spans="23:23" x14ac:dyDescent="0.25">
      <c r="W4743" s="111"/>
    </row>
    <row r="4744" spans="23:23" x14ac:dyDescent="0.25">
      <c r="W4744" s="111"/>
    </row>
    <row r="4745" spans="23:23" x14ac:dyDescent="0.25">
      <c r="W4745" s="111"/>
    </row>
    <row r="4746" spans="23:23" x14ac:dyDescent="0.25">
      <c r="W4746" s="111"/>
    </row>
    <row r="4747" spans="23:23" x14ac:dyDescent="0.25">
      <c r="W4747" s="111"/>
    </row>
    <row r="4748" spans="23:23" x14ac:dyDescent="0.25">
      <c r="W4748" s="111"/>
    </row>
    <row r="4749" spans="23:23" x14ac:dyDescent="0.25">
      <c r="W4749" s="111"/>
    </row>
    <row r="4750" spans="23:23" x14ac:dyDescent="0.25">
      <c r="W4750" s="111"/>
    </row>
    <row r="4751" spans="23:23" x14ac:dyDescent="0.25">
      <c r="W4751" s="111"/>
    </row>
    <row r="4752" spans="23:23" x14ac:dyDescent="0.25">
      <c r="W4752" s="111"/>
    </row>
    <row r="4753" spans="23:23" x14ac:dyDescent="0.25">
      <c r="W4753" s="111"/>
    </row>
    <row r="4754" spans="23:23" x14ac:dyDescent="0.25">
      <c r="W4754" s="111"/>
    </row>
    <row r="4755" spans="23:23" x14ac:dyDescent="0.25">
      <c r="W4755" s="111"/>
    </row>
    <row r="4756" spans="23:23" x14ac:dyDescent="0.25">
      <c r="W4756" s="111"/>
    </row>
    <row r="4757" spans="23:23" x14ac:dyDescent="0.25">
      <c r="W4757" s="111"/>
    </row>
    <row r="4758" spans="23:23" x14ac:dyDescent="0.25">
      <c r="W4758" s="111"/>
    </row>
    <row r="4759" spans="23:23" x14ac:dyDescent="0.25">
      <c r="W4759" s="111"/>
    </row>
    <row r="4760" spans="23:23" x14ac:dyDescent="0.25">
      <c r="W4760" s="111"/>
    </row>
    <row r="4761" spans="23:23" x14ac:dyDescent="0.25">
      <c r="W4761" s="111"/>
    </row>
    <row r="4762" spans="23:23" x14ac:dyDescent="0.25">
      <c r="W4762" s="111"/>
    </row>
    <row r="4763" spans="23:23" x14ac:dyDescent="0.25">
      <c r="W4763" s="111"/>
    </row>
    <row r="4764" spans="23:23" x14ac:dyDescent="0.25">
      <c r="W4764" s="111"/>
    </row>
    <row r="4765" spans="23:23" x14ac:dyDescent="0.25">
      <c r="W4765" s="111"/>
    </row>
    <row r="4766" spans="23:23" x14ac:dyDescent="0.25">
      <c r="W4766" s="111"/>
    </row>
    <row r="4767" spans="23:23" x14ac:dyDescent="0.25">
      <c r="W4767" s="111"/>
    </row>
    <row r="4768" spans="23:23" x14ac:dyDescent="0.25">
      <c r="W4768" s="111"/>
    </row>
    <row r="4769" spans="23:23" x14ac:dyDescent="0.25">
      <c r="W4769" s="111"/>
    </row>
    <row r="4770" spans="23:23" x14ac:dyDescent="0.25">
      <c r="W4770" s="111"/>
    </row>
    <row r="4771" spans="23:23" x14ac:dyDescent="0.25">
      <c r="W4771" s="111"/>
    </row>
    <row r="4772" spans="23:23" x14ac:dyDescent="0.25">
      <c r="W4772" s="111"/>
    </row>
    <row r="4773" spans="23:23" x14ac:dyDescent="0.25">
      <c r="W4773" s="111"/>
    </row>
    <row r="4774" spans="23:23" x14ac:dyDescent="0.25">
      <c r="W4774" s="111"/>
    </row>
    <row r="4775" spans="23:23" x14ac:dyDescent="0.25">
      <c r="W4775" s="111"/>
    </row>
    <row r="4776" spans="23:23" x14ac:dyDescent="0.25">
      <c r="W4776" s="111"/>
    </row>
    <row r="4777" spans="23:23" x14ac:dyDescent="0.25">
      <c r="W4777" s="111"/>
    </row>
    <row r="4778" spans="23:23" x14ac:dyDescent="0.25">
      <c r="W4778" s="111"/>
    </row>
    <row r="4779" spans="23:23" x14ac:dyDescent="0.25">
      <c r="W4779" s="111"/>
    </row>
    <row r="4780" spans="23:23" x14ac:dyDescent="0.25">
      <c r="W4780" s="111"/>
    </row>
    <row r="4781" spans="23:23" x14ac:dyDescent="0.25">
      <c r="W4781" s="111"/>
    </row>
    <row r="4782" spans="23:23" x14ac:dyDescent="0.25">
      <c r="W4782" s="111"/>
    </row>
    <row r="4783" spans="23:23" x14ac:dyDescent="0.25">
      <c r="W4783" s="111"/>
    </row>
    <row r="4784" spans="23:23" x14ac:dyDescent="0.25">
      <c r="W4784" s="111"/>
    </row>
    <row r="4785" spans="23:23" x14ac:dyDescent="0.25">
      <c r="W4785" s="111"/>
    </row>
    <row r="4786" spans="23:23" x14ac:dyDescent="0.25">
      <c r="W4786" s="111"/>
    </row>
    <row r="4787" spans="23:23" x14ac:dyDescent="0.25">
      <c r="W4787" s="111"/>
    </row>
    <row r="4788" spans="23:23" x14ac:dyDescent="0.25">
      <c r="W4788" s="111"/>
    </row>
    <row r="4789" spans="23:23" x14ac:dyDescent="0.25">
      <c r="W4789" s="111"/>
    </row>
    <row r="4790" spans="23:23" x14ac:dyDescent="0.25">
      <c r="W4790" s="111"/>
    </row>
    <row r="4791" spans="23:23" x14ac:dyDescent="0.25">
      <c r="W4791" s="111"/>
    </row>
    <row r="4792" spans="23:23" x14ac:dyDescent="0.25">
      <c r="W4792" s="111"/>
    </row>
    <row r="4793" spans="23:23" x14ac:dyDescent="0.25">
      <c r="W4793" s="111"/>
    </row>
    <row r="4794" spans="23:23" x14ac:dyDescent="0.25">
      <c r="W4794" s="111"/>
    </row>
    <row r="4795" spans="23:23" x14ac:dyDescent="0.25">
      <c r="W4795" s="111"/>
    </row>
    <row r="4796" spans="23:23" x14ac:dyDescent="0.25">
      <c r="W4796" s="111"/>
    </row>
    <row r="4797" spans="23:23" x14ac:dyDescent="0.25">
      <c r="W4797" s="111"/>
    </row>
    <row r="4798" spans="23:23" x14ac:dyDescent="0.25">
      <c r="W4798" s="111"/>
    </row>
    <row r="4799" spans="23:23" x14ac:dyDescent="0.25">
      <c r="W4799" s="111"/>
    </row>
    <row r="4800" spans="23:23" x14ac:dyDescent="0.25">
      <c r="W4800" s="111"/>
    </row>
    <row r="4801" spans="23:23" x14ac:dyDescent="0.25">
      <c r="W4801" s="111"/>
    </row>
    <row r="4802" spans="23:23" x14ac:dyDescent="0.25">
      <c r="W4802" s="111"/>
    </row>
    <row r="4803" spans="23:23" x14ac:dyDescent="0.25">
      <c r="W4803" s="111"/>
    </row>
    <row r="4804" spans="23:23" x14ac:dyDescent="0.25">
      <c r="W4804" s="111"/>
    </row>
    <row r="4805" spans="23:23" x14ac:dyDescent="0.25">
      <c r="W4805" s="111"/>
    </row>
    <row r="4806" spans="23:23" x14ac:dyDescent="0.25">
      <c r="W4806" s="111"/>
    </row>
    <row r="4807" spans="23:23" x14ac:dyDescent="0.25">
      <c r="W4807" s="111"/>
    </row>
    <row r="4808" spans="23:23" x14ac:dyDescent="0.25">
      <c r="W4808" s="111"/>
    </row>
    <row r="4809" spans="23:23" x14ac:dyDescent="0.25">
      <c r="W4809" s="111"/>
    </row>
    <row r="4810" spans="23:23" x14ac:dyDescent="0.25">
      <c r="W4810" s="111"/>
    </row>
    <row r="4811" spans="23:23" x14ac:dyDescent="0.25">
      <c r="W4811" s="111"/>
    </row>
    <row r="4812" spans="23:23" x14ac:dyDescent="0.25">
      <c r="W4812" s="111"/>
    </row>
    <row r="4813" spans="23:23" x14ac:dyDescent="0.25">
      <c r="W4813" s="111"/>
    </row>
    <row r="4814" spans="23:23" x14ac:dyDescent="0.25">
      <c r="W4814" s="111"/>
    </row>
    <row r="4815" spans="23:23" x14ac:dyDescent="0.25">
      <c r="W4815" s="111"/>
    </row>
    <row r="4816" spans="23:23" x14ac:dyDescent="0.25">
      <c r="W4816" s="111"/>
    </row>
    <row r="4817" spans="23:23" x14ac:dyDescent="0.25">
      <c r="W4817" s="111"/>
    </row>
    <row r="4818" spans="23:23" x14ac:dyDescent="0.25">
      <c r="W4818" s="111"/>
    </row>
    <row r="4819" spans="23:23" x14ac:dyDescent="0.25">
      <c r="W4819" s="111"/>
    </row>
    <row r="4820" spans="23:23" x14ac:dyDescent="0.25">
      <c r="W4820" s="111"/>
    </row>
    <row r="4821" spans="23:23" x14ac:dyDescent="0.25">
      <c r="W4821" s="111"/>
    </row>
    <row r="4822" spans="23:23" x14ac:dyDescent="0.25">
      <c r="W4822" s="111"/>
    </row>
    <row r="4823" spans="23:23" x14ac:dyDescent="0.25">
      <c r="W4823" s="111"/>
    </row>
    <row r="4824" spans="23:23" x14ac:dyDescent="0.25">
      <c r="W4824" s="111"/>
    </row>
    <row r="4825" spans="23:23" x14ac:dyDescent="0.25">
      <c r="W4825" s="111"/>
    </row>
    <row r="4826" spans="23:23" x14ac:dyDescent="0.25">
      <c r="W4826" s="111"/>
    </row>
    <row r="4827" spans="23:23" x14ac:dyDescent="0.25">
      <c r="W4827" s="111"/>
    </row>
    <row r="4828" spans="23:23" x14ac:dyDescent="0.25">
      <c r="W4828" s="111"/>
    </row>
    <row r="4829" spans="23:23" x14ac:dyDescent="0.25">
      <c r="W4829" s="111"/>
    </row>
    <row r="4830" spans="23:23" x14ac:dyDescent="0.25">
      <c r="W4830" s="111"/>
    </row>
    <row r="4831" spans="23:23" x14ac:dyDescent="0.25">
      <c r="W4831" s="111"/>
    </row>
    <row r="4832" spans="23:23" x14ac:dyDescent="0.25">
      <c r="W4832" s="111"/>
    </row>
    <row r="4833" spans="23:23" x14ac:dyDescent="0.25">
      <c r="W4833" s="111"/>
    </row>
    <row r="4834" spans="23:23" x14ac:dyDescent="0.25">
      <c r="W4834" s="111"/>
    </row>
    <row r="4835" spans="23:23" x14ac:dyDescent="0.25">
      <c r="W4835" s="111"/>
    </row>
    <row r="4836" spans="23:23" x14ac:dyDescent="0.25">
      <c r="W4836" s="111"/>
    </row>
    <row r="4837" spans="23:23" x14ac:dyDescent="0.25">
      <c r="W4837" s="111"/>
    </row>
    <row r="4838" spans="23:23" x14ac:dyDescent="0.25">
      <c r="W4838" s="111"/>
    </row>
    <row r="4839" spans="23:23" x14ac:dyDescent="0.25">
      <c r="W4839" s="111"/>
    </row>
    <row r="4840" spans="23:23" x14ac:dyDescent="0.25">
      <c r="W4840" s="111"/>
    </row>
    <row r="4841" spans="23:23" x14ac:dyDescent="0.25">
      <c r="W4841" s="111"/>
    </row>
    <row r="4842" spans="23:23" x14ac:dyDescent="0.25">
      <c r="W4842" s="111"/>
    </row>
    <row r="4843" spans="23:23" x14ac:dyDescent="0.25">
      <c r="W4843" s="111"/>
    </row>
    <row r="4844" spans="23:23" x14ac:dyDescent="0.25">
      <c r="W4844" s="111"/>
    </row>
    <row r="4845" spans="23:23" x14ac:dyDescent="0.25">
      <c r="W4845" s="111"/>
    </row>
    <row r="4846" spans="23:23" x14ac:dyDescent="0.25">
      <c r="W4846" s="111"/>
    </row>
    <row r="4847" spans="23:23" x14ac:dyDescent="0.25">
      <c r="W4847" s="111"/>
    </row>
    <row r="4848" spans="23:23" x14ac:dyDescent="0.25">
      <c r="W4848" s="111"/>
    </row>
    <row r="4849" spans="23:23" x14ac:dyDescent="0.25">
      <c r="W4849" s="111"/>
    </row>
    <row r="4850" spans="23:23" x14ac:dyDescent="0.25">
      <c r="W4850" s="111"/>
    </row>
    <row r="4851" spans="23:23" x14ac:dyDescent="0.25">
      <c r="W4851" s="111"/>
    </row>
    <row r="4852" spans="23:23" x14ac:dyDescent="0.25">
      <c r="W4852" s="111"/>
    </row>
    <row r="4853" spans="23:23" x14ac:dyDescent="0.25">
      <c r="W4853" s="111"/>
    </row>
    <row r="4854" spans="23:23" x14ac:dyDescent="0.25">
      <c r="W4854" s="111"/>
    </row>
    <row r="4855" spans="23:23" x14ac:dyDescent="0.25">
      <c r="W4855" s="111"/>
    </row>
    <row r="4856" spans="23:23" x14ac:dyDescent="0.25">
      <c r="W4856" s="111"/>
    </row>
    <row r="4857" spans="23:23" x14ac:dyDescent="0.25">
      <c r="W4857" s="111"/>
    </row>
    <row r="4858" spans="23:23" x14ac:dyDescent="0.25">
      <c r="W4858" s="111"/>
    </row>
    <row r="4859" spans="23:23" x14ac:dyDescent="0.25">
      <c r="W4859" s="111"/>
    </row>
    <row r="4860" spans="23:23" x14ac:dyDescent="0.25">
      <c r="W4860" s="111"/>
    </row>
    <row r="4861" spans="23:23" x14ac:dyDescent="0.25">
      <c r="W4861" s="111"/>
    </row>
    <row r="4862" spans="23:23" x14ac:dyDescent="0.25">
      <c r="W4862" s="111"/>
    </row>
    <row r="4863" spans="23:23" x14ac:dyDescent="0.25">
      <c r="W4863" s="111"/>
    </row>
    <row r="4864" spans="23:23" x14ac:dyDescent="0.25">
      <c r="W4864" s="111"/>
    </row>
    <row r="4865" spans="23:23" x14ac:dyDescent="0.25">
      <c r="W4865" s="111"/>
    </row>
    <row r="4866" spans="23:23" x14ac:dyDescent="0.25">
      <c r="W4866" s="111"/>
    </row>
    <row r="4867" spans="23:23" x14ac:dyDescent="0.25">
      <c r="W4867" s="111"/>
    </row>
    <row r="4868" spans="23:23" x14ac:dyDescent="0.25">
      <c r="W4868" s="111"/>
    </row>
    <row r="4869" spans="23:23" x14ac:dyDescent="0.25">
      <c r="W4869" s="111"/>
    </row>
    <row r="4870" spans="23:23" x14ac:dyDescent="0.25">
      <c r="W4870" s="111"/>
    </row>
    <row r="4871" spans="23:23" x14ac:dyDescent="0.25">
      <c r="W4871" s="111"/>
    </row>
    <row r="4872" spans="23:23" x14ac:dyDescent="0.25">
      <c r="W4872" s="111"/>
    </row>
    <row r="4873" spans="23:23" x14ac:dyDescent="0.25">
      <c r="W4873" s="111"/>
    </row>
    <row r="4874" spans="23:23" x14ac:dyDescent="0.25">
      <c r="W4874" s="111"/>
    </row>
    <row r="4875" spans="23:23" x14ac:dyDescent="0.25">
      <c r="W4875" s="111"/>
    </row>
    <row r="4876" spans="23:23" x14ac:dyDescent="0.25">
      <c r="W4876" s="111"/>
    </row>
    <row r="4877" spans="23:23" x14ac:dyDescent="0.25">
      <c r="W4877" s="111"/>
    </row>
    <row r="4878" spans="23:23" x14ac:dyDescent="0.25">
      <c r="W4878" s="111"/>
    </row>
    <row r="4879" spans="23:23" x14ac:dyDescent="0.25">
      <c r="W4879" s="111"/>
    </row>
    <row r="4880" spans="23:23" x14ac:dyDescent="0.25">
      <c r="W4880" s="111"/>
    </row>
    <row r="4881" spans="23:23" x14ac:dyDescent="0.25">
      <c r="W4881" s="111"/>
    </row>
    <row r="4882" spans="23:23" x14ac:dyDescent="0.25">
      <c r="W4882" s="111"/>
    </row>
    <row r="4883" spans="23:23" x14ac:dyDescent="0.25">
      <c r="W4883" s="111"/>
    </row>
    <row r="4884" spans="23:23" x14ac:dyDescent="0.25">
      <c r="W4884" s="111"/>
    </row>
    <row r="4885" spans="23:23" x14ac:dyDescent="0.25">
      <c r="W4885" s="111"/>
    </row>
    <row r="4886" spans="23:23" x14ac:dyDescent="0.25">
      <c r="W4886" s="111"/>
    </row>
    <row r="4887" spans="23:23" x14ac:dyDescent="0.25">
      <c r="W4887" s="111"/>
    </row>
    <row r="4888" spans="23:23" x14ac:dyDescent="0.25">
      <c r="W4888" s="111"/>
    </row>
    <row r="4889" spans="23:23" x14ac:dyDescent="0.25">
      <c r="W4889" s="111"/>
    </row>
    <row r="4890" spans="23:23" x14ac:dyDescent="0.25">
      <c r="W4890" s="111"/>
    </row>
    <row r="4891" spans="23:23" x14ac:dyDescent="0.25">
      <c r="W4891" s="111"/>
    </row>
    <row r="4892" spans="23:23" x14ac:dyDescent="0.25">
      <c r="W4892" s="111"/>
    </row>
    <row r="4893" spans="23:23" x14ac:dyDescent="0.25">
      <c r="W4893" s="111"/>
    </row>
    <row r="4894" spans="23:23" x14ac:dyDescent="0.25">
      <c r="W4894" s="111"/>
    </row>
    <row r="4895" spans="23:23" x14ac:dyDescent="0.25">
      <c r="W4895" s="111"/>
    </row>
    <row r="4896" spans="23:23" x14ac:dyDescent="0.25">
      <c r="W4896" s="111"/>
    </row>
    <row r="4897" spans="23:23" x14ac:dyDescent="0.25">
      <c r="W4897" s="111"/>
    </row>
    <row r="4898" spans="23:23" x14ac:dyDescent="0.25">
      <c r="W4898" s="111"/>
    </row>
    <row r="4899" spans="23:23" x14ac:dyDescent="0.25">
      <c r="W4899" s="111"/>
    </row>
    <row r="4900" spans="23:23" x14ac:dyDescent="0.25">
      <c r="W4900" s="111"/>
    </row>
    <row r="4901" spans="23:23" x14ac:dyDescent="0.25">
      <c r="W4901" s="111"/>
    </row>
    <row r="4902" spans="23:23" x14ac:dyDescent="0.25">
      <c r="W4902" s="111"/>
    </row>
    <row r="4903" spans="23:23" x14ac:dyDescent="0.25">
      <c r="W4903" s="111"/>
    </row>
    <row r="4904" spans="23:23" x14ac:dyDescent="0.25">
      <c r="W4904" s="111"/>
    </row>
    <row r="4905" spans="23:23" x14ac:dyDescent="0.25">
      <c r="W4905" s="111"/>
    </row>
    <row r="4906" spans="23:23" x14ac:dyDescent="0.25">
      <c r="W4906" s="111"/>
    </row>
    <row r="4907" spans="23:23" x14ac:dyDescent="0.25">
      <c r="W4907" s="111"/>
    </row>
    <row r="4908" spans="23:23" x14ac:dyDescent="0.25">
      <c r="W4908" s="111"/>
    </row>
    <row r="4909" spans="23:23" x14ac:dyDescent="0.25">
      <c r="W4909" s="111"/>
    </row>
    <row r="4910" spans="23:23" x14ac:dyDescent="0.25">
      <c r="W4910" s="111"/>
    </row>
    <row r="4911" spans="23:23" x14ac:dyDescent="0.25">
      <c r="W4911" s="111"/>
    </row>
    <row r="4912" spans="23:23" x14ac:dyDescent="0.25">
      <c r="W4912" s="111"/>
    </row>
    <row r="4913" spans="23:23" x14ac:dyDescent="0.25">
      <c r="W4913" s="111"/>
    </row>
    <row r="4914" spans="23:23" x14ac:dyDescent="0.25">
      <c r="W4914" s="111"/>
    </row>
    <row r="4915" spans="23:23" x14ac:dyDescent="0.25">
      <c r="W4915" s="111"/>
    </row>
    <row r="4916" spans="23:23" x14ac:dyDescent="0.25">
      <c r="W4916" s="111"/>
    </row>
    <row r="4917" spans="23:23" x14ac:dyDescent="0.25">
      <c r="W4917" s="111"/>
    </row>
    <row r="4918" spans="23:23" x14ac:dyDescent="0.25">
      <c r="W4918" s="111"/>
    </row>
    <row r="4919" spans="23:23" x14ac:dyDescent="0.25">
      <c r="W4919" s="111"/>
    </row>
    <row r="4920" spans="23:23" x14ac:dyDescent="0.25">
      <c r="W4920" s="111"/>
    </row>
    <row r="4921" spans="23:23" x14ac:dyDescent="0.25">
      <c r="W4921" s="111"/>
    </row>
    <row r="4922" spans="23:23" x14ac:dyDescent="0.25">
      <c r="W4922" s="111"/>
    </row>
    <row r="4923" spans="23:23" x14ac:dyDescent="0.25">
      <c r="W4923" s="111"/>
    </row>
    <row r="4924" spans="23:23" x14ac:dyDescent="0.25">
      <c r="W4924" s="111"/>
    </row>
    <row r="4925" spans="23:23" x14ac:dyDescent="0.25">
      <c r="W4925" s="111"/>
    </row>
    <row r="4926" spans="23:23" x14ac:dyDescent="0.25">
      <c r="W4926" s="111"/>
    </row>
    <row r="4927" spans="23:23" x14ac:dyDescent="0.25">
      <c r="W4927" s="111"/>
    </row>
    <row r="4928" spans="23:23" x14ac:dyDescent="0.25">
      <c r="W4928" s="111"/>
    </row>
    <row r="4929" spans="23:23" x14ac:dyDescent="0.25">
      <c r="W4929" s="111"/>
    </row>
    <row r="4930" spans="23:23" x14ac:dyDescent="0.25">
      <c r="W4930" s="111"/>
    </row>
    <row r="4931" spans="23:23" x14ac:dyDescent="0.25">
      <c r="W4931" s="111"/>
    </row>
    <row r="4932" spans="23:23" x14ac:dyDescent="0.25">
      <c r="W4932" s="111"/>
    </row>
    <row r="4933" spans="23:23" x14ac:dyDescent="0.25">
      <c r="W4933" s="111"/>
    </row>
    <row r="4934" spans="23:23" x14ac:dyDescent="0.25">
      <c r="W4934" s="111"/>
    </row>
    <row r="4935" spans="23:23" x14ac:dyDescent="0.25">
      <c r="W4935" s="111"/>
    </row>
    <row r="4936" spans="23:23" x14ac:dyDescent="0.25">
      <c r="W4936" s="111"/>
    </row>
    <row r="4937" spans="23:23" x14ac:dyDescent="0.25">
      <c r="W4937" s="111"/>
    </row>
    <row r="4938" spans="23:23" x14ac:dyDescent="0.25">
      <c r="W4938" s="111"/>
    </row>
    <row r="4939" spans="23:23" x14ac:dyDescent="0.25">
      <c r="W4939" s="111"/>
    </row>
    <row r="4940" spans="23:23" x14ac:dyDescent="0.25">
      <c r="W4940" s="111"/>
    </row>
    <row r="4941" spans="23:23" x14ac:dyDescent="0.25">
      <c r="W4941" s="111"/>
    </row>
    <row r="4942" spans="23:23" x14ac:dyDescent="0.25">
      <c r="W4942" s="111"/>
    </row>
    <row r="4943" spans="23:23" x14ac:dyDescent="0.25">
      <c r="W4943" s="111"/>
    </row>
    <row r="4944" spans="23:23" x14ac:dyDescent="0.25">
      <c r="W4944" s="111"/>
    </row>
    <row r="4945" spans="23:23" x14ac:dyDescent="0.25">
      <c r="W4945" s="111"/>
    </row>
    <row r="4946" spans="23:23" x14ac:dyDescent="0.25">
      <c r="W4946" s="111"/>
    </row>
    <row r="4947" spans="23:23" x14ac:dyDescent="0.25">
      <c r="W4947" s="111"/>
    </row>
    <row r="4948" spans="23:23" x14ac:dyDescent="0.25">
      <c r="W4948" s="111"/>
    </row>
    <row r="4949" spans="23:23" x14ac:dyDescent="0.25">
      <c r="W4949" s="111"/>
    </row>
    <row r="4950" spans="23:23" x14ac:dyDescent="0.25">
      <c r="W4950" s="111"/>
    </row>
    <row r="4951" spans="23:23" x14ac:dyDescent="0.25">
      <c r="W4951" s="111"/>
    </row>
    <row r="4952" spans="23:23" x14ac:dyDescent="0.25">
      <c r="W4952" s="111"/>
    </row>
    <row r="4953" spans="23:23" x14ac:dyDescent="0.25">
      <c r="W4953" s="111"/>
    </row>
    <row r="4954" spans="23:23" x14ac:dyDescent="0.25">
      <c r="W4954" s="111"/>
    </row>
    <row r="4955" spans="23:23" x14ac:dyDescent="0.25">
      <c r="W4955" s="111"/>
    </row>
    <row r="4956" spans="23:23" x14ac:dyDescent="0.25">
      <c r="W4956" s="111"/>
    </row>
    <row r="4957" spans="23:23" x14ac:dyDescent="0.25">
      <c r="W4957" s="111"/>
    </row>
    <row r="4958" spans="23:23" x14ac:dyDescent="0.25">
      <c r="W4958" s="111"/>
    </row>
    <row r="4959" spans="23:23" x14ac:dyDescent="0.25">
      <c r="W4959" s="111"/>
    </row>
    <row r="4960" spans="23:23" x14ac:dyDescent="0.25">
      <c r="W4960" s="111"/>
    </row>
    <row r="4961" spans="23:23" x14ac:dyDescent="0.25">
      <c r="W4961" s="111"/>
    </row>
    <row r="4962" spans="23:23" x14ac:dyDescent="0.25">
      <c r="W4962" s="111"/>
    </row>
    <row r="4963" spans="23:23" x14ac:dyDescent="0.25">
      <c r="W4963" s="111"/>
    </row>
    <row r="4964" spans="23:23" x14ac:dyDescent="0.25">
      <c r="W4964" s="111"/>
    </row>
    <row r="4965" spans="23:23" x14ac:dyDescent="0.25">
      <c r="W4965" s="111"/>
    </row>
    <row r="4966" spans="23:23" x14ac:dyDescent="0.25">
      <c r="W4966" s="111"/>
    </row>
    <row r="4967" spans="23:23" x14ac:dyDescent="0.25">
      <c r="W4967" s="111"/>
    </row>
    <row r="4968" spans="23:23" x14ac:dyDescent="0.25">
      <c r="W4968" s="111"/>
    </row>
    <row r="4969" spans="23:23" x14ac:dyDescent="0.25">
      <c r="W4969" s="111"/>
    </row>
    <row r="4970" spans="23:23" x14ac:dyDescent="0.25">
      <c r="W4970" s="111"/>
    </row>
    <row r="4971" spans="23:23" x14ac:dyDescent="0.25">
      <c r="W4971" s="111"/>
    </row>
    <row r="4972" spans="23:23" x14ac:dyDescent="0.25">
      <c r="W4972" s="111"/>
    </row>
    <row r="4973" spans="23:23" x14ac:dyDescent="0.25">
      <c r="W4973" s="111"/>
    </row>
    <row r="4974" spans="23:23" x14ac:dyDescent="0.25">
      <c r="W4974" s="111"/>
    </row>
    <row r="4975" spans="23:23" x14ac:dyDescent="0.25">
      <c r="W4975" s="111"/>
    </row>
    <row r="4976" spans="23:23" x14ac:dyDescent="0.25">
      <c r="W4976" s="111"/>
    </row>
    <row r="4977" spans="23:23" x14ac:dyDescent="0.25">
      <c r="W4977" s="111"/>
    </row>
    <row r="4978" spans="23:23" x14ac:dyDescent="0.25">
      <c r="W4978" s="111"/>
    </row>
    <row r="4979" spans="23:23" x14ac:dyDescent="0.25">
      <c r="W4979" s="111"/>
    </row>
    <row r="4980" spans="23:23" x14ac:dyDescent="0.25">
      <c r="W4980" s="111"/>
    </row>
    <row r="4981" spans="23:23" x14ac:dyDescent="0.25">
      <c r="W4981" s="111"/>
    </row>
    <row r="4982" spans="23:23" x14ac:dyDescent="0.25">
      <c r="W4982" s="111"/>
    </row>
    <row r="4983" spans="23:23" x14ac:dyDescent="0.25">
      <c r="W4983" s="111"/>
    </row>
    <row r="4984" spans="23:23" x14ac:dyDescent="0.25">
      <c r="W4984" s="111"/>
    </row>
    <row r="4985" spans="23:23" x14ac:dyDescent="0.25">
      <c r="W4985" s="111"/>
    </row>
    <row r="4986" spans="23:23" x14ac:dyDescent="0.25">
      <c r="W4986" s="111"/>
    </row>
    <row r="4987" spans="23:23" x14ac:dyDescent="0.25">
      <c r="W4987" s="111"/>
    </row>
    <row r="4988" spans="23:23" x14ac:dyDescent="0.25">
      <c r="W4988" s="111"/>
    </row>
    <row r="4989" spans="23:23" x14ac:dyDescent="0.25">
      <c r="W4989" s="111"/>
    </row>
    <row r="4990" spans="23:23" x14ac:dyDescent="0.25">
      <c r="W4990" s="111"/>
    </row>
    <row r="4991" spans="23:23" x14ac:dyDescent="0.25">
      <c r="W4991" s="111"/>
    </row>
    <row r="4992" spans="23:23" x14ac:dyDescent="0.25">
      <c r="W4992" s="111"/>
    </row>
    <row r="4993" spans="23:23" x14ac:dyDescent="0.25">
      <c r="W4993" s="111"/>
    </row>
    <row r="4994" spans="23:23" x14ac:dyDescent="0.25">
      <c r="W4994" s="111"/>
    </row>
    <row r="4995" spans="23:23" x14ac:dyDescent="0.25">
      <c r="W4995" s="111"/>
    </row>
    <row r="4996" spans="23:23" x14ac:dyDescent="0.25">
      <c r="W4996" s="111"/>
    </row>
    <row r="4997" spans="23:23" x14ac:dyDescent="0.25">
      <c r="W4997" s="111"/>
    </row>
    <row r="4998" spans="23:23" x14ac:dyDescent="0.25">
      <c r="W4998" s="111"/>
    </row>
    <row r="4999" spans="23:23" x14ac:dyDescent="0.25">
      <c r="W4999" s="111"/>
    </row>
    <row r="5000" spans="23:23" x14ac:dyDescent="0.25">
      <c r="W5000" s="111"/>
    </row>
    <row r="5001" spans="23:23" x14ac:dyDescent="0.25">
      <c r="W5001" s="111"/>
    </row>
    <row r="5002" spans="23:23" x14ac:dyDescent="0.25">
      <c r="W5002" s="111"/>
    </row>
    <row r="5003" spans="23:23" x14ac:dyDescent="0.25">
      <c r="W5003" s="111"/>
    </row>
    <row r="5004" spans="23:23" x14ac:dyDescent="0.25">
      <c r="W5004" s="111"/>
    </row>
    <row r="5005" spans="23:23" x14ac:dyDescent="0.25">
      <c r="W5005" s="111"/>
    </row>
    <row r="5006" spans="23:23" x14ac:dyDescent="0.25">
      <c r="W5006" s="111"/>
    </row>
    <row r="5007" spans="23:23" x14ac:dyDescent="0.25">
      <c r="W5007" s="111"/>
    </row>
    <row r="5008" spans="23:23" x14ac:dyDescent="0.25">
      <c r="W5008" s="111"/>
    </row>
    <row r="5009" spans="23:23" x14ac:dyDescent="0.25">
      <c r="W5009" s="111"/>
    </row>
    <row r="5010" spans="23:23" x14ac:dyDescent="0.25">
      <c r="W5010" s="111"/>
    </row>
    <row r="5011" spans="23:23" x14ac:dyDescent="0.25">
      <c r="W5011" s="111"/>
    </row>
    <row r="5012" spans="23:23" x14ac:dyDescent="0.25">
      <c r="W5012" s="111"/>
    </row>
    <row r="5013" spans="23:23" x14ac:dyDescent="0.25">
      <c r="W5013" s="111"/>
    </row>
    <row r="5014" spans="23:23" x14ac:dyDescent="0.25">
      <c r="W5014" s="111"/>
    </row>
    <row r="5015" spans="23:23" x14ac:dyDescent="0.25">
      <c r="W5015" s="111"/>
    </row>
    <row r="5016" spans="23:23" x14ac:dyDescent="0.25">
      <c r="W5016" s="111"/>
    </row>
    <row r="5017" spans="23:23" x14ac:dyDescent="0.25">
      <c r="W5017" s="111"/>
    </row>
    <row r="5018" spans="23:23" x14ac:dyDescent="0.25">
      <c r="W5018" s="111"/>
    </row>
    <row r="5019" spans="23:23" x14ac:dyDescent="0.25">
      <c r="W5019" s="111"/>
    </row>
    <row r="5020" spans="23:23" x14ac:dyDescent="0.25">
      <c r="W5020" s="111"/>
    </row>
    <row r="5021" spans="23:23" x14ac:dyDescent="0.25">
      <c r="W5021" s="111"/>
    </row>
    <row r="5022" spans="23:23" x14ac:dyDescent="0.25">
      <c r="W5022" s="111"/>
    </row>
    <row r="5023" spans="23:23" x14ac:dyDescent="0.25">
      <c r="W5023" s="111"/>
    </row>
    <row r="5024" spans="23:23" x14ac:dyDescent="0.25">
      <c r="W5024" s="111"/>
    </row>
    <row r="5025" spans="23:23" x14ac:dyDescent="0.25">
      <c r="W5025" s="111"/>
    </row>
    <row r="5026" spans="23:23" x14ac:dyDescent="0.25">
      <c r="W5026" s="111"/>
    </row>
    <row r="5027" spans="23:23" x14ac:dyDescent="0.25">
      <c r="W5027" s="111"/>
    </row>
    <row r="5028" spans="23:23" x14ac:dyDescent="0.25">
      <c r="W5028" s="111"/>
    </row>
    <row r="5029" spans="23:23" x14ac:dyDescent="0.25">
      <c r="W5029" s="111"/>
    </row>
    <row r="5030" spans="23:23" x14ac:dyDescent="0.25">
      <c r="W5030" s="111"/>
    </row>
    <row r="5031" spans="23:23" x14ac:dyDescent="0.25">
      <c r="W5031" s="111"/>
    </row>
    <row r="5032" spans="23:23" x14ac:dyDescent="0.25">
      <c r="W5032" s="111"/>
    </row>
    <row r="5033" spans="23:23" x14ac:dyDescent="0.25">
      <c r="W5033" s="111"/>
    </row>
    <row r="5034" spans="23:23" x14ac:dyDescent="0.25">
      <c r="W5034" s="111"/>
    </row>
    <row r="5035" spans="23:23" x14ac:dyDescent="0.25">
      <c r="W5035" s="111"/>
    </row>
    <row r="5036" spans="23:23" x14ac:dyDescent="0.25">
      <c r="W5036" s="111"/>
    </row>
    <row r="5037" spans="23:23" x14ac:dyDescent="0.25">
      <c r="W5037" s="111"/>
    </row>
    <row r="5038" spans="23:23" x14ac:dyDescent="0.25">
      <c r="W5038" s="111"/>
    </row>
    <row r="5039" spans="23:23" x14ac:dyDescent="0.25">
      <c r="W5039" s="111"/>
    </row>
    <row r="5040" spans="23:23" x14ac:dyDescent="0.25">
      <c r="W5040" s="111"/>
    </row>
    <row r="5041" spans="23:23" x14ac:dyDescent="0.25">
      <c r="W5041" s="111"/>
    </row>
    <row r="5042" spans="23:23" x14ac:dyDescent="0.25">
      <c r="W5042" s="111"/>
    </row>
    <row r="5043" spans="23:23" x14ac:dyDescent="0.25">
      <c r="W5043" s="111"/>
    </row>
    <row r="5044" spans="23:23" x14ac:dyDescent="0.25">
      <c r="W5044" s="111"/>
    </row>
    <row r="5045" spans="23:23" x14ac:dyDescent="0.25">
      <c r="W5045" s="111"/>
    </row>
    <row r="5046" spans="23:23" x14ac:dyDescent="0.25">
      <c r="W5046" s="111"/>
    </row>
    <row r="5047" spans="23:23" x14ac:dyDescent="0.25">
      <c r="W5047" s="111"/>
    </row>
    <row r="5048" spans="23:23" x14ac:dyDescent="0.25">
      <c r="W5048" s="111"/>
    </row>
    <row r="5049" spans="23:23" x14ac:dyDescent="0.25">
      <c r="W5049" s="111"/>
    </row>
    <row r="5050" spans="23:23" x14ac:dyDescent="0.25">
      <c r="W5050" s="111"/>
    </row>
    <row r="5051" spans="23:23" x14ac:dyDescent="0.25">
      <c r="W5051" s="111"/>
    </row>
    <row r="5052" spans="23:23" x14ac:dyDescent="0.25">
      <c r="W5052" s="111"/>
    </row>
    <row r="5053" spans="23:23" x14ac:dyDescent="0.25">
      <c r="W5053" s="111"/>
    </row>
    <row r="5054" spans="23:23" x14ac:dyDescent="0.25">
      <c r="W5054" s="111"/>
    </row>
    <row r="5055" spans="23:23" x14ac:dyDescent="0.25">
      <c r="W5055" s="111"/>
    </row>
    <row r="5056" spans="23:23" x14ac:dyDescent="0.25">
      <c r="W5056" s="111"/>
    </row>
    <row r="5057" spans="23:23" x14ac:dyDescent="0.25">
      <c r="W5057" s="111"/>
    </row>
    <row r="5058" spans="23:23" x14ac:dyDescent="0.25">
      <c r="W5058" s="111"/>
    </row>
    <row r="5059" spans="23:23" x14ac:dyDescent="0.25">
      <c r="W5059" s="111"/>
    </row>
    <row r="5060" spans="23:23" x14ac:dyDescent="0.25">
      <c r="W5060" s="111"/>
    </row>
    <row r="5061" spans="23:23" x14ac:dyDescent="0.25">
      <c r="W5061" s="111"/>
    </row>
    <row r="5062" spans="23:23" x14ac:dyDescent="0.25">
      <c r="W5062" s="111"/>
    </row>
    <row r="5063" spans="23:23" x14ac:dyDescent="0.25">
      <c r="W5063" s="111"/>
    </row>
    <row r="5064" spans="23:23" x14ac:dyDescent="0.25">
      <c r="W5064" s="111"/>
    </row>
    <row r="5065" spans="23:23" x14ac:dyDescent="0.25">
      <c r="W5065" s="111"/>
    </row>
    <row r="5066" spans="23:23" x14ac:dyDescent="0.25">
      <c r="W5066" s="111"/>
    </row>
    <row r="5067" spans="23:23" x14ac:dyDescent="0.25">
      <c r="W5067" s="111"/>
    </row>
    <row r="5068" spans="23:23" x14ac:dyDescent="0.25">
      <c r="W5068" s="111"/>
    </row>
    <row r="5069" spans="23:23" x14ac:dyDescent="0.25">
      <c r="W5069" s="111"/>
    </row>
    <row r="5070" spans="23:23" x14ac:dyDescent="0.25">
      <c r="W5070" s="111"/>
    </row>
    <row r="5071" spans="23:23" x14ac:dyDescent="0.25">
      <c r="W5071" s="111"/>
    </row>
    <row r="5072" spans="23:23" x14ac:dyDescent="0.25">
      <c r="W5072" s="111"/>
    </row>
    <row r="5073" spans="23:23" x14ac:dyDescent="0.25">
      <c r="W5073" s="111"/>
    </row>
    <row r="5074" spans="23:23" x14ac:dyDescent="0.25">
      <c r="W5074" s="111"/>
    </row>
    <row r="5075" spans="23:23" x14ac:dyDescent="0.25">
      <c r="W5075" s="111"/>
    </row>
    <row r="5076" spans="23:23" x14ac:dyDescent="0.25">
      <c r="W5076" s="111"/>
    </row>
    <row r="5077" spans="23:23" x14ac:dyDescent="0.25">
      <c r="W5077" s="111"/>
    </row>
    <row r="5078" spans="23:23" x14ac:dyDescent="0.25">
      <c r="W5078" s="111"/>
    </row>
    <row r="5079" spans="23:23" x14ac:dyDescent="0.25">
      <c r="W5079" s="111"/>
    </row>
    <row r="5080" spans="23:23" x14ac:dyDescent="0.25">
      <c r="W5080" s="111"/>
    </row>
    <row r="5081" spans="23:23" x14ac:dyDescent="0.25">
      <c r="W5081" s="111"/>
    </row>
    <row r="5082" spans="23:23" x14ac:dyDescent="0.25">
      <c r="W5082" s="111"/>
    </row>
    <row r="5083" spans="23:23" x14ac:dyDescent="0.25">
      <c r="W5083" s="111"/>
    </row>
    <row r="5084" spans="23:23" x14ac:dyDescent="0.25">
      <c r="W5084" s="111"/>
    </row>
    <row r="5085" spans="23:23" x14ac:dyDescent="0.25">
      <c r="W5085" s="111"/>
    </row>
    <row r="5086" spans="23:23" x14ac:dyDescent="0.25">
      <c r="W5086" s="111"/>
    </row>
    <row r="5087" spans="23:23" x14ac:dyDescent="0.25">
      <c r="W5087" s="111"/>
    </row>
    <row r="5088" spans="23:23" x14ac:dyDescent="0.25">
      <c r="W5088" s="111"/>
    </row>
    <row r="5089" spans="23:23" x14ac:dyDescent="0.25">
      <c r="W5089" s="111"/>
    </row>
    <row r="5090" spans="23:23" x14ac:dyDescent="0.25">
      <c r="W5090" s="111"/>
    </row>
    <row r="5091" spans="23:23" x14ac:dyDescent="0.25">
      <c r="W5091" s="111"/>
    </row>
    <row r="5092" spans="23:23" x14ac:dyDescent="0.25">
      <c r="W5092" s="111"/>
    </row>
    <row r="5093" spans="23:23" x14ac:dyDescent="0.25">
      <c r="W5093" s="111"/>
    </row>
    <row r="5094" spans="23:23" x14ac:dyDescent="0.25">
      <c r="W5094" s="111"/>
    </row>
    <row r="5095" spans="23:23" x14ac:dyDescent="0.25">
      <c r="W5095" s="111"/>
    </row>
    <row r="5096" spans="23:23" x14ac:dyDescent="0.25">
      <c r="W5096" s="111"/>
    </row>
    <row r="5097" spans="23:23" x14ac:dyDescent="0.25">
      <c r="W5097" s="111"/>
    </row>
    <row r="5098" spans="23:23" x14ac:dyDescent="0.25">
      <c r="W5098" s="111"/>
    </row>
    <row r="5099" spans="23:23" x14ac:dyDescent="0.25">
      <c r="W5099" s="111"/>
    </row>
    <row r="5100" spans="23:23" x14ac:dyDescent="0.25">
      <c r="W5100" s="111"/>
    </row>
    <row r="5101" spans="23:23" x14ac:dyDescent="0.25">
      <c r="W5101" s="111"/>
    </row>
    <row r="5102" spans="23:23" x14ac:dyDescent="0.25">
      <c r="W5102" s="111"/>
    </row>
    <row r="5103" spans="23:23" x14ac:dyDescent="0.25">
      <c r="W5103" s="111"/>
    </row>
    <row r="5104" spans="23:23" x14ac:dyDescent="0.25">
      <c r="W5104" s="111"/>
    </row>
    <row r="5105" spans="23:23" x14ac:dyDescent="0.25">
      <c r="W5105" s="111"/>
    </row>
    <row r="5106" spans="23:23" x14ac:dyDescent="0.25">
      <c r="W5106" s="111"/>
    </row>
    <row r="5107" spans="23:23" x14ac:dyDescent="0.25">
      <c r="W5107" s="111"/>
    </row>
    <row r="5108" spans="23:23" x14ac:dyDescent="0.25">
      <c r="W5108" s="111"/>
    </row>
    <row r="5109" spans="23:23" x14ac:dyDescent="0.25">
      <c r="W5109" s="111"/>
    </row>
    <row r="5110" spans="23:23" x14ac:dyDescent="0.25">
      <c r="W5110" s="111"/>
    </row>
    <row r="5111" spans="23:23" x14ac:dyDescent="0.25">
      <c r="W5111" s="111"/>
    </row>
    <row r="5112" spans="23:23" x14ac:dyDescent="0.25">
      <c r="W5112" s="111"/>
    </row>
    <row r="5113" spans="23:23" x14ac:dyDescent="0.25">
      <c r="W5113" s="111"/>
    </row>
    <row r="5114" spans="23:23" x14ac:dyDescent="0.25">
      <c r="W5114" s="111"/>
    </row>
    <row r="5115" spans="23:23" x14ac:dyDescent="0.25">
      <c r="W5115" s="111"/>
    </row>
    <row r="5116" spans="23:23" x14ac:dyDescent="0.25">
      <c r="W5116" s="111"/>
    </row>
    <row r="5117" spans="23:23" x14ac:dyDescent="0.25">
      <c r="W5117" s="111"/>
    </row>
    <row r="5118" spans="23:23" x14ac:dyDescent="0.25">
      <c r="W5118" s="111"/>
    </row>
    <row r="5119" spans="23:23" x14ac:dyDescent="0.25">
      <c r="W5119" s="111"/>
    </row>
    <row r="5120" spans="23:23" x14ac:dyDescent="0.25">
      <c r="W5120" s="111"/>
    </row>
    <row r="5121" spans="23:23" x14ac:dyDescent="0.25">
      <c r="W5121" s="111"/>
    </row>
    <row r="5122" spans="23:23" x14ac:dyDescent="0.25">
      <c r="W5122" s="111"/>
    </row>
    <row r="5123" spans="23:23" x14ac:dyDescent="0.25">
      <c r="W5123" s="111"/>
    </row>
    <row r="5124" spans="23:23" x14ac:dyDescent="0.25">
      <c r="W5124" s="111"/>
    </row>
    <row r="5125" spans="23:23" x14ac:dyDescent="0.25">
      <c r="W5125" s="111"/>
    </row>
    <row r="5126" spans="23:23" x14ac:dyDescent="0.25">
      <c r="W5126" s="111"/>
    </row>
    <row r="5127" spans="23:23" x14ac:dyDescent="0.25">
      <c r="W5127" s="111"/>
    </row>
    <row r="5128" spans="23:23" x14ac:dyDescent="0.25">
      <c r="W5128" s="111"/>
    </row>
    <row r="5129" spans="23:23" x14ac:dyDescent="0.25">
      <c r="W5129" s="111"/>
    </row>
    <row r="5130" spans="23:23" x14ac:dyDescent="0.25">
      <c r="W5130" s="111"/>
    </row>
    <row r="5131" spans="23:23" x14ac:dyDescent="0.25">
      <c r="W5131" s="111"/>
    </row>
    <row r="5132" spans="23:23" x14ac:dyDescent="0.25">
      <c r="W5132" s="111"/>
    </row>
    <row r="5133" spans="23:23" x14ac:dyDescent="0.25">
      <c r="W5133" s="111"/>
    </row>
    <row r="5134" spans="23:23" x14ac:dyDescent="0.25">
      <c r="W5134" s="111"/>
    </row>
    <row r="5135" spans="23:23" x14ac:dyDescent="0.25">
      <c r="W5135" s="111"/>
    </row>
    <row r="5136" spans="23:23" x14ac:dyDescent="0.25">
      <c r="W5136" s="111"/>
    </row>
    <row r="5137" spans="23:23" x14ac:dyDescent="0.25">
      <c r="W5137" s="111"/>
    </row>
    <row r="5138" spans="23:23" x14ac:dyDescent="0.25">
      <c r="W5138" s="111"/>
    </row>
    <row r="5139" spans="23:23" x14ac:dyDescent="0.25">
      <c r="W5139" s="111"/>
    </row>
    <row r="5140" spans="23:23" x14ac:dyDescent="0.25">
      <c r="W5140" s="111"/>
    </row>
    <row r="5141" spans="23:23" x14ac:dyDescent="0.25">
      <c r="W5141" s="111"/>
    </row>
    <row r="5142" spans="23:23" x14ac:dyDescent="0.25">
      <c r="W5142" s="111"/>
    </row>
    <row r="5143" spans="23:23" x14ac:dyDescent="0.25">
      <c r="W5143" s="111"/>
    </row>
    <row r="5144" spans="23:23" x14ac:dyDescent="0.25">
      <c r="W5144" s="111"/>
    </row>
    <row r="5145" spans="23:23" x14ac:dyDescent="0.25">
      <c r="W5145" s="111"/>
    </row>
    <row r="5146" spans="23:23" x14ac:dyDescent="0.25">
      <c r="W5146" s="111"/>
    </row>
    <row r="5147" spans="23:23" x14ac:dyDescent="0.25">
      <c r="W5147" s="111"/>
    </row>
    <row r="5148" spans="23:23" x14ac:dyDescent="0.25">
      <c r="W5148" s="111"/>
    </row>
    <row r="5149" spans="23:23" x14ac:dyDescent="0.25">
      <c r="W5149" s="111"/>
    </row>
    <row r="5150" spans="23:23" x14ac:dyDescent="0.25">
      <c r="W5150" s="111"/>
    </row>
    <row r="5151" spans="23:23" x14ac:dyDescent="0.25">
      <c r="W5151" s="111"/>
    </row>
    <row r="5152" spans="23:23" x14ac:dyDescent="0.25">
      <c r="W5152" s="111"/>
    </row>
    <row r="5153" spans="23:23" x14ac:dyDescent="0.25">
      <c r="W5153" s="111"/>
    </row>
    <row r="5154" spans="23:23" x14ac:dyDescent="0.25">
      <c r="W5154" s="111"/>
    </row>
    <row r="5155" spans="23:23" x14ac:dyDescent="0.25">
      <c r="W5155" s="111"/>
    </row>
    <row r="5156" spans="23:23" x14ac:dyDescent="0.25">
      <c r="W5156" s="111"/>
    </row>
    <row r="5157" spans="23:23" x14ac:dyDescent="0.25">
      <c r="W5157" s="111"/>
    </row>
    <row r="5158" spans="23:23" x14ac:dyDescent="0.25">
      <c r="W5158" s="111"/>
    </row>
    <row r="5159" spans="23:23" x14ac:dyDescent="0.25">
      <c r="W5159" s="111"/>
    </row>
    <row r="5160" spans="23:23" x14ac:dyDescent="0.25">
      <c r="W5160" s="111"/>
    </row>
    <row r="5161" spans="23:23" x14ac:dyDescent="0.25">
      <c r="W5161" s="111"/>
    </row>
    <row r="5162" spans="23:23" x14ac:dyDescent="0.25">
      <c r="W5162" s="111"/>
    </row>
    <row r="5163" spans="23:23" x14ac:dyDescent="0.25">
      <c r="W5163" s="111"/>
    </row>
    <row r="5164" spans="23:23" x14ac:dyDescent="0.25">
      <c r="W5164" s="111"/>
    </row>
    <row r="5165" spans="23:23" x14ac:dyDescent="0.25">
      <c r="W5165" s="111"/>
    </row>
    <row r="5166" spans="23:23" x14ac:dyDescent="0.25">
      <c r="W5166" s="111"/>
    </row>
    <row r="5167" spans="23:23" x14ac:dyDescent="0.25">
      <c r="W5167" s="111"/>
    </row>
    <row r="5168" spans="23:23" x14ac:dyDescent="0.25">
      <c r="W5168" s="111"/>
    </row>
    <row r="5169" spans="23:23" x14ac:dyDescent="0.25">
      <c r="W5169" s="111"/>
    </row>
    <row r="5170" spans="23:23" x14ac:dyDescent="0.25">
      <c r="W5170" s="111"/>
    </row>
    <row r="5171" spans="23:23" x14ac:dyDescent="0.25">
      <c r="W5171" s="111"/>
    </row>
    <row r="5172" spans="23:23" x14ac:dyDescent="0.25">
      <c r="W5172" s="111"/>
    </row>
    <row r="5173" spans="23:23" x14ac:dyDescent="0.25">
      <c r="W5173" s="111"/>
    </row>
    <row r="5174" spans="23:23" x14ac:dyDescent="0.25">
      <c r="W5174" s="111"/>
    </row>
    <row r="5175" spans="23:23" x14ac:dyDescent="0.25">
      <c r="W5175" s="111"/>
    </row>
    <row r="5176" spans="23:23" x14ac:dyDescent="0.25">
      <c r="W5176" s="111"/>
    </row>
    <row r="5177" spans="23:23" x14ac:dyDescent="0.25">
      <c r="W5177" s="111"/>
    </row>
    <row r="5178" spans="23:23" x14ac:dyDescent="0.25">
      <c r="W5178" s="111"/>
    </row>
    <row r="5179" spans="23:23" x14ac:dyDescent="0.25">
      <c r="W5179" s="111"/>
    </row>
    <row r="5180" spans="23:23" x14ac:dyDescent="0.25">
      <c r="W5180" s="111"/>
    </row>
    <row r="5181" spans="23:23" x14ac:dyDescent="0.25">
      <c r="W5181" s="111"/>
    </row>
    <row r="5182" spans="23:23" x14ac:dyDescent="0.25">
      <c r="W5182" s="111"/>
    </row>
    <row r="5183" spans="23:23" x14ac:dyDescent="0.25">
      <c r="W5183" s="111"/>
    </row>
    <row r="5184" spans="23:23" x14ac:dyDescent="0.25">
      <c r="W5184" s="111"/>
    </row>
    <row r="5185" spans="23:23" x14ac:dyDescent="0.25">
      <c r="W5185" s="111"/>
    </row>
    <row r="5186" spans="23:23" x14ac:dyDescent="0.25">
      <c r="W5186" s="111"/>
    </row>
    <row r="5187" spans="23:23" x14ac:dyDescent="0.25">
      <c r="W5187" s="111"/>
    </row>
    <row r="5188" spans="23:23" x14ac:dyDescent="0.25">
      <c r="W5188" s="111"/>
    </row>
    <row r="5189" spans="23:23" x14ac:dyDescent="0.25">
      <c r="W5189" s="111"/>
    </row>
    <row r="5190" spans="23:23" x14ac:dyDescent="0.25">
      <c r="W5190" s="111"/>
    </row>
    <row r="5191" spans="23:23" x14ac:dyDescent="0.25">
      <c r="W5191" s="111"/>
    </row>
    <row r="5192" spans="23:23" x14ac:dyDescent="0.25">
      <c r="W5192" s="111"/>
    </row>
    <row r="5193" spans="23:23" x14ac:dyDescent="0.25">
      <c r="W5193" s="111"/>
    </row>
    <row r="5194" spans="23:23" x14ac:dyDescent="0.25">
      <c r="W5194" s="111"/>
    </row>
    <row r="5195" spans="23:23" x14ac:dyDescent="0.25">
      <c r="W5195" s="111"/>
    </row>
    <row r="5196" spans="23:23" x14ac:dyDescent="0.25">
      <c r="W5196" s="111"/>
    </row>
    <row r="5197" spans="23:23" x14ac:dyDescent="0.25">
      <c r="W5197" s="111"/>
    </row>
    <row r="5198" spans="23:23" x14ac:dyDescent="0.25">
      <c r="W5198" s="111"/>
    </row>
    <row r="5199" spans="23:23" x14ac:dyDescent="0.25">
      <c r="W5199" s="111"/>
    </row>
    <row r="5200" spans="23:23" x14ac:dyDescent="0.25">
      <c r="W5200" s="111"/>
    </row>
    <row r="5201" spans="23:23" x14ac:dyDescent="0.25">
      <c r="W5201" s="111"/>
    </row>
    <row r="5202" spans="23:23" x14ac:dyDescent="0.25">
      <c r="W5202" s="111"/>
    </row>
    <row r="5203" spans="23:23" x14ac:dyDescent="0.25">
      <c r="W5203" s="111"/>
    </row>
    <row r="5204" spans="23:23" x14ac:dyDescent="0.25">
      <c r="W5204" s="111"/>
    </row>
    <row r="5205" spans="23:23" x14ac:dyDescent="0.25">
      <c r="W5205" s="111"/>
    </row>
    <row r="5206" spans="23:23" x14ac:dyDescent="0.25">
      <c r="W5206" s="111"/>
    </row>
    <row r="5207" spans="23:23" x14ac:dyDescent="0.25">
      <c r="W5207" s="111"/>
    </row>
    <row r="5208" spans="23:23" x14ac:dyDescent="0.25">
      <c r="W5208" s="111"/>
    </row>
    <row r="5209" spans="23:23" x14ac:dyDescent="0.25">
      <c r="W5209" s="111"/>
    </row>
    <row r="5210" spans="23:23" x14ac:dyDescent="0.25">
      <c r="W5210" s="111"/>
    </row>
    <row r="5211" spans="23:23" x14ac:dyDescent="0.25">
      <c r="W5211" s="111"/>
    </row>
    <row r="5212" spans="23:23" x14ac:dyDescent="0.25">
      <c r="W5212" s="111"/>
    </row>
    <row r="5213" spans="23:23" x14ac:dyDescent="0.25">
      <c r="W5213" s="111"/>
    </row>
    <row r="5214" spans="23:23" x14ac:dyDescent="0.25">
      <c r="W5214" s="111"/>
    </row>
    <row r="5215" spans="23:23" x14ac:dyDescent="0.25">
      <c r="W5215" s="111"/>
    </row>
    <row r="5216" spans="23:23" x14ac:dyDescent="0.25">
      <c r="W5216" s="111"/>
    </row>
    <row r="5217" spans="23:23" x14ac:dyDescent="0.25">
      <c r="W5217" s="111"/>
    </row>
    <row r="5218" spans="23:23" x14ac:dyDescent="0.25">
      <c r="W5218" s="111"/>
    </row>
    <row r="5219" spans="23:23" x14ac:dyDescent="0.25">
      <c r="W5219" s="111"/>
    </row>
    <row r="5220" spans="23:23" x14ac:dyDescent="0.25">
      <c r="W5220" s="111"/>
    </row>
    <row r="5221" spans="23:23" x14ac:dyDescent="0.25">
      <c r="W5221" s="111"/>
    </row>
    <row r="5222" spans="23:23" x14ac:dyDescent="0.25">
      <c r="W5222" s="111"/>
    </row>
    <row r="5223" spans="23:23" x14ac:dyDescent="0.25">
      <c r="W5223" s="111"/>
    </row>
    <row r="5224" spans="23:23" x14ac:dyDescent="0.25">
      <c r="W5224" s="111"/>
    </row>
    <row r="5225" spans="23:23" x14ac:dyDescent="0.25">
      <c r="W5225" s="111"/>
    </row>
    <row r="5226" spans="23:23" x14ac:dyDescent="0.25">
      <c r="W5226" s="111"/>
    </row>
    <row r="5227" spans="23:23" x14ac:dyDescent="0.25">
      <c r="W5227" s="111"/>
    </row>
    <row r="5228" spans="23:23" x14ac:dyDescent="0.25">
      <c r="W5228" s="111"/>
    </row>
    <row r="5229" spans="23:23" x14ac:dyDescent="0.25">
      <c r="W5229" s="111"/>
    </row>
    <row r="5230" spans="23:23" x14ac:dyDescent="0.25">
      <c r="W5230" s="111"/>
    </row>
    <row r="5231" spans="23:23" x14ac:dyDescent="0.25">
      <c r="W5231" s="111"/>
    </row>
    <row r="5232" spans="23:23" x14ac:dyDescent="0.25">
      <c r="W5232" s="111"/>
    </row>
    <row r="5233" spans="23:23" x14ac:dyDescent="0.25">
      <c r="W5233" s="111"/>
    </row>
    <row r="5234" spans="23:23" x14ac:dyDescent="0.25">
      <c r="W5234" s="111"/>
    </row>
    <row r="5235" spans="23:23" x14ac:dyDescent="0.25">
      <c r="W5235" s="111"/>
    </row>
    <row r="5236" spans="23:23" x14ac:dyDescent="0.25">
      <c r="W5236" s="111"/>
    </row>
    <row r="5237" spans="23:23" x14ac:dyDescent="0.25">
      <c r="W5237" s="111"/>
    </row>
    <row r="5238" spans="23:23" x14ac:dyDescent="0.25">
      <c r="W5238" s="111"/>
    </row>
    <row r="5239" spans="23:23" x14ac:dyDescent="0.25">
      <c r="W5239" s="111"/>
    </row>
    <row r="5240" spans="23:23" x14ac:dyDescent="0.25">
      <c r="W5240" s="111"/>
    </row>
    <row r="5241" spans="23:23" x14ac:dyDescent="0.25">
      <c r="W5241" s="111"/>
    </row>
    <row r="5242" spans="23:23" x14ac:dyDescent="0.25">
      <c r="W5242" s="111"/>
    </row>
    <row r="5243" spans="23:23" x14ac:dyDescent="0.25">
      <c r="W5243" s="111"/>
    </row>
    <row r="5244" spans="23:23" x14ac:dyDescent="0.25">
      <c r="W5244" s="111"/>
    </row>
    <row r="5245" spans="23:23" x14ac:dyDescent="0.25">
      <c r="W5245" s="111"/>
    </row>
    <row r="5246" spans="23:23" x14ac:dyDescent="0.25">
      <c r="W5246" s="111"/>
    </row>
    <row r="5247" spans="23:23" x14ac:dyDescent="0.25">
      <c r="W5247" s="111"/>
    </row>
    <row r="5248" spans="23:23" x14ac:dyDescent="0.25">
      <c r="W5248" s="111"/>
    </row>
    <row r="5249" spans="23:23" x14ac:dyDescent="0.25">
      <c r="W5249" s="111"/>
    </row>
    <row r="5250" spans="23:23" x14ac:dyDescent="0.25">
      <c r="W5250" s="111"/>
    </row>
    <row r="5251" spans="23:23" x14ac:dyDescent="0.25">
      <c r="W5251" s="111"/>
    </row>
    <row r="5252" spans="23:23" x14ac:dyDescent="0.25">
      <c r="W5252" s="111"/>
    </row>
    <row r="5253" spans="23:23" x14ac:dyDescent="0.25">
      <c r="W5253" s="111"/>
    </row>
    <row r="5254" spans="23:23" x14ac:dyDescent="0.25">
      <c r="W5254" s="111"/>
    </row>
    <row r="5255" spans="23:23" x14ac:dyDescent="0.25">
      <c r="W5255" s="111"/>
    </row>
    <row r="5256" spans="23:23" x14ac:dyDescent="0.25">
      <c r="W5256" s="111"/>
    </row>
    <row r="5257" spans="23:23" x14ac:dyDescent="0.25">
      <c r="W5257" s="111"/>
    </row>
    <row r="5258" spans="23:23" x14ac:dyDescent="0.25">
      <c r="W5258" s="111"/>
    </row>
    <row r="5259" spans="23:23" x14ac:dyDescent="0.25">
      <c r="W5259" s="111"/>
    </row>
    <row r="5260" spans="23:23" x14ac:dyDescent="0.25">
      <c r="W5260" s="111"/>
    </row>
    <row r="5261" spans="23:23" x14ac:dyDescent="0.25">
      <c r="W5261" s="111"/>
    </row>
    <row r="5262" spans="23:23" x14ac:dyDescent="0.25">
      <c r="W5262" s="111"/>
    </row>
    <row r="5263" spans="23:23" x14ac:dyDescent="0.25">
      <c r="W5263" s="111"/>
    </row>
    <row r="5264" spans="23:23" x14ac:dyDescent="0.25">
      <c r="W5264" s="111"/>
    </row>
    <row r="5265" spans="23:23" x14ac:dyDescent="0.25">
      <c r="W5265" s="111"/>
    </row>
    <row r="5266" spans="23:23" x14ac:dyDescent="0.25">
      <c r="W5266" s="111"/>
    </row>
    <row r="5267" spans="23:23" x14ac:dyDescent="0.25">
      <c r="W5267" s="111"/>
    </row>
    <row r="5268" spans="23:23" x14ac:dyDescent="0.25">
      <c r="W5268" s="111"/>
    </row>
    <row r="5269" spans="23:23" x14ac:dyDescent="0.25">
      <c r="W5269" s="111"/>
    </row>
    <row r="5270" spans="23:23" x14ac:dyDescent="0.25">
      <c r="W5270" s="111"/>
    </row>
    <row r="5271" spans="23:23" x14ac:dyDescent="0.25">
      <c r="W5271" s="111"/>
    </row>
    <row r="5272" spans="23:23" x14ac:dyDescent="0.25">
      <c r="W5272" s="111"/>
    </row>
    <row r="5273" spans="23:23" x14ac:dyDescent="0.25">
      <c r="W5273" s="111"/>
    </row>
    <row r="5274" spans="23:23" x14ac:dyDescent="0.25">
      <c r="W5274" s="111"/>
    </row>
    <row r="5275" spans="23:23" x14ac:dyDescent="0.25">
      <c r="W5275" s="111"/>
    </row>
    <row r="5276" spans="23:23" x14ac:dyDescent="0.25">
      <c r="W5276" s="111"/>
    </row>
    <row r="5277" spans="23:23" x14ac:dyDescent="0.25">
      <c r="W5277" s="111"/>
    </row>
    <row r="5278" spans="23:23" x14ac:dyDescent="0.25">
      <c r="W5278" s="111"/>
    </row>
    <row r="5279" spans="23:23" x14ac:dyDescent="0.25">
      <c r="W5279" s="111"/>
    </row>
    <row r="5280" spans="23:23" x14ac:dyDescent="0.25">
      <c r="W5280" s="111"/>
    </row>
    <row r="5281" spans="23:23" x14ac:dyDescent="0.25">
      <c r="W5281" s="111"/>
    </row>
    <row r="5282" spans="23:23" x14ac:dyDescent="0.25">
      <c r="W5282" s="111"/>
    </row>
    <row r="5283" spans="23:23" x14ac:dyDescent="0.25">
      <c r="W5283" s="111"/>
    </row>
    <row r="5284" spans="23:23" x14ac:dyDescent="0.25">
      <c r="W5284" s="111"/>
    </row>
    <row r="5285" spans="23:23" x14ac:dyDescent="0.25">
      <c r="W5285" s="111"/>
    </row>
    <row r="5286" spans="23:23" x14ac:dyDescent="0.25">
      <c r="W5286" s="111"/>
    </row>
    <row r="5287" spans="23:23" x14ac:dyDescent="0.25">
      <c r="W5287" s="111"/>
    </row>
    <row r="5288" spans="23:23" x14ac:dyDescent="0.25">
      <c r="W5288" s="111"/>
    </row>
    <row r="5289" spans="23:23" x14ac:dyDescent="0.25">
      <c r="W5289" s="111"/>
    </row>
    <row r="5290" spans="23:23" x14ac:dyDescent="0.25">
      <c r="W5290" s="111"/>
    </row>
    <row r="5291" spans="23:23" x14ac:dyDescent="0.25">
      <c r="W5291" s="111"/>
    </row>
    <row r="5292" spans="23:23" x14ac:dyDescent="0.25">
      <c r="W5292" s="111"/>
    </row>
    <row r="5293" spans="23:23" x14ac:dyDescent="0.25">
      <c r="W5293" s="111"/>
    </row>
    <row r="5294" spans="23:23" x14ac:dyDescent="0.25">
      <c r="W5294" s="111"/>
    </row>
    <row r="5295" spans="23:23" x14ac:dyDescent="0.25">
      <c r="W5295" s="111"/>
    </row>
    <row r="5296" spans="23:23" x14ac:dyDescent="0.25">
      <c r="W5296" s="111"/>
    </row>
    <row r="5297" spans="23:23" x14ac:dyDescent="0.25">
      <c r="W5297" s="111"/>
    </row>
    <row r="5298" spans="23:23" x14ac:dyDescent="0.25">
      <c r="W5298" s="111"/>
    </row>
    <row r="5299" spans="23:23" x14ac:dyDescent="0.25">
      <c r="W5299" s="111"/>
    </row>
    <row r="5300" spans="23:23" x14ac:dyDescent="0.25">
      <c r="W5300" s="111"/>
    </row>
    <row r="5301" spans="23:23" x14ac:dyDescent="0.25">
      <c r="W5301" s="111"/>
    </row>
    <row r="5302" spans="23:23" x14ac:dyDescent="0.25">
      <c r="W5302" s="111"/>
    </row>
    <row r="5303" spans="23:23" x14ac:dyDescent="0.25">
      <c r="W5303" s="111"/>
    </row>
    <row r="5304" spans="23:23" x14ac:dyDescent="0.25">
      <c r="W5304" s="111"/>
    </row>
    <row r="5305" spans="23:23" x14ac:dyDescent="0.25">
      <c r="W5305" s="111"/>
    </row>
    <row r="5306" spans="23:23" x14ac:dyDescent="0.25">
      <c r="W5306" s="111"/>
    </row>
    <row r="5307" spans="23:23" x14ac:dyDescent="0.25">
      <c r="W5307" s="111"/>
    </row>
    <row r="5308" spans="23:23" x14ac:dyDescent="0.25">
      <c r="W5308" s="111"/>
    </row>
    <row r="5309" spans="23:23" x14ac:dyDescent="0.25">
      <c r="W5309" s="111"/>
    </row>
    <row r="5310" spans="23:23" x14ac:dyDescent="0.25">
      <c r="W5310" s="111"/>
    </row>
    <row r="5311" spans="23:23" x14ac:dyDescent="0.25">
      <c r="W5311" s="111"/>
    </row>
    <row r="5312" spans="23:23" x14ac:dyDescent="0.25">
      <c r="W5312" s="111"/>
    </row>
    <row r="5313" spans="23:23" x14ac:dyDescent="0.25">
      <c r="W5313" s="111"/>
    </row>
    <row r="5314" spans="23:23" x14ac:dyDescent="0.25">
      <c r="W5314" s="111"/>
    </row>
    <row r="5315" spans="23:23" x14ac:dyDescent="0.25">
      <c r="W5315" s="111"/>
    </row>
    <row r="5316" spans="23:23" x14ac:dyDescent="0.25">
      <c r="W5316" s="111"/>
    </row>
    <row r="5317" spans="23:23" x14ac:dyDescent="0.25">
      <c r="W5317" s="111"/>
    </row>
    <row r="5318" spans="23:23" x14ac:dyDescent="0.25">
      <c r="W5318" s="111"/>
    </row>
    <row r="5319" spans="23:23" x14ac:dyDescent="0.25">
      <c r="W5319" s="111"/>
    </row>
    <row r="5320" spans="23:23" x14ac:dyDescent="0.25">
      <c r="W5320" s="111"/>
    </row>
    <row r="5321" spans="23:23" x14ac:dyDescent="0.25">
      <c r="W5321" s="111"/>
    </row>
    <row r="5322" spans="23:23" x14ac:dyDescent="0.25">
      <c r="W5322" s="111"/>
    </row>
    <row r="5323" spans="23:23" x14ac:dyDescent="0.25">
      <c r="W5323" s="111"/>
    </row>
    <row r="5324" spans="23:23" x14ac:dyDescent="0.25">
      <c r="W5324" s="111"/>
    </row>
    <row r="5325" spans="23:23" x14ac:dyDescent="0.25">
      <c r="W5325" s="111"/>
    </row>
    <row r="5326" spans="23:23" x14ac:dyDescent="0.25">
      <c r="W5326" s="111"/>
    </row>
    <row r="5327" spans="23:23" x14ac:dyDescent="0.25">
      <c r="W5327" s="111"/>
    </row>
    <row r="5328" spans="23:23" x14ac:dyDescent="0.25">
      <c r="W5328" s="111"/>
    </row>
    <row r="5329" spans="23:23" x14ac:dyDescent="0.25">
      <c r="W5329" s="111"/>
    </row>
    <row r="5330" spans="23:23" x14ac:dyDescent="0.25">
      <c r="W5330" s="111"/>
    </row>
    <row r="5331" spans="23:23" x14ac:dyDescent="0.25">
      <c r="W5331" s="111"/>
    </row>
    <row r="5332" spans="23:23" x14ac:dyDescent="0.25">
      <c r="W5332" s="111"/>
    </row>
    <row r="5333" spans="23:23" x14ac:dyDescent="0.25">
      <c r="W5333" s="111"/>
    </row>
    <row r="5334" spans="23:23" x14ac:dyDescent="0.25">
      <c r="W5334" s="111"/>
    </row>
    <row r="5335" spans="23:23" x14ac:dyDescent="0.25">
      <c r="W5335" s="111"/>
    </row>
    <row r="5336" spans="23:23" x14ac:dyDescent="0.25">
      <c r="W5336" s="111"/>
    </row>
    <row r="5337" spans="23:23" x14ac:dyDescent="0.25">
      <c r="W5337" s="111"/>
    </row>
    <row r="5338" spans="23:23" x14ac:dyDescent="0.25">
      <c r="W5338" s="111"/>
    </row>
    <row r="5339" spans="23:23" x14ac:dyDescent="0.25">
      <c r="W5339" s="111"/>
    </row>
    <row r="5340" spans="23:23" x14ac:dyDescent="0.25">
      <c r="W5340" s="111"/>
    </row>
    <row r="5341" spans="23:23" x14ac:dyDescent="0.25">
      <c r="W5341" s="111"/>
    </row>
    <row r="5342" spans="23:23" x14ac:dyDescent="0.25">
      <c r="W5342" s="111"/>
    </row>
    <row r="5343" spans="23:23" x14ac:dyDescent="0.25">
      <c r="W5343" s="111"/>
    </row>
    <row r="5344" spans="23:23" x14ac:dyDescent="0.25">
      <c r="W5344" s="111"/>
    </row>
    <row r="5345" spans="23:23" x14ac:dyDescent="0.25">
      <c r="W5345" s="111"/>
    </row>
    <row r="5346" spans="23:23" x14ac:dyDescent="0.25">
      <c r="W5346" s="111"/>
    </row>
    <row r="5347" spans="23:23" x14ac:dyDescent="0.25">
      <c r="W5347" s="111"/>
    </row>
    <row r="5348" spans="23:23" x14ac:dyDescent="0.25">
      <c r="W5348" s="111"/>
    </row>
    <row r="5349" spans="23:23" x14ac:dyDescent="0.25">
      <c r="W5349" s="111"/>
    </row>
    <row r="5350" spans="23:23" x14ac:dyDescent="0.25">
      <c r="W5350" s="111"/>
    </row>
    <row r="5351" spans="23:23" x14ac:dyDescent="0.25">
      <c r="W5351" s="111"/>
    </row>
    <row r="5352" spans="23:23" x14ac:dyDescent="0.25">
      <c r="W5352" s="111"/>
    </row>
    <row r="5353" spans="23:23" x14ac:dyDescent="0.25">
      <c r="W5353" s="111"/>
    </row>
    <row r="5354" spans="23:23" x14ac:dyDescent="0.25">
      <c r="W5354" s="111"/>
    </row>
    <row r="5355" spans="23:23" x14ac:dyDescent="0.25">
      <c r="W5355" s="111"/>
    </row>
    <row r="5356" spans="23:23" x14ac:dyDescent="0.25">
      <c r="W5356" s="111"/>
    </row>
    <row r="5357" spans="23:23" x14ac:dyDescent="0.25">
      <c r="W5357" s="111"/>
    </row>
    <row r="5358" spans="23:23" x14ac:dyDescent="0.25">
      <c r="W5358" s="111"/>
    </row>
    <row r="5359" spans="23:23" x14ac:dyDescent="0.25">
      <c r="W5359" s="111"/>
    </row>
    <row r="5360" spans="23:23" x14ac:dyDescent="0.25">
      <c r="W5360" s="111"/>
    </row>
    <row r="5361" spans="23:23" x14ac:dyDescent="0.25">
      <c r="W5361" s="111"/>
    </row>
    <row r="5362" spans="23:23" x14ac:dyDescent="0.25">
      <c r="W5362" s="111"/>
    </row>
    <row r="5363" spans="23:23" x14ac:dyDescent="0.25">
      <c r="W5363" s="111"/>
    </row>
    <row r="5364" spans="23:23" x14ac:dyDescent="0.25">
      <c r="W5364" s="111"/>
    </row>
    <row r="5365" spans="23:23" x14ac:dyDescent="0.25">
      <c r="W5365" s="111"/>
    </row>
    <row r="5366" spans="23:23" x14ac:dyDescent="0.25">
      <c r="W5366" s="111"/>
    </row>
    <row r="5367" spans="23:23" x14ac:dyDescent="0.25">
      <c r="W5367" s="111"/>
    </row>
    <row r="5368" spans="23:23" x14ac:dyDescent="0.25">
      <c r="W5368" s="111"/>
    </row>
    <row r="5369" spans="23:23" x14ac:dyDescent="0.25">
      <c r="W5369" s="111"/>
    </row>
    <row r="5370" spans="23:23" x14ac:dyDescent="0.25">
      <c r="W5370" s="111"/>
    </row>
    <row r="5371" spans="23:23" x14ac:dyDescent="0.25">
      <c r="W5371" s="111"/>
    </row>
    <row r="5372" spans="23:23" x14ac:dyDescent="0.25">
      <c r="W5372" s="111"/>
    </row>
    <row r="5373" spans="23:23" x14ac:dyDescent="0.25">
      <c r="W5373" s="111"/>
    </row>
    <row r="5374" spans="23:23" x14ac:dyDescent="0.25">
      <c r="W5374" s="111"/>
    </row>
    <row r="5375" spans="23:23" x14ac:dyDescent="0.25">
      <c r="W5375" s="111"/>
    </row>
    <row r="5376" spans="23:23" x14ac:dyDescent="0.25">
      <c r="W5376" s="111"/>
    </row>
    <row r="5377" spans="23:23" x14ac:dyDescent="0.25">
      <c r="W5377" s="111"/>
    </row>
    <row r="5378" spans="23:23" x14ac:dyDescent="0.25">
      <c r="W5378" s="111"/>
    </row>
    <row r="5379" spans="23:23" x14ac:dyDescent="0.25">
      <c r="W5379" s="111"/>
    </row>
    <row r="5380" spans="23:23" x14ac:dyDescent="0.25">
      <c r="W5380" s="111"/>
    </row>
    <row r="5381" spans="23:23" x14ac:dyDescent="0.25">
      <c r="W5381" s="111"/>
    </row>
    <row r="5382" spans="23:23" x14ac:dyDescent="0.25">
      <c r="W5382" s="111"/>
    </row>
    <row r="5383" spans="23:23" x14ac:dyDescent="0.25">
      <c r="W5383" s="111"/>
    </row>
    <row r="5384" spans="23:23" x14ac:dyDescent="0.25">
      <c r="W5384" s="111"/>
    </row>
    <row r="5385" spans="23:23" x14ac:dyDescent="0.25">
      <c r="W5385" s="111"/>
    </row>
    <row r="5386" spans="23:23" x14ac:dyDescent="0.25">
      <c r="W5386" s="111"/>
    </row>
    <row r="5387" spans="23:23" x14ac:dyDescent="0.25">
      <c r="W5387" s="111"/>
    </row>
    <row r="5388" spans="23:23" x14ac:dyDescent="0.25">
      <c r="W5388" s="111"/>
    </row>
    <row r="5389" spans="23:23" x14ac:dyDescent="0.25">
      <c r="W5389" s="111"/>
    </row>
    <row r="5390" spans="23:23" x14ac:dyDescent="0.25">
      <c r="W5390" s="111"/>
    </row>
    <row r="5391" spans="23:23" x14ac:dyDescent="0.25">
      <c r="W5391" s="111"/>
    </row>
    <row r="5392" spans="23:23" x14ac:dyDescent="0.25">
      <c r="W5392" s="111"/>
    </row>
    <row r="5393" spans="23:23" x14ac:dyDescent="0.25">
      <c r="W5393" s="111"/>
    </row>
    <row r="5394" spans="23:23" x14ac:dyDescent="0.25">
      <c r="W5394" s="111"/>
    </row>
    <row r="5395" spans="23:23" x14ac:dyDescent="0.25">
      <c r="W5395" s="111"/>
    </row>
    <row r="5396" spans="23:23" x14ac:dyDescent="0.25">
      <c r="W5396" s="111"/>
    </row>
    <row r="5397" spans="23:23" x14ac:dyDescent="0.25">
      <c r="W5397" s="111"/>
    </row>
    <row r="5398" spans="23:23" x14ac:dyDescent="0.25">
      <c r="W5398" s="111"/>
    </row>
    <row r="5399" spans="23:23" x14ac:dyDescent="0.25">
      <c r="W5399" s="111"/>
    </row>
    <row r="5400" spans="23:23" x14ac:dyDescent="0.25">
      <c r="W5400" s="111"/>
    </row>
    <row r="5401" spans="23:23" x14ac:dyDescent="0.25">
      <c r="W5401" s="111"/>
    </row>
    <row r="5402" spans="23:23" x14ac:dyDescent="0.25">
      <c r="W5402" s="111"/>
    </row>
    <row r="5403" spans="23:23" x14ac:dyDescent="0.25">
      <c r="W5403" s="111"/>
    </row>
    <row r="5404" spans="23:23" x14ac:dyDescent="0.25">
      <c r="W5404" s="111"/>
    </row>
    <row r="5405" spans="23:23" x14ac:dyDescent="0.25">
      <c r="W5405" s="111"/>
    </row>
    <row r="5406" spans="23:23" x14ac:dyDescent="0.25">
      <c r="W5406" s="111"/>
    </row>
    <row r="5407" spans="23:23" x14ac:dyDescent="0.25">
      <c r="W5407" s="111"/>
    </row>
    <row r="5408" spans="23:23" x14ac:dyDescent="0.25">
      <c r="W5408" s="111"/>
    </row>
    <row r="5409" spans="23:23" x14ac:dyDescent="0.25">
      <c r="W5409" s="111"/>
    </row>
    <row r="5410" spans="23:23" x14ac:dyDescent="0.25">
      <c r="W5410" s="111"/>
    </row>
    <row r="5411" spans="23:23" x14ac:dyDescent="0.25">
      <c r="W5411" s="111"/>
    </row>
    <row r="5412" spans="23:23" x14ac:dyDescent="0.25">
      <c r="W5412" s="111"/>
    </row>
    <row r="5413" spans="23:23" x14ac:dyDescent="0.25">
      <c r="W5413" s="111"/>
    </row>
    <row r="5414" spans="23:23" x14ac:dyDescent="0.25">
      <c r="W5414" s="111"/>
    </row>
    <row r="5415" spans="23:23" x14ac:dyDescent="0.25">
      <c r="W5415" s="111"/>
    </row>
    <row r="5416" spans="23:23" x14ac:dyDescent="0.25">
      <c r="W5416" s="111"/>
    </row>
    <row r="5417" spans="23:23" x14ac:dyDescent="0.25">
      <c r="W5417" s="111"/>
    </row>
    <row r="5418" spans="23:23" x14ac:dyDescent="0.25">
      <c r="W5418" s="111"/>
    </row>
    <row r="5419" spans="23:23" x14ac:dyDescent="0.25">
      <c r="W5419" s="111"/>
    </row>
    <row r="5420" spans="23:23" x14ac:dyDescent="0.25">
      <c r="W5420" s="111"/>
    </row>
    <row r="5421" spans="23:23" x14ac:dyDescent="0.25">
      <c r="W5421" s="111"/>
    </row>
    <row r="5422" spans="23:23" x14ac:dyDescent="0.25">
      <c r="W5422" s="111"/>
    </row>
    <row r="5423" spans="23:23" x14ac:dyDescent="0.25">
      <c r="W5423" s="111"/>
    </row>
    <row r="5424" spans="23:23" x14ac:dyDescent="0.25">
      <c r="W5424" s="111"/>
    </row>
    <row r="5425" spans="23:23" x14ac:dyDescent="0.25">
      <c r="W5425" s="111"/>
    </row>
    <row r="5426" spans="23:23" x14ac:dyDescent="0.25">
      <c r="W5426" s="111"/>
    </row>
    <row r="5427" spans="23:23" x14ac:dyDescent="0.25">
      <c r="W5427" s="111"/>
    </row>
    <row r="5428" spans="23:23" x14ac:dyDescent="0.25">
      <c r="W5428" s="111"/>
    </row>
    <row r="5429" spans="23:23" x14ac:dyDescent="0.25">
      <c r="W5429" s="111"/>
    </row>
    <row r="5430" spans="23:23" x14ac:dyDescent="0.25">
      <c r="W5430" s="111"/>
    </row>
    <row r="5431" spans="23:23" x14ac:dyDescent="0.25">
      <c r="W5431" s="111"/>
    </row>
    <row r="5432" spans="23:23" x14ac:dyDescent="0.25">
      <c r="W5432" s="111"/>
    </row>
    <row r="5433" spans="23:23" x14ac:dyDescent="0.25">
      <c r="W5433" s="111"/>
    </row>
    <row r="5434" spans="23:23" x14ac:dyDescent="0.25">
      <c r="W5434" s="111"/>
    </row>
    <row r="5435" spans="23:23" x14ac:dyDescent="0.25">
      <c r="W5435" s="111"/>
    </row>
    <row r="5436" spans="23:23" x14ac:dyDescent="0.25">
      <c r="W5436" s="111"/>
    </row>
    <row r="5437" spans="23:23" x14ac:dyDescent="0.25">
      <c r="W5437" s="111"/>
    </row>
    <row r="5438" spans="23:23" x14ac:dyDescent="0.25">
      <c r="W5438" s="111"/>
    </row>
    <row r="5439" spans="23:23" x14ac:dyDescent="0.25">
      <c r="W5439" s="111"/>
    </row>
    <row r="5440" spans="23:23" x14ac:dyDescent="0.25">
      <c r="W5440" s="111"/>
    </row>
    <row r="5441" spans="23:23" x14ac:dyDescent="0.25">
      <c r="W5441" s="111"/>
    </row>
    <row r="5442" spans="23:23" x14ac:dyDescent="0.25">
      <c r="W5442" s="111"/>
    </row>
    <row r="5443" spans="23:23" x14ac:dyDescent="0.25">
      <c r="W5443" s="111"/>
    </row>
    <row r="5444" spans="23:23" x14ac:dyDescent="0.25">
      <c r="W5444" s="111"/>
    </row>
    <row r="5445" spans="23:23" x14ac:dyDescent="0.25">
      <c r="W5445" s="111"/>
    </row>
    <row r="5446" spans="23:23" x14ac:dyDescent="0.25">
      <c r="W5446" s="111"/>
    </row>
    <row r="5447" spans="23:23" x14ac:dyDescent="0.25">
      <c r="W5447" s="111"/>
    </row>
    <row r="5448" spans="23:23" x14ac:dyDescent="0.25">
      <c r="W5448" s="111"/>
    </row>
    <row r="5449" spans="23:23" x14ac:dyDescent="0.25">
      <c r="W5449" s="111"/>
    </row>
    <row r="5450" spans="23:23" x14ac:dyDescent="0.25">
      <c r="W5450" s="111"/>
    </row>
    <row r="5451" spans="23:23" x14ac:dyDescent="0.25">
      <c r="W5451" s="111"/>
    </row>
    <row r="5452" spans="23:23" x14ac:dyDescent="0.25">
      <c r="W5452" s="111"/>
    </row>
    <row r="5453" spans="23:23" x14ac:dyDescent="0.25">
      <c r="W5453" s="111"/>
    </row>
    <row r="5454" spans="23:23" x14ac:dyDescent="0.25">
      <c r="W5454" s="111"/>
    </row>
    <row r="5455" spans="23:23" x14ac:dyDescent="0.25">
      <c r="W5455" s="111"/>
    </row>
    <row r="5456" spans="23:23" x14ac:dyDescent="0.25">
      <c r="W5456" s="111"/>
    </row>
    <row r="5457" spans="23:23" x14ac:dyDescent="0.25">
      <c r="W5457" s="111"/>
    </row>
    <row r="5458" spans="23:23" x14ac:dyDescent="0.25">
      <c r="W5458" s="111"/>
    </row>
    <row r="5459" spans="23:23" x14ac:dyDescent="0.25">
      <c r="W5459" s="111"/>
    </row>
    <row r="5460" spans="23:23" x14ac:dyDescent="0.25">
      <c r="W5460" s="111"/>
    </row>
    <row r="5461" spans="23:23" x14ac:dyDescent="0.25">
      <c r="W5461" s="111"/>
    </row>
    <row r="5462" spans="23:23" x14ac:dyDescent="0.25">
      <c r="W5462" s="111"/>
    </row>
    <row r="5463" spans="23:23" x14ac:dyDescent="0.25">
      <c r="W5463" s="111"/>
    </row>
    <row r="5464" spans="23:23" x14ac:dyDescent="0.25">
      <c r="W5464" s="111"/>
    </row>
    <row r="5465" spans="23:23" x14ac:dyDescent="0.25">
      <c r="W5465" s="111"/>
    </row>
    <row r="5466" spans="23:23" x14ac:dyDescent="0.25">
      <c r="W5466" s="111"/>
    </row>
    <row r="5467" spans="23:23" x14ac:dyDescent="0.25">
      <c r="W5467" s="111"/>
    </row>
    <row r="5468" spans="23:23" x14ac:dyDescent="0.25">
      <c r="W5468" s="111"/>
    </row>
    <row r="5469" spans="23:23" x14ac:dyDescent="0.25">
      <c r="W5469" s="111"/>
    </row>
    <row r="5470" spans="23:23" x14ac:dyDescent="0.25">
      <c r="W5470" s="111"/>
    </row>
    <row r="5471" spans="23:23" x14ac:dyDescent="0.25">
      <c r="W5471" s="111"/>
    </row>
    <row r="5472" spans="23:23" x14ac:dyDescent="0.25">
      <c r="W5472" s="111"/>
    </row>
    <row r="5473" spans="23:23" x14ac:dyDescent="0.25">
      <c r="W5473" s="111"/>
    </row>
    <row r="5474" spans="23:23" x14ac:dyDescent="0.25">
      <c r="W5474" s="111"/>
    </row>
    <row r="5475" spans="23:23" x14ac:dyDescent="0.25">
      <c r="W5475" s="111"/>
    </row>
    <row r="5476" spans="23:23" x14ac:dyDescent="0.25">
      <c r="W5476" s="111"/>
    </row>
    <row r="5477" spans="23:23" x14ac:dyDescent="0.25">
      <c r="W5477" s="111"/>
    </row>
    <row r="5478" spans="23:23" x14ac:dyDescent="0.25">
      <c r="W5478" s="111"/>
    </row>
    <row r="5479" spans="23:23" x14ac:dyDescent="0.25">
      <c r="W5479" s="111"/>
    </row>
    <row r="5480" spans="23:23" x14ac:dyDescent="0.25">
      <c r="W5480" s="111"/>
    </row>
    <row r="5481" spans="23:23" x14ac:dyDescent="0.25">
      <c r="W5481" s="111"/>
    </row>
    <row r="5482" spans="23:23" x14ac:dyDescent="0.25">
      <c r="W5482" s="111"/>
    </row>
    <row r="5483" spans="23:23" x14ac:dyDescent="0.25">
      <c r="W5483" s="111"/>
    </row>
    <row r="5484" spans="23:23" x14ac:dyDescent="0.25">
      <c r="W5484" s="111"/>
    </row>
    <row r="5485" spans="23:23" x14ac:dyDescent="0.25">
      <c r="W5485" s="111"/>
    </row>
    <row r="5486" spans="23:23" x14ac:dyDescent="0.25">
      <c r="W5486" s="111"/>
    </row>
    <row r="5487" spans="23:23" x14ac:dyDescent="0.25">
      <c r="W5487" s="111"/>
    </row>
    <row r="5488" spans="23:23" x14ac:dyDescent="0.25">
      <c r="W5488" s="111"/>
    </row>
    <row r="5489" spans="23:23" x14ac:dyDescent="0.25">
      <c r="W5489" s="111"/>
    </row>
    <row r="5490" spans="23:23" x14ac:dyDescent="0.25">
      <c r="W5490" s="111"/>
    </row>
    <row r="5491" spans="23:23" x14ac:dyDescent="0.25">
      <c r="W5491" s="111"/>
    </row>
    <row r="5492" spans="23:23" x14ac:dyDescent="0.25">
      <c r="W5492" s="111"/>
    </row>
    <row r="5493" spans="23:23" x14ac:dyDescent="0.25">
      <c r="W5493" s="111"/>
    </row>
    <row r="5494" spans="23:23" x14ac:dyDescent="0.25">
      <c r="W5494" s="111"/>
    </row>
    <row r="5495" spans="23:23" x14ac:dyDescent="0.25">
      <c r="W5495" s="111"/>
    </row>
    <row r="5496" spans="23:23" x14ac:dyDescent="0.25">
      <c r="W5496" s="111"/>
    </row>
    <row r="5497" spans="23:23" x14ac:dyDescent="0.25">
      <c r="W5497" s="111"/>
    </row>
    <row r="5498" spans="23:23" x14ac:dyDescent="0.25">
      <c r="W5498" s="111"/>
    </row>
    <row r="5499" spans="23:23" x14ac:dyDescent="0.25">
      <c r="W5499" s="111"/>
    </row>
    <row r="5500" spans="23:23" x14ac:dyDescent="0.25">
      <c r="W5500" s="111"/>
    </row>
    <row r="5501" spans="23:23" x14ac:dyDescent="0.25">
      <c r="W5501" s="111"/>
    </row>
    <row r="5502" spans="23:23" x14ac:dyDescent="0.25">
      <c r="W5502" s="111"/>
    </row>
    <row r="5503" spans="23:23" x14ac:dyDescent="0.25">
      <c r="W5503" s="111"/>
    </row>
    <row r="5504" spans="23:23" x14ac:dyDescent="0.25">
      <c r="W5504" s="111"/>
    </row>
    <row r="5505" spans="23:23" x14ac:dyDescent="0.25">
      <c r="W5505" s="111"/>
    </row>
    <row r="5506" spans="23:23" x14ac:dyDescent="0.25">
      <c r="W5506" s="111"/>
    </row>
    <row r="5507" spans="23:23" x14ac:dyDescent="0.25">
      <c r="W5507" s="111"/>
    </row>
    <row r="5508" spans="23:23" x14ac:dyDescent="0.25">
      <c r="W5508" s="111"/>
    </row>
    <row r="5509" spans="23:23" x14ac:dyDescent="0.25">
      <c r="W5509" s="111"/>
    </row>
    <row r="5510" spans="23:23" x14ac:dyDescent="0.25">
      <c r="W5510" s="111"/>
    </row>
    <row r="5511" spans="23:23" x14ac:dyDescent="0.25">
      <c r="W5511" s="111"/>
    </row>
    <row r="5512" spans="23:23" x14ac:dyDescent="0.25">
      <c r="W5512" s="111"/>
    </row>
    <row r="5513" spans="23:23" x14ac:dyDescent="0.25">
      <c r="W5513" s="111"/>
    </row>
    <row r="5514" spans="23:23" x14ac:dyDescent="0.25">
      <c r="W5514" s="111"/>
    </row>
    <row r="5515" spans="23:23" x14ac:dyDescent="0.25">
      <c r="W5515" s="111"/>
    </row>
    <row r="5516" spans="23:23" x14ac:dyDescent="0.25">
      <c r="W5516" s="111"/>
    </row>
    <row r="5517" spans="23:23" x14ac:dyDescent="0.25">
      <c r="W5517" s="111"/>
    </row>
    <row r="5518" spans="23:23" x14ac:dyDescent="0.25">
      <c r="W5518" s="111"/>
    </row>
    <row r="5519" spans="23:23" x14ac:dyDescent="0.25">
      <c r="W5519" s="111"/>
    </row>
    <row r="5520" spans="23:23" x14ac:dyDescent="0.25">
      <c r="W5520" s="111"/>
    </row>
    <row r="5521" spans="23:23" x14ac:dyDescent="0.25">
      <c r="W5521" s="111"/>
    </row>
    <row r="5522" spans="23:23" x14ac:dyDescent="0.25">
      <c r="W5522" s="111"/>
    </row>
    <row r="5523" spans="23:23" x14ac:dyDescent="0.25">
      <c r="W5523" s="111"/>
    </row>
    <row r="5524" spans="23:23" x14ac:dyDescent="0.25">
      <c r="W5524" s="111"/>
    </row>
    <row r="5525" spans="23:23" x14ac:dyDescent="0.25">
      <c r="W5525" s="111"/>
    </row>
    <row r="5526" spans="23:23" x14ac:dyDescent="0.25">
      <c r="W5526" s="111"/>
    </row>
    <row r="5527" spans="23:23" x14ac:dyDescent="0.25">
      <c r="W5527" s="111"/>
    </row>
    <row r="5528" spans="23:23" x14ac:dyDescent="0.25">
      <c r="W5528" s="111"/>
    </row>
    <row r="5529" spans="23:23" x14ac:dyDescent="0.25">
      <c r="W5529" s="111"/>
    </row>
    <row r="5530" spans="23:23" x14ac:dyDescent="0.25">
      <c r="W5530" s="111"/>
    </row>
    <row r="5531" spans="23:23" x14ac:dyDescent="0.25">
      <c r="W5531" s="111"/>
    </row>
    <row r="5532" spans="23:23" x14ac:dyDescent="0.25">
      <c r="W5532" s="111"/>
    </row>
    <row r="5533" spans="23:23" x14ac:dyDescent="0.25">
      <c r="W5533" s="111"/>
    </row>
    <row r="5534" spans="23:23" x14ac:dyDescent="0.25">
      <c r="W5534" s="111"/>
    </row>
    <row r="5535" spans="23:23" x14ac:dyDescent="0.25">
      <c r="W5535" s="111"/>
    </row>
    <row r="5536" spans="23:23" x14ac:dyDescent="0.25">
      <c r="W5536" s="111"/>
    </row>
    <row r="5537" spans="23:23" x14ac:dyDescent="0.25">
      <c r="W5537" s="111"/>
    </row>
    <row r="5538" spans="23:23" x14ac:dyDescent="0.25">
      <c r="W5538" s="111"/>
    </row>
    <row r="5539" spans="23:23" x14ac:dyDescent="0.25">
      <c r="W5539" s="111"/>
    </row>
    <row r="5540" spans="23:23" x14ac:dyDescent="0.25">
      <c r="W5540" s="111"/>
    </row>
    <row r="5541" spans="23:23" x14ac:dyDescent="0.25">
      <c r="W5541" s="111"/>
    </row>
    <row r="5542" spans="23:23" x14ac:dyDescent="0.25">
      <c r="W5542" s="111"/>
    </row>
    <row r="5543" spans="23:23" x14ac:dyDescent="0.25">
      <c r="W5543" s="111"/>
    </row>
    <row r="5544" spans="23:23" x14ac:dyDescent="0.25">
      <c r="W5544" s="111"/>
    </row>
    <row r="5545" spans="23:23" x14ac:dyDescent="0.25">
      <c r="W5545" s="111"/>
    </row>
    <row r="5546" spans="23:23" x14ac:dyDescent="0.25">
      <c r="W5546" s="111"/>
    </row>
    <row r="5547" spans="23:23" x14ac:dyDescent="0.25">
      <c r="W5547" s="111"/>
    </row>
    <row r="5548" spans="23:23" x14ac:dyDescent="0.25">
      <c r="W5548" s="111"/>
    </row>
    <row r="5549" spans="23:23" x14ac:dyDescent="0.25">
      <c r="W5549" s="111"/>
    </row>
    <row r="5550" spans="23:23" x14ac:dyDescent="0.25">
      <c r="W5550" s="111"/>
    </row>
    <row r="5551" spans="23:23" x14ac:dyDescent="0.25">
      <c r="W5551" s="111"/>
    </row>
    <row r="5552" spans="23:23" x14ac:dyDescent="0.25">
      <c r="W5552" s="111"/>
    </row>
    <row r="5553" spans="23:23" x14ac:dyDescent="0.25">
      <c r="W5553" s="111"/>
    </row>
    <row r="5554" spans="23:23" x14ac:dyDescent="0.25">
      <c r="W5554" s="111"/>
    </row>
    <row r="5555" spans="23:23" x14ac:dyDescent="0.25">
      <c r="W5555" s="111"/>
    </row>
    <row r="5556" spans="23:23" x14ac:dyDescent="0.25">
      <c r="W5556" s="111"/>
    </row>
    <row r="5557" spans="23:23" x14ac:dyDescent="0.25">
      <c r="W5557" s="111"/>
    </row>
    <row r="5558" spans="23:23" x14ac:dyDescent="0.25">
      <c r="W5558" s="111"/>
    </row>
    <row r="5559" spans="23:23" x14ac:dyDescent="0.25">
      <c r="W5559" s="111"/>
    </row>
    <row r="5560" spans="23:23" x14ac:dyDescent="0.25">
      <c r="W5560" s="111"/>
    </row>
    <row r="5561" spans="23:23" x14ac:dyDescent="0.25">
      <c r="W5561" s="111"/>
    </row>
    <row r="5562" spans="23:23" x14ac:dyDescent="0.25">
      <c r="W5562" s="111"/>
    </row>
    <row r="5563" spans="23:23" x14ac:dyDescent="0.25">
      <c r="W5563" s="111"/>
    </row>
    <row r="5564" spans="23:23" x14ac:dyDescent="0.25">
      <c r="W5564" s="111"/>
    </row>
    <row r="5565" spans="23:23" x14ac:dyDescent="0.25">
      <c r="W5565" s="111"/>
    </row>
    <row r="5566" spans="23:23" x14ac:dyDescent="0.25">
      <c r="W5566" s="111"/>
    </row>
    <row r="5567" spans="23:23" x14ac:dyDescent="0.25">
      <c r="W5567" s="111"/>
    </row>
    <row r="5568" spans="23:23" x14ac:dyDescent="0.25">
      <c r="W5568" s="111"/>
    </row>
    <row r="5569" spans="23:23" x14ac:dyDescent="0.25">
      <c r="W5569" s="111"/>
    </row>
    <row r="5570" spans="23:23" x14ac:dyDescent="0.25">
      <c r="W5570" s="111"/>
    </row>
    <row r="5571" spans="23:23" x14ac:dyDescent="0.25">
      <c r="W5571" s="111"/>
    </row>
    <row r="5572" spans="23:23" x14ac:dyDescent="0.25">
      <c r="W5572" s="111"/>
    </row>
    <row r="5573" spans="23:23" x14ac:dyDescent="0.25">
      <c r="W5573" s="111"/>
    </row>
    <row r="5574" spans="23:23" x14ac:dyDescent="0.25">
      <c r="W5574" s="111"/>
    </row>
    <row r="5575" spans="23:23" x14ac:dyDescent="0.25">
      <c r="W5575" s="111"/>
    </row>
    <row r="5576" spans="23:23" x14ac:dyDescent="0.25">
      <c r="W5576" s="111"/>
    </row>
    <row r="5577" spans="23:23" x14ac:dyDescent="0.25">
      <c r="W5577" s="111"/>
    </row>
    <row r="5578" spans="23:23" x14ac:dyDescent="0.25">
      <c r="W5578" s="111"/>
    </row>
    <row r="5579" spans="23:23" x14ac:dyDescent="0.25">
      <c r="W5579" s="111"/>
    </row>
    <row r="5580" spans="23:23" x14ac:dyDescent="0.25">
      <c r="W5580" s="111"/>
    </row>
    <row r="5581" spans="23:23" x14ac:dyDescent="0.25">
      <c r="W5581" s="111"/>
    </row>
    <row r="5582" spans="23:23" x14ac:dyDescent="0.25">
      <c r="W5582" s="111"/>
    </row>
    <row r="5583" spans="23:23" x14ac:dyDescent="0.25">
      <c r="W5583" s="111"/>
    </row>
    <row r="5584" spans="23:23" x14ac:dyDescent="0.25">
      <c r="W5584" s="111"/>
    </row>
    <row r="5585" spans="23:23" x14ac:dyDescent="0.25">
      <c r="W5585" s="111"/>
    </row>
    <row r="5586" spans="23:23" x14ac:dyDescent="0.25">
      <c r="W5586" s="111"/>
    </row>
    <row r="5587" spans="23:23" x14ac:dyDescent="0.25">
      <c r="W5587" s="111"/>
    </row>
    <row r="5588" spans="23:23" x14ac:dyDescent="0.25">
      <c r="W5588" s="111"/>
    </row>
    <row r="5589" spans="23:23" x14ac:dyDescent="0.25">
      <c r="W5589" s="111"/>
    </row>
    <row r="5590" spans="23:23" x14ac:dyDescent="0.25">
      <c r="W5590" s="111"/>
    </row>
    <row r="5591" spans="23:23" x14ac:dyDescent="0.25">
      <c r="W5591" s="111"/>
    </row>
    <row r="5592" spans="23:23" x14ac:dyDescent="0.25">
      <c r="W5592" s="111"/>
    </row>
    <row r="5593" spans="23:23" x14ac:dyDescent="0.25">
      <c r="W5593" s="111"/>
    </row>
    <row r="5594" spans="23:23" x14ac:dyDescent="0.25">
      <c r="W5594" s="111"/>
    </row>
    <row r="5595" spans="23:23" x14ac:dyDescent="0.25">
      <c r="W5595" s="111"/>
    </row>
    <row r="5596" spans="23:23" x14ac:dyDescent="0.25">
      <c r="W5596" s="111"/>
    </row>
    <row r="5597" spans="23:23" x14ac:dyDescent="0.25">
      <c r="W5597" s="111"/>
    </row>
    <row r="5598" spans="23:23" x14ac:dyDescent="0.25">
      <c r="W5598" s="111"/>
    </row>
    <row r="5599" spans="23:23" x14ac:dyDescent="0.25">
      <c r="W5599" s="111"/>
    </row>
    <row r="5600" spans="23:23" x14ac:dyDescent="0.25">
      <c r="W5600" s="111"/>
    </row>
    <row r="5601" spans="23:23" x14ac:dyDescent="0.25">
      <c r="W5601" s="111"/>
    </row>
    <row r="5602" spans="23:23" x14ac:dyDescent="0.25">
      <c r="W5602" s="111"/>
    </row>
    <row r="5603" spans="23:23" x14ac:dyDescent="0.25">
      <c r="W5603" s="111"/>
    </row>
    <row r="5604" spans="23:23" x14ac:dyDescent="0.25">
      <c r="W5604" s="111"/>
    </row>
    <row r="5605" spans="23:23" x14ac:dyDescent="0.25">
      <c r="W5605" s="111"/>
    </row>
    <row r="5606" spans="23:23" x14ac:dyDescent="0.25">
      <c r="W5606" s="111"/>
    </row>
    <row r="5607" spans="23:23" x14ac:dyDescent="0.25">
      <c r="W5607" s="111"/>
    </row>
    <row r="5608" spans="23:23" x14ac:dyDescent="0.25">
      <c r="W5608" s="111"/>
    </row>
    <row r="5609" spans="23:23" x14ac:dyDescent="0.25">
      <c r="W5609" s="111"/>
    </row>
    <row r="5610" spans="23:23" x14ac:dyDescent="0.25">
      <c r="W5610" s="111"/>
    </row>
    <row r="5611" spans="23:23" x14ac:dyDescent="0.25">
      <c r="W5611" s="111"/>
    </row>
    <row r="5612" spans="23:23" x14ac:dyDescent="0.25">
      <c r="W5612" s="111"/>
    </row>
    <row r="5613" spans="23:23" x14ac:dyDescent="0.25">
      <c r="W5613" s="111"/>
    </row>
    <row r="5614" spans="23:23" x14ac:dyDescent="0.25">
      <c r="W5614" s="111"/>
    </row>
    <row r="5615" spans="23:23" x14ac:dyDescent="0.25">
      <c r="W5615" s="111"/>
    </row>
    <row r="5616" spans="23:23" x14ac:dyDescent="0.25">
      <c r="W5616" s="111"/>
    </row>
    <row r="5617" spans="23:23" x14ac:dyDescent="0.25">
      <c r="W5617" s="111"/>
    </row>
    <row r="5618" spans="23:23" x14ac:dyDescent="0.25">
      <c r="W5618" s="111"/>
    </row>
    <row r="5619" spans="23:23" x14ac:dyDescent="0.25">
      <c r="W5619" s="111"/>
    </row>
    <row r="5620" spans="23:23" x14ac:dyDescent="0.25">
      <c r="W5620" s="111"/>
    </row>
    <row r="5621" spans="23:23" x14ac:dyDescent="0.25">
      <c r="W5621" s="111"/>
    </row>
    <row r="5622" spans="23:23" x14ac:dyDescent="0.25">
      <c r="W5622" s="111"/>
    </row>
    <row r="5623" spans="23:23" x14ac:dyDescent="0.25">
      <c r="W5623" s="111"/>
    </row>
    <row r="5624" spans="23:23" x14ac:dyDescent="0.25">
      <c r="W5624" s="111"/>
    </row>
    <row r="5625" spans="23:23" x14ac:dyDescent="0.25">
      <c r="W5625" s="111"/>
    </row>
    <row r="5626" spans="23:23" x14ac:dyDescent="0.25">
      <c r="W5626" s="111"/>
    </row>
    <row r="5627" spans="23:23" x14ac:dyDescent="0.25">
      <c r="W5627" s="111"/>
    </row>
    <row r="5628" spans="23:23" x14ac:dyDescent="0.25">
      <c r="W5628" s="111"/>
    </row>
    <row r="5629" spans="23:23" x14ac:dyDescent="0.25">
      <c r="W5629" s="111"/>
    </row>
    <row r="5630" spans="23:23" x14ac:dyDescent="0.25">
      <c r="W5630" s="111"/>
    </row>
    <row r="5631" spans="23:23" x14ac:dyDescent="0.25">
      <c r="W5631" s="111"/>
    </row>
    <row r="5632" spans="23:23" x14ac:dyDescent="0.25">
      <c r="W5632" s="111"/>
    </row>
    <row r="5633" spans="23:23" x14ac:dyDescent="0.25">
      <c r="W5633" s="111"/>
    </row>
    <row r="5634" spans="23:23" x14ac:dyDescent="0.25">
      <c r="W5634" s="111"/>
    </row>
    <row r="5635" spans="23:23" x14ac:dyDescent="0.25">
      <c r="W5635" s="111"/>
    </row>
    <row r="5636" spans="23:23" x14ac:dyDescent="0.25">
      <c r="W5636" s="111"/>
    </row>
    <row r="5637" spans="23:23" x14ac:dyDescent="0.25">
      <c r="W5637" s="111"/>
    </row>
    <row r="5638" spans="23:23" x14ac:dyDescent="0.25">
      <c r="W5638" s="111"/>
    </row>
    <row r="5639" spans="23:23" x14ac:dyDescent="0.25">
      <c r="W5639" s="111"/>
    </row>
    <row r="5640" spans="23:23" x14ac:dyDescent="0.25">
      <c r="W5640" s="111"/>
    </row>
    <row r="5641" spans="23:23" x14ac:dyDescent="0.25">
      <c r="W5641" s="111"/>
    </row>
    <row r="5642" spans="23:23" x14ac:dyDescent="0.25">
      <c r="W5642" s="111"/>
    </row>
    <row r="5643" spans="23:23" x14ac:dyDescent="0.25">
      <c r="W5643" s="111"/>
    </row>
    <row r="5644" spans="23:23" x14ac:dyDescent="0.25">
      <c r="W5644" s="111"/>
    </row>
    <row r="5645" spans="23:23" x14ac:dyDescent="0.25">
      <c r="W5645" s="111"/>
    </row>
    <row r="5646" spans="23:23" x14ac:dyDescent="0.25">
      <c r="W5646" s="111"/>
    </row>
    <row r="5647" spans="23:23" x14ac:dyDescent="0.25">
      <c r="W5647" s="111"/>
    </row>
    <row r="5648" spans="23:23" x14ac:dyDescent="0.25">
      <c r="W5648" s="111"/>
    </row>
    <row r="5649" spans="23:23" x14ac:dyDescent="0.25">
      <c r="W5649" s="111"/>
    </row>
    <row r="5650" spans="23:23" x14ac:dyDescent="0.25">
      <c r="W5650" s="111"/>
    </row>
    <row r="5651" spans="23:23" x14ac:dyDescent="0.25">
      <c r="W5651" s="111"/>
    </row>
    <row r="5652" spans="23:23" x14ac:dyDescent="0.25">
      <c r="W5652" s="111"/>
    </row>
    <row r="5653" spans="23:23" x14ac:dyDescent="0.25">
      <c r="W5653" s="111"/>
    </row>
    <row r="5654" spans="23:23" x14ac:dyDescent="0.25">
      <c r="W5654" s="111"/>
    </row>
    <row r="5655" spans="23:23" x14ac:dyDescent="0.25">
      <c r="W5655" s="111"/>
    </row>
    <row r="5656" spans="23:23" x14ac:dyDescent="0.25">
      <c r="W5656" s="111"/>
    </row>
    <row r="5657" spans="23:23" x14ac:dyDescent="0.25">
      <c r="W5657" s="111"/>
    </row>
    <row r="5658" spans="23:23" x14ac:dyDescent="0.25">
      <c r="W5658" s="111"/>
    </row>
    <row r="5659" spans="23:23" x14ac:dyDescent="0.25">
      <c r="W5659" s="111"/>
    </row>
    <row r="5660" spans="23:23" x14ac:dyDescent="0.25">
      <c r="W5660" s="111"/>
    </row>
    <row r="5661" spans="23:23" x14ac:dyDescent="0.25">
      <c r="W5661" s="111"/>
    </row>
    <row r="5662" spans="23:23" x14ac:dyDescent="0.25">
      <c r="W5662" s="111"/>
    </row>
    <row r="5663" spans="23:23" x14ac:dyDescent="0.25">
      <c r="W5663" s="111"/>
    </row>
    <row r="5664" spans="23:23" x14ac:dyDescent="0.25">
      <c r="W5664" s="111"/>
    </row>
    <row r="5665" spans="23:23" x14ac:dyDescent="0.25">
      <c r="W5665" s="111"/>
    </row>
    <row r="5666" spans="23:23" x14ac:dyDescent="0.25">
      <c r="W5666" s="111"/>
    </row>
    <row r="5667" spans="23:23" x14ac:dyDescent="0.25">
      <c r="W5667" s="111"/>
    </row>
    <row r="5668" spans="23:23" x14ac:dyDescent="0.25">
      <c r="W5668" s="111"/>
    </row>
    <row r="5669" spans="23:23" x14ac:dyDescent="0.25">
      <c r="W5669" s="111"/>
    </row>
    <row r="5670" spans="23:23" x14ac:dyDescent="0.25">
      <c r="W5670" s="111"/>
    </row>
    <row r="5671" spans="23:23" x14ac:dyDescent="0.25">
      <c r="W5671" s="111"/>
    </row>
    <row r="5672" spans="23:23" x14ac:dyDescent="0.25">
      <c r="W5672" s="111"/>
    </row>
    <row r="5673" spans="23:23" x14ac:dyDescent="0.25">
      <c r="W5673" s="111"/>
    </row>
    <row r="5674" spans="23:23" x14ac:dyDescent="0.25">
      <c r="W5674" s="111"/>
    </row>
    <row r="5675" spans="23:23" x14ac:dyDescent="0.25">
      <c r="W5675" s="111"/>
    </row>
    <row r="5676" spans="23:23" x14ac:dyDescent="0.25">
      <c r="W5676" s="111"/>
    </row>
    <row r="5677" spans="23:23" x14ac:dyDescent="0.25">
      <c r="W5677" s="111"/>
    </row>
    <row r="5678" spans="23:23" x14ac:dyDescent="0.25">
      <c r="W5678" s="111"/>
    </row>
    <row r="5679" spans="23:23" x14ac:dyDescent="0.25">
      <c r="W5679" s="111"/>
    </row>
    <row r="5680" spans="23:23" x14ac:dyDescent="0.25">
      <c r="W5680" s="111"/>
    </row>
    <row r="5681" spans="23:23" x14ac:dyDescent="0.25">
      <c r="W5681" s="111"/>
    </row>
    <row r="5682" spans="23:23" x14ac:dyDescent="0.25">
      <c r="W5682" s="111"/>
    </row>
    <row r="5683" spans="23:23" x14ac:dyDescent="0.25">
      <c r="W5683" s="111"/>
    </row>
    <row r="5684" spans="23:23" x14ac:dyDescent="0.25">
      <c r="W5684" s="111"/>
    </row>
    <row r="5685" spans="23:23" x14ac:dyDescent="0.25">
      <c r="W5685" s="111"/>
    </row>
    <row r="5686" spans="23:23" x14ac:dyDescent="0.25">
      <c r="W5686" s="111"/>
    </row>
    <row r="5687" spans="23:23" x14ac:dyDescent="0.25">
      <c r="W5687" s="111"/>
    </row>
    <row r="5688" spans="23:23" x14ac:dyDescent="0.25">
      <c r="W5688" s="111"/>
    </row>
    <row r="5689" spans="23:23" x14ac:dyDescent="0.25">
      <c r="W5689" s="111"/>
    </row>
    <row r="5690" spans="23:23" x14ac:dyDescent="0.25">
      <c r="W5690" s="111"/>
    </row>
    <row r="5691" spans="23:23" x14ac:dyDescent="0.25">
      <c r="W5691" s="111"/>
    </row>
    <row r="5692" spans="23:23" x14ac:dyDescent="0.25">
      <c r="W5692" s="111"/>
    </row>
    <row r="5693" spans="23:23" x14ac:dyDescent="0.25">
      <c r="W5693" s="111"/>
    </row>
    <row r="5694" spans="23:23" x14ac:dyDescent="0.25">
      <c r="W5694" s="111"/>
    </row>
    <row r="5695" spans="23:23" x14ac:dyDescent="0.25">
      <c r="W5695" s="111"/>
    </row>
    <row r="5696" spans="23:23" x14ac:dyDescent="0.25">
      <c r="W5696" s="111"/>
    </row>
    <row r="5697" spans="23:23" x14ac:dyDescent="0.25">
      <c r="W5697" s="111"/>
    </row>
    <row r="5698" spans="23:23" x14ac:dyDescent="0.25">
      <c r="W5698" s="111"/>
    </row>
    <row r="5699" spans="23:23" x14ac:dyDescent="0.25">
      <c r="W5699" s="111"/>
    </row>
    <row r="5700" spans="23:23" x14ac:dyDescent="0.25">
      <c r="W5700" s="111"/>
    </row>
    <row r="5701" spans="23:23" x14ac:dyDescent="0.25">
      <c r="W5701" s="111"/>
    </row>
    <row r="5702" spans="23:23" x14ac:dyDescent="0.25">
      <c r="W5702" s="111"/>
    </row>
    <row r="5703" spans="23:23" x14ac:dyDescent="0.25">
      <c r="W5703" s="111"/>
    </row>
    <row r="5704" spans="23:23" x14ac:dyDescent="0.25">
      <c r="W5704" s="111"/>
    </row>
    <row r="5705" spans="23:23" x14ac:dyDescent="0.25">
      <c r="W5705" s="111"/>
    </row>
    <row r="5706" spans="23:23" x14ac:dyDescent="0.25">
      <c r="W5706" s="111"/>
    </row>
    <row r="5707" spans="23:23" x14ac:dyDescent="0.25">
      <c r="W5707" s="111"/>
    </row>
    <row r="5708" spans="23:23" x14ac:dyDescent="0.25">
      <c r="W5708" s="111"/>
    </row>
    <row r="5709" spans="23:23" x14ac:dyDescent="0.25">
      <c r="W5709" s="111"/>
    </row>
    <row r="5710" spans="23:23" x14ac:dyDescent="0.25">
      <c r="W5710" s="111"/>
    </row>
    <row r="5711" spans="23:23" x14ac:dyDescent="0.25">
      <c r="W5711" s="111"/>
    </row>
    <row r="5712" spans="23:23" x14ac:dyDescent="0.25">
      <c r="W5712" s="111"/>
    </row>
    <row r="5713" spans="23:23" x14ac:dyDescent="0.25">
      <c r="W5713" s="111"/>
    </row>
    <row r="5714" spans="23:23" x14ac:dyDescent="0.25">
      <c r="W5714" s="111"/>
    </row>
    <row r="5715" spans="23:23" x14ac:dyDescent="0.25">
      <c r="W5715" s="111"/>
    </row>
    <row r="5716" spans="23:23" x14ac:dyDescent="0.25">
      <c r="W5716" s="111"/>
    </row>
    <row r="5717" spans="23:23" x14ac:dyDescent="0.25">
      <c r="W5717" s="111"/>
    </row>
    <row r="5718" spans="23:23" x14ac:dyDescent="0.25">
      <c r="W5718" s="111"/>
    </row>
    <row r="5719" spans="23:23" x14ac:dyDescent="0.25">
      <c r="W5719" s="111"/>
    </row>
    <row r="5720" spans="23:23" x14ac:dyDescent="0.25">
      <c r="W5720" s="111"/>
    </row>
    <row r="5721" spans="23:23" x14ac:dyDescent="0.25">
      <c r="W5721" s="111"/>
    </row>
    <row r="5722" spans="23:23" x14ac:dyDescent="0.25">
      <c r="W5722" s="111"/>
    </row>
    <row r="5723" spans="23:23" x14ac:dyDescent="0.25">
      <c r="W5723" s="111"/>
    </row>
    <row r="5724" spans="23:23" x14ac:dyDescent="0.25">
      <c r="W5724" s="111"/>
    </row>
    <row r="5725" spans="23:23" x14ac:dyDescent="0.25">
      <c r="W5725" s="111"/>
    </row>
    <row r="5726" spans="23:23" x14ac:dyDescent="0.25">
      <c r="W5726" s="111"/>
    </row>
    <row r="5727" spans="23:23" x14ac:dyDescent="0.25">
      <c r="W5727" s="111"/>
    </row>
    <row r="5728" spans="23:23" x14ac:dyDescent="0.25">
      <c r="W5728" s="111"/>
    </row>
    <row r="5729" spans="23:23" x14ac:dyDescent="0.25">
      <c r="W5729" s="111"/>
    </row>
    <row r="5730" spans="23:23" x14ac:dyDescent="0.25">
      <c r="W5730" s="111"/>
    </row>
    <row r="5731" spans="23:23" x14ac:dyDescent="0.25">
      <c r="W5731" s="111"/>
    </row>
    <row r="5732" spans="23:23" x14ac:dyDescent="0.25">
      <c r="W5732" s="111"/>
    </row>
    <row r="5733" spans="23:23" x14ac:dyDescent="0.25">
      <c r="W5733" s="111"/>
    </row>
    <row r="5734" spans="23:23" x14ac:dyDescent="0.25">
      <c r="W5734" s="111"/>
    </row>
    <row r="5735" spans="23:23" x14ac:dyDescent="0.25">
      <c r="W5735" s="111"/>
    </row>
    <row r="5736" spans="23:23" x14ac:dyDescent="0.25">
      <c r="W5736" s="111"/>
    </row>
    <row r="5737" spans="23:23" x14ac:dyDescent="0.25">
      <c r="W5737" s="111"/>
    </row>
    <row r="5738" spans="23:23" x14ac:dyDescent="0.25">
      <c r="W5738" s="111"/>
    </row>
    <row r="5739" spans="23:23" x14ac:dyDescent="0.25">
      <c r="W5739" s="111"/>
    </row>
    <row r="5740" spans="23:23" x14ac:dyDescent="0.25">
      <c r="W5740" s="111"/>
    </row>
    <row r="5741" spans="23:23" x14ac:dyDescent="0.25">
      <c r="W5741" s="111"/>
    </row>
    <row r="5742" spans="23:23" x14ac:dyDescent="0.25">
      <c r="W5742" s="111"/>
    </row>
    <row r="5743" spans="23:23" x14ac:dyDescent="0.25">
      <c r="W5743" s="111"/>
    </row>
    <row r="5744" spans="23:23" x14ac:dyDescent="0.25">
      <c r="W5744" s="111"/>
    </row>
    <row r="5745" spans="23:23" x14ac:dyDescent="0.25">
      <c r="W5745" s="111"/>
    </row>
    <row r="5746" spans="23:23" x14ac:dyDescent="0.25">
      <c r="W5746" s="111"/>
    </row>
    <row r="5747" spans="23:23" x14ac:dyDescent="0.25">
      <c r="W5747" s="111"/>
    </row>
    <row r="5748" spans="23:23" x14ac:dyDescent="0.25">
      <c r="W5748" s="111"/>
    </row>
    <row r="5749" spans="23:23" x14ac:dyDescent="0.25">
      <c r="W5749" s="111"/>
    </row>
    <row r="5750" spans="23:23" x14ac:dyDescent="0.25">
      <c r="W5750" s="111"/>
    </row>
    <row r="5751" spans="23:23" x14ac:dyDescent="0.25">
      <c r="W5751" s="111"/>
    </row>
    <row r="5752" spans="23:23" x14ac:dyDescent="0.25">
      <c r="W5752" s="111"/>
    </row>
    <row r="5753" spans="23:23" x14ac:dyDescent="0.25">
      <c r="W5753" s="111"/>
    </row>
    <row r="5754" spans="23:23" x14ac:dyDescent="0.25">
      <c r="W5754" s="111"/>
    </row>
    <row r="5755" spans="23:23" x14ac:dyDescent="0.25">
      <c r="W5755" s="111"/>
    </row>
    <row r="5756" spans="23:23" x14ac:dyDescent="0.25">
      <c r="W5756" s="111"/>
    </row>
    <row r="5757" spans="23:23" x14ac:dyDescent="0.25">
      <c r="W5757" s="111"/>
    </row>
    <row r="5758" spans="23:23" x14ac:dyDescent="0.25">
      <c r="W5758" s="111"/>
    </row>
    <row r="5759" spans="23:23" x14ac:dyDescent="0.25">
      <c r="W5759" s="111"/>
    </row>
    <row r="5760" spans="23:23" x14ac:dyDescent="0.25">
      <c r="W5760" s="111"/>
    </row>
    <row r="5761" spans="23:23" x14ac:dyDescent="0.25">
      <c r="W5761" s="111"/>
    </row>
    <row r="5762" spans="23:23" x14ac:dyDescent="0.25">
      <c r="W5762" s="111"/>
    </row>
    <row r="5763" spans="23:23" x14ac:dyDescent="0.25">
      <c r="W5763" s="111"/>
    </row>
    <row r="5764" spans="23:23" x14ac:dyDescent="0.25">
      <c r="W5764" s="111"/>
    </row>
    <row r="5765" spans="23:23" x14ac:dyDescent="0.25">
      <c r="W5765" s="111"/>
    </row>
    <row r="5766" spans="23:23" x14ac:dyDescent="0.25">
      <c r="W5766" s="111"/>
    </row>
    <row r="5767" spans="23:23" x14ac:dyDescent="0.25">
      <c r="W5767" s="111"/>
    </row>
    <row r="5768" spans="23:23" x14ac:dyDescent="0.25">
      <c r="W5768" s="111"/>
    </row>
    <row r="5769" spans="23:23" x14ac:dyDescent="0.25">
      <c r="W5769" s="111"/>
    </row>
    <row r="5770" spans="23:23" x14ac:dyDescent="0.25">
      <c r="W5770" s="111"/>
    </row>
    <row r="5771" spans="23:23" x14ac:dyDescent="0.25">
      <c r="W5771" s="111"/>
    </row>
    <row r="5772" spans="23:23" x14ac:dyDescent="0.25">
      <c r="W5772" s="111"/>
    </row>
    <row r="5773" spans="23:23" x14ac:dyDescent="0.25">
      <c r="W5773" s="111"/>
    </row>
    <row r="5774" spans="23:23" x14ac:dyDescent="0.25">
      <c r="W5774" s="111"/>
    </row>
    <row r="5775" spans="23:23" x14ac:dyDescent="0.25">
      <c r="W5775" s="111"/>
    </row>
    <row r="5776" spans="23:23" x14ac:dyDescent="0.25">
      <c r="W5776" s="111"/>
    </row>
    <row r="5777" spans="23:23" x14ac:dyDescent="0.25">
      <c r="W5777" s="111"/>
    </row>
    <row r="5778" spans="23:23" x14ac:dyDescent="0.25">
      <c r="W5778" s="111"/>
    </row>
    <row r="5779" spans="23:23" x14ac:dyDescent="0.25">
      <c r="W5779" s="111"/>
    </row>
    <row r="5780" spans="23:23" x14ac:dyDescent="0.25">
      <c r="W5780" s="111"/>
    </row>
    <row r="5781" spans="23:23" x14ac:dyDescent="0.25">
      <c r="W5781" s="111"/>
    </row>
    <row r="5782" spans="23:23" x14ac:dyDescent="0.25">
      <c r="W5782" s="111"/>
    </row>
    <row r="5783" spans="23:23" x14ac:dyDescent="0.25">
      <c r="W5783" s="111"/>
    </row>
    <row r="5784" spans="23:23" x14ac:dyDescent="0.25">
      <c r="W5784" s="111"/>
    </row>
    <row r="5785" spans="23:23" x14ac:dyDescent="0.25">
      <c r="W5785" s="111"/>
    </row>
    <row r="5786" spans="23:23" x14ac:dyDescent="0.25">
      <c r="W5786" s="111"/>
    </row>
    <row r="5787" spans="23:23" x14ac:dyDescent="0.25">
      <c r="W5787" s="111"/>
    </row>
    <row r="5788" spans="23:23" x14ac:dyDescent="0.25">
      <c r="W5788" s="111"/>
    </row>
    <row r="5789" spans="23:23" x14ac:dyDescent="0.25">
      <c r="W5789" s="111"/>
    </row>
    <row r="5790" spans="23:23" x14ac:dyDescent="0.25">
      <c r="W5790" s="111"/>
    </row>
    <row r="5791" spans="23:23" x14ac:dyDescent="0.25">
      <c r="W5791" s="111"/>
    </row>
    <row r="5792" spans="23:23" x14ac:dyDescent="0.25">
      <c r="W5792" s="111"/>
    </row>
    <row r="5793" spans="23:23" x14ac:dyDescent="0.25">
      <c r="W5793" s="111"/>
    </row>
    <row r="5794" spans="23:23" x14ac:dyDescent="0.25">
      <c r="W5794" s="111"/>
    </row>
    <row r="5795" spans="23:23" x14ac:dyDescent="0.25">
      <c r="W5795" s="111"/>
    </row>
    <row r="5796" spans="23:23" x14ac:dyDescent="0.25">
      <c r="W5796" s="111"/>
    </row>
    <row r="5797" spans="23:23" x14ac:dyDescent="0.25">
      <c r="W5797" s="111"/>
    </row>
    <row r="5798" spans="23:23" x14ac:dyDescent="0.25">
      <c r="W5798" s="111"/>
    </row>
    <row r="5799" spans="23:23" x14ac:dyDescent="0.25">
      <c r="W5799" s="111"/>
    </row>
    <row r="5800" spans="23:23" x14ac:dyDescent="0.25">
      <c r="W5800" s="111"/>
    </row>
    <row r="5801" spans="23:23" x14ac:dyDescent="0.25">
      <c r="W5801" s="111"/>
    </row>
    <row r="5802" spans="23:23" x14ac:dyDescent="0.25">
      <c r="W5802" s="111"/>
    </row>
    <row r="5803" spans="23:23" x14ac:dyDescent="0.25">
      <c r="W5803" s="111"/>
    </row>
    <row r="5804" spans="23:23" x14ac:dyDescent="0.25">
      <c r="W5804" s="111"/>
    </row>
    <row r="5805" spans="23:23" x14ac:dyDescent="0.25">
      <c r="W5805" s="111"/>
    </row>
    <row r="5806" spans="23:23" x14ac:dyDescent="0.25">
      <c r="W5806" s="111"/>
    </row>
    <row r="5807" spans="23:23" x14ac:dyDescent="0.25">
      <c r="W5807" s="111"/>
    </row>
    <row r="5808" spans="23:23" x14ac:dyDescent="0.25">
      <c r="W5808" s="111"/>
    </row>
    <row r="5809" spans="23:23" x14ac:dyDescent="0.25">
      <c r="W5809" s="111"/>
    </row>
    <row r="5810" spans="23:23" x14ac:dyDescent="0.25">
      <c r="W5810" s="111"/>
    </row>
    <row r="5811" spans="23:23" x14ac:dyDescent="0.25">
      <c r="W5811" s="111"/>
    </row>
    <row r="5812" spans="23:23" x14ac:dyDescent="0.25">
      <c r="W5812" s="111"/>
    </row>
    <row r="5813" spans="23:23" x14ac:dyDescent="0.25">
      <c r="W5813" s="111"/>
    </row>
    <row r="5814" spans="23:23" x14ac:dyDescent="0.25">
      <c r="W5814" s="111"/>
    </row>
    <row r="5815" spans="23:23" x14ac:dyDescent="0.25">
      <c r="W5815" s="111"/>
    </row>
    <row r="5816" spans="23:23" x14ac:dyDescent="0.25">
      <c r="W5816" s="111"/>
    </row>
    <row r="5817" spans="23:23" x14ac:dyDescent="0.25">
      <c r="W5817" s="111"/>
    </row>
    <row r="5818" spans="23:23" x14ac:dyDescent="0.25">
      <c r="W5818" s="111"/>
    </row>
    <row r="5819" spans="23:23" x14ac:dyDescent="0.25">
      <c r="W5819" s="111"/>
    </row>
    <row r="5820" spans="23:23" x14ac:dyDescent="0.25">
      <c r="W5820" s="111"/>
    </row>
    <row r="5821" spans="23:23" x14ac:dyDescent="0.25">
      <c r="W5821" s="111"/>
    </row>
    <row r="5822" spans="23:23" x14ac:dyDescent="0.25">
      <c r="W5822" s="111"/>
    </row>
    <row r="5823" spans="23:23" x14ac:dyDescent="0.25">
      <c r="W5823" s="111"/>
    </row>
    <row r="5824" spans="23:23" x14ac:dyDescent="0.25">
      <c r="W5824" s="111"/>
    </row>
    <row r="5825" spans="23:23" x14ac:dyDescent="0.25">
      <c r="W5825" s="111"/>
    </row>
    <row r="5826" spans="23:23" x14ac:dyDescent="0.25">
      <c r="W5826" s="111"/>
    </row>
    <row r="5827" spans="23:23" x14ac:dyDescent="0.25">
      <c r="W5827" s="111"/>
    </row>
    <row r="5828" spans="23:23" x14ac:dyDescent="0.25">
      <c r="W5828" s="111"/>
    </row>
    <row r="5829" spans="23:23" x14ac:dyDescent="0.25">
      <c r="W5829" s="111"/>
    </row>
    <row r="5830" spans="23:23" x14ac:dyDescent="0.25">
      <c r="W5830" s="111"/>
    </row>
    <row r="5831" spans="23:23" x14ac:dyDescent="0.25">
      <c r="W5831" s="111"/>
    </row>
    <row r="5832" spans="23:23" x14ac:dyDescent="0.25">
      <c r="W5832" s="111"/>
    </row>
    <row r="5833" spans="23:23" x14ac:dyDescent="0.25">
      <c r="W5833" s="111"/>
    </row>
    <row r="5834" spans="23:23" x14ac:dyDescent="0.25">
      <c r="W5834" s="111"/>
    </row>
    <row r="5835" spans="23:23" x14ac:dyDescent="0.25">
      <c r="W5835" s="111"/>
    </row>
    <row r="5836" spans="23:23" x14ac:dyDescent="0.25">
      <c r="W5836" s="111"/>
    </row>
    <row r="5837" spans="23:23" x14ac:dyDescent="0.25">
      <c r="W5837" s="111"/>
    </row>
    <row r="5838" spans="23:23" x14ac:dyDescent="0.25">
      <c r="W5838" s="111"/>
    </row>
    <row r="5839" spans="23:23" x14ac:dyDescent="0.25">
      <c r="W5839" s="111"/>
    </row>
    <row r="5840" spans="23:23" x14ac:dyDescent="0.25">
      <c r="W5840" s="111"/>
    </row>
    <row r="5841" spans="23:23" x14ac:dyDescent="0.25">
      <c r="W5841" s="111"/>
    </row>
    <row r="5842" spans="23:23" x14ac:dyDescent="0.25">
      <c r="W5842" s="111"/>
    </row>
    <row r="5843" spans="23:23" x14ac:dyDescent="0.25">
      <c r="W5843" s="111"/>
    </row>
    <row r="5844" spans="23:23" x14ac:dyDescent="0.25">
      <c r="W5844" s="111"/>
    </row>
    <row r="5845" spans="23:23" x14ac:dyDescent="0.25">
      <c r="W5845" s="111"/>
    </row>
    <row r="5846" spans="23:23" x14ac:dyDescent="0.25">
      <c r="W5846" s="111"/>
    </row>
    <row r="5847" spans="23:23" x14ac:dyDescent="0.25">
      <c r="W5847" s="111"/>
    </row>
    <row r="5848" spans="23:23" x14ac:dyDescent="0.25">
      <c r="W5848" s="111"/>
    </row>
    <row r="5849" spans="23:23" x14ac:dyDescent="0.25">
      <c r="W5849" s="111"/>
    </row>
    <row r="5850" spans="23:23" x14ac:dyDescent="0.25">
      <c r="W5850" s="111"/>
    </row>
    <row r="5851" spans="23:23" x14ac:dyDescent="0.25">
      <c r="W5851" s="111"/>
    </row>
    <row r="5852" spans="23:23" x14ac:dyDescent="0.25">
      <c r="W5852" s="111"/>
    </row>
    <row r="5853" spans="23:23" x14ac:dyDescent="0.25">
      <c r="W5853" s="111"/>
    </row>
    <row r="5854" spans="23:23" x14ac:dyDescent="0.25">
      <c r="W5854" s="111"/>
    </row>
    <row r="5855" spans="23:23" x14ac:dyDescent="0.25">
      <c r="W5855" s="111"/>
    </row>
    <row r="5856" spans="23:23" x14ac:dyDescent="0.25">
      <c r="W5856" s="111"/>
    </row>
    <row r="5857" spans="23:23" x14ac:dyDescent="0.25">
      <c r="W5857" s="111"/>
    </row>
    <row r="5858" spans="23:23" x14ac:dyDescent="0.25">
      <c r="W5858" s="111"/>
    </row>
    <row r="5859" spans="23:23" x14ac:dyDescent="0.25">
      <c r="W5859" s="111"/>
    </row>
    <row r="5860" spans="23:23" x14ac:dyDescent="0.25">
      <c r="W5860" s="111"/>
    </row>
    <row r="5861" spans="23:23" x14ac:dyDescent="0.25">
      <c r="W5861" s="111"/>
    </row>
    <row r="5862" spans="23:23" x14ac:dyDescent="0.25">
      <c r="W5862" s="111"/>
    </row>
    <row r="5863" spans="23:23" x14ac:dyDescent="0.25">
      <c r="W5863" s="111"/>
    </row>
    <row r="5864" spans="23:23" x14ac:dyDescent="0.25">
      <c r="W5864" s="111"/>
    </row>
    <row r="5865" spans="23:23" x14ac:dyDescent="0.25">
      <c r="W5865" s="111"/>
    </row>
    <row r="5866" spans="23:23" x14ac:dyDescent="0.25">
      <c r="W5866" s="111"/>
    </row>
    <row r="5867" spans="23:23" x14ac:dyDescent="0.25">
      <c r="W5867" s="111"/>
    </row>
    <row r="5868" spans="23:23" x14ac:dyDescent="0.25">
      <c r="W5868" s="111"/>
    </row>
    <row r="5869" spans="23:23" x14ac:dyDescent="0.25">
      <c r="W5869" s="111"/>
    </row>
    <row r="5870" spans="23:23" x14ac:dyDescent="0.25">
      <c r="W5870" s="111"/>
    </row>
    <row r="5871" spans="23:23" x14ac:dyDescent="0.25">
      <c r="W5871" s="111"/>
    </row>
    <row r="5872" spans="23:23" x14ac:dyDescent="0.25">
      <c r="W5872" s="111"/>
    </row>
    <row r="5873" spans="23:23" x14ac:dyDescent="0.25">
      <c r="W5873" s="111"/>
    </row>
    <row r="5874" spans="23:23" x14ac:dyDescent="0.25">
      <c r="W5874" s="111"/>
    </row>
    <row r="5875" spans="23:23" x14ac:dyDescent="0.25">
      <c r="W5875" s="111"/>
    </row>
    <row r="5876" spans="23:23" x14ac:dyDescent="0.25">
      <c r="W5876" s="111"/>
    </row>
    <row r="5877" spans="23:23" x14ac:dyDescent="0.25">
      <c r="W5877" s="111"/>
    </row>
    <row r="5878" spans="23:23" x14ac:dyDescent="0.25">
      <c r="W5878" s="111"/>
    </row>
    <row r="5879" spans="23:23" x14ac:dyDescent="0.25">
      <c r="W5879" s="111"/>
    </row>
    <row r="5880" spans="23:23" x14ac:dyDescent="0.25">
      <c r="W5880" s="111"/>
    </row>
    <row r="5881" spans="23:23" x14ac:dyDescent="0.25">
      <c r="W5881" s="111"/>
    </row>
    <row r="5882" spans="23:23" x14ac:dyDescent="0.25">
      <c r="W5882" s="111"/>
    </row>
    <row r="5883" spans="23:23" x14ac:dyDescent="0.25">
      <c r="W5883" s="111"/>
    </row>
    <row r="5884" spans="23:23" x14ac:dyDescent="0.25">
      <c r="W5884" s="111"/>
    </row>
    <row r="5885" spans="23:23" x14ac:dyDescent="0.25">
      <c r="W5885" s="111"/>
    </row>
    <row r="5886" spans="23:23" x14ac:dyDescent="0.25">
      <c r="W5886" s="111"/>
    </row>
    <row r="5887" spans="23:23" x14ac:dyDescent="0.25">
      <c r="W5887" s="111"/>
    </row>
    <row r="5888" spans="23:23" x14ac:dyDescent="0.25">
      <c r="W5888" s="111"/>
    </row>
    <row r="5889" spans="23:23" x14ac:dyDescent="0.25">
      <c r="W5889" s="111"/>
    </row>
    <row r="5890" spans="23:23" x14ac:dyDescent="0.25">
      <c r="W5890" s="111"/>
    </row>
    <row r="5891" spans="23:23" x14ac:dyDescent="0.25">
      <c r="W5891" s="111"/>
    </row>
    <row r="5892" spans="23:23" x14ac:dyDescent="0.25">
      <c r="W5892" s="111"/>
    </row>
    <row r="5893" spans="23:23" x14ac:dyDescent="0.25">
      <c r="W5893" s="111"/>
    </row>
    <row r="5894" spans="23:23" x14ac:dyDescent="0.25">
      <c r="W5894" s="111"/>
    </row>
    <row r="5895" spans="23:23" x14ac:dyDescent="0.25">
      <c r="W5895" s="111"/>
    </row>
    <row r="5896" spans="23:23" x14ac:dyDescent="0.25">
      <c r="W5896" s="111"/>
    </row>
    <row r="5897" spans="23:23" x14ac:dyDescent="0.25">
      <c r="W5897" s="111"/>
    </row>
    <row r="5898" spans="23:23" x14ac:dyDescent="0.25">
      <c r="W5898" s="111"/>
    </row>
    <row r="5899" spans="23:23" x14ac:dyDescent="0.25">
      <c r="W5899" s="111"/>
    </row>
    <row r="5900" spans="23:23" x14ac:dyDescent="0.25">
      <c r="W5900" s="111"/>
    </row>
    <row r="5901" spans="23:23" x14ac:dyDescent="0.25">
      <c r="W5901" s="111"/>
    </row>
    <row r="5902" spans="23:23" x14ac:dyDescent="0.25">
      <c r="W5902" s="111"/>
    </row>
    <row r="5903" spans="23:23" x14ac:dyDescent="0.25">
      <c r="W5903" s="111"/>
    </row>
    <row r="5904" spans="23:23" x14ac:dyDescent="0.25">
      <c r="W5904" s="111"/>
    </row>
    <row r="5905" spans="23:23" x14ac:dyDescent="0.25">
      <c r="W5905" s="111"/>
    </row>
    <row r="5906" spans="23:23" x14ac:dyDescent="0.25">
      <c r="W5906" s="111"/>
    </row>
    <row r="5907" spans="23:23" x14ac:dyDescent="0.25">
      <c r="W5907" s="111"/>
    </row>
    <row r="5908" spans="23:23" x14ac:dyDescent="0.25">
      <c r="W5908" s="111"/>
    </row>
    <row r="5909" spans="23:23" x14ac:dyDescent="0.25">
      <c r="W5909" s="111"/>
    </row>
    <row r="5910" spans="23:23" x14ac:dyDescent="0.25">
      <c r="W5910" s="111"/>
    </row>
    <row r="5911" spans="23:23" x14ac:dyDescent="0.25">
      <c r="W5911" s="111"/>
    </row>
    <row r="5912" spans="23:23" x14ac:dyDescent="0.25">
      <c r="W5912" s="111"/>
    </row>
    <row r="5913" spans="23:23" x14ac:dyDescent="0.25">
      <c r="W5913" s="111"/>
    </row>
    <row r="5914" spans="23:23" x14ac:dyDescent="0.25">
      <c r="W5914" s="111"/>
    </row>
    <row r="5915" spans="23:23" x14ac:dyDescent="0.25">
      <c r="W5915" s="111"/>
    </row>
    <row r="5916" spans="23:23" x14ac:dyDescent="0.25">
      <c r="W5916" s="111"/>
    </row>
    <row r="5917" spans="23:23" x14ac:dyDescent="0.25">
      <c r="W5917" s="111"/>
    </row>
    <row r="5918" spans="23:23" x14ac:dyDescent="0.25">
      <c r="W5918" s="111"/>
    </row>
    <row r="5919" spans="23:23" x14ac:dyDescent="0.25">
      <c r="W5919" s="111"/>
    </row>
    <row r="5920" spans="23:23" x14ac:dyDescent="0.25">
      <c r="W5920" s="111"/>
    </row>
    <row r="5921" spans="23:23" x14ac:dyDescent="0.25">
      <c r="W5921" s="111"/>
    </row>
    <row r="5922" spans="23:23" x14ac:dyDescent="0.25">
      <c r="W5922" s="111"/>
    </row>
    <row r="5923" spans="23:23" x14ac:dyDescent="0.25">
      <c r="W5923" s="111"/>
    </row>
    <row r="5924" spans="23:23" x14ac:dyDescent="0.25">
      <c r="W5924" s="111"/>
    </row>
    <row r="5925" spans="23:23" x14ac:dyDescent="0.25">
      <c r="W5925" s="111"/>
    </row>
    <row r="5926" spans="23:23" x14ac:dyDescent="0.25">
      <c r="W5926" s="111"/>
    </row>
    <row r="5927" spans="23:23" x14ac:dyDescent="0.25">
      <c r="W5927" s="111"/>
    </row>
    <row r="5928" spans="23:23" x14ac:dyDescent="0.25">
      <c r="W5928" s="111"/>
    </row>
    <row r="5929" spans="23:23" x14ac:dyDescent="0.25">
      <c r="W5929" s="111"/>
    </row>
    <row r="5930" spans="23:23" x14ac:dyDescent="0.25">
      <c r="W5930" s="111"/>
    </row>
    <row r="5931" spans="23:23" x14ac:dyDescent="0.25">
      <c r="W5931" s="111"/>
    </row>
    <row r="5932" spans="23:23" x14ac:dyDescent="0.25">
      <c r="W5932" s="111"/>
    </row>
    <row r="5933" spans="23:23" x14ac:dyDescent="0.25">
      <c r="W5933" s="111"/>
    </row>
    <row r="5934" spans="23:23" x14ac:dyDescent="0.25">
      <c r="W5934" s="111"/>
    </row>
    <row r="5935" spans="23:23" x14ac:dyDescent="0.25">
      <c r="W5935" s="111"/>
    </row>
    <row r="5936" spans="23:23" x14ac:dyDescent="0.25">
      <c r="W5936" s="111"/>
    </row>
    <row r="5937" spans="23:23" x14ac:dyDescent="0.25">
      <c r="W5937" s="111"/>
    </row>
    <row r="5938" spans="23:23" x14ac:dyDescent="0.25">
      <c r="W5938" s="111"/>
    </row>
    <row r="5939" spans="23:23" x14ac:dyDescent="0.25">
      <c r="W5939" s="111"/>
    </row>
    <row r="5940" spans="23:23" x14ac:dyDescent="0.25">
      <c r="W5940" s="111"/>
    </row>
    <row r="5941" spans="23:23" x14ac:dyDescent="0.25">
      <c r="W5941" s="111"/>
    </row>
    <row r="5942" spans="23:23" x14ac:dyDescent="0.25">
      <c r="W5942" s="111"/>
    </row>
    <row r="5943" spans="23:23" x14ac:dyDescent="0.25">
      <c r="W5943" s="111"/>
    </row>
    <row r="5944" spans="23:23" x14ac:dyDescent="0.25">
      <c r="W5944" s="111"/>
    </row>
    <row r="5945" spans="23:23" x14ac:dyDescent="0.25">
      <c r="W5945" s="111"/>
    </row>
    <row r="5946" spans="23:23" x14ac:dyDescent="0.25">
      <c r="W5946" s="111"/>
    </row>
    <row r="5947" spans="23:23" x14ac:dyDescent="0.25">
      <c r="W5947" s="111"/>
    </row>
    <row r="5948" spans="23:23" x14ac:dyDescent="0.25">
      <c r="W5948" s="111"/>
    </row>
    <row r="5949" spans="23:23" x14ac:dyDescent="0.25">
      <c r="W5949" s="111"/>
    </row>
    <row r="5950" spans="23:23" x14ac:dyDescent="0.25">
      <c r="W5950" s="111"/>
    </row>
    <row r="5951" spans="23:23" x14ac:dyDescent="0.25">
      <c r="W5951" s="111"/>
    </row>
    <row r="5952" spans="23:23" x14ac:dyDescent="0.25">
      <c r="W5952" s="111"/>
    </row>
    <row r="5953" spans="23:23" x14ac:dyDescent="0.25">
      <c r="W5953" s="111"/>
    </row>
    <row r="5954" spans="23:23" x14ac:dyDescent="0.25">
      <c r="W5954" s="111"/>
    </row>
    <row r="5955" spans="23:23" x14ac:dyDescent="0.25">
      <c r="W5955" s="111"/>
    </row>
    <row r="5956" spans="23:23" x14ac:dyDescent="0.25">
      <c r="W5956" s="111"/>
    </row>
    <row r="5957" spans="23:23" x14ac:dyDescent="0.25">
      <c r="W5957" s="111"/>
    </row>
    <row r="5958" spans="23:23" x14ac:dyDescent="0.25">
      <c r="W5958" s="111"/>
    </row>
    <row r="5959" spans="23:23" x14ac:dyDescent="0.25">
      <c r="W5959" s="111"/>
    </row>
    <row r="5960" spans="23:23" x14ac:dyDescent="0.25">
      <c r="W5960" s="111"/>
    </row>
    <row r="5961" spans="23:23" x14ac:dyDescent="0.25">
      <c r="W5961" s="111"/>
    </row>
    <row r="5962" spans="23:23" x14ac:dyDescent="0.25">
      <c r="W5962" s="111"/>
    </row>
    <row r="5963" spans="23:23" x14ac:dyDescent="0.25">
      <c r="W5963" s="111"/>
    </row>
    <row r="5964" spans="23:23" x14ac:dyDescent="0.25">
      <c r="W5964" s="111"/>
    </row>
    <row r="5965" spans="23:23" x14ac:dyDescent="0.25">
      <c r="W5965" s="111"/>
    </row>
    <row r="5966" spans="23:23" x14ac:dyDescent="0.25">
      <c r="W5966" s="111"/>
    </row>
    <row r="5967" spans="23:23" x14ac:dyDescent="0.25">
      <c r="W5967" s="111"/>
    </row>
    <row r="5968" spans="23:23" x14ac:dyDescent="0.25">
      <c r="W5968" s="111"/>
    </row>
    <row r="5969" spans="23:23" x14ac:dyDescent="0.25">
      <c r="W5969" s="111"/>
    </row>
    <row r="5970" spans="23:23" x14ac:dyDescent="0.25">
      <c r="W5970" s="111"/>
    </row>
    <row r="5971" spans="23:23" x14ac:dyDescent="0.25">
      <c r="W5971" s="111"/>
    </row>
    <row r="5972" spans="23:23" x14ac:dyDescent="0.25">
      <c r="W5972" s="111"/>
    </row>
    <row r="5973" spans="23:23" x14ac:dyDescent="0.25">
      <c r="W5973" s="111"/>
    </row>
    <row r="5974" spans="23:23" x14ac:dyDescent="0.25">
      <c r="W5974" s="111"/>
    </row>
    <row r="5975" spans="23:23" x14ac:dyDescent="0.25">
      <c r="W5975" s="111"/>
    </row>
    <row r="5976" spans="23:23" x14ac:dyDescent="0.25">
      <c r="W5976" s="111"/>
    </row>
    <row r="5977" spans="23:23" x14ac:dyDescent="0.25">
      <c r="W5977" s="111"/>
    </row>
    <row r="5978" spans="23:23" x14ac:dyDescent="0.25">
      <c r="W5978" s="111"/>
    </row>
    <row r="5979" spans="23:23" x14ac:dyDescent="0.25">
      <c r="W5979" s="111"/>
    </row>
    <row r="5980" spans="23:23" x14ac:dyDescent="0.25">
      <c r="W5980" s="111"/>
    </row>
    <row r="5981" spans="23:23" x14ac:dyDescent="0.25">
      <c r="W5981" s="111"/>
    </row>
    <row r="5982" spans="23:23" x14ac:dyDescent="0.25">
      <c r="W5982" s="111"/>
    </row>
    <row r="5983" spans="23:23" x14ac:dyDescent="0.25">
      <c r="W5983" s="111"/>
    </row>
    <row r="5984" spans="23:23" x14ac:dyDescent="0.25">
      <c r="W5984" s="111"/>
    </row>
    <row r="5985" spans="23:23" x14ac:dyDescent="0.25">
      <c r="W5985" s="111"/>
    </row>
    <row r="5986" spans="23:23" x14ac:dyDescent="0.25">
      <c r="W5986" s="111"/>
    </row>
    <row r="5987" spans="23:23" x14ac:dyDescent="0.25">
      <c r="W5987" s="111"/>
    </row>
    <row r="5988" spans="23:23" x14ac:dyDescent="0.25">
      <c r="W5988" s="111"/>
    </row>
    <row r="5989" spans="23:23" x14ac:dyDescent="0.25">
      <c r="W5989" s="111"/>
    </row>
    <row r="5990" spans="23:23" x14ac:dyDescent="0.25">
      <c r="W5990" s="111"/>
    </row>
    <row r="5991" spans="23:23" x14ac:dyDescent="0.25">
      <c r="W5991" s="111"/>
    </row>
    <row r="5992" spans="23:23" x14ac:dyDescent="0.25">
      <c r="W5992" s="111"/>
    </row>
    <row r="5993" spans="23:23" x14ac:dyDescent="0.25">
      <c r="W5993" s="111"/>
    </row>
    <row r="5994" spans="23:23" x14ac:dyDescent="0.25">
      <c r="W5994" s="111"/>
    </row>
    <row r="5995" spans="23:23" x14ac:dyDescent="0.25">
      <c r="W5995" s="111"/>
    </row>
    <row r="5996" spans="23:23" x14ac:dyDescent="0.25">
      <c r="W5996" s="111"/>
    </row>
    <row r="5997" spans="23:23" x14ac:dyDescent="0.25">
      <c r="W5997" s="111"/>
    </row>
    <row r="5998" spans="23:23" x14ac:dyDescent="0.25">
      <c r="W5998" s="111"/>
    </row>
    <row r="5999" spans="23:23" x14ac:dyDescent="0.25">
      <c r="W5999" s="111"/>
    </row>
    <row r="6000" spans="23:23" x14ac:dyDescent="0.25">
      <c r="W6000" s="111"/>
    </row>
    <row r="6001" spans="23:23" x14ac:dyDescent="0.25">
      <c r="W6001" s="111"/>
    </row>
    <row r="6002" spans="23:23" x14ac:dyDescent="0.25">
      <c r="W6002" s="111"/>
    </row>
    <row r="6003" spans="23:23" x14ac:dyDescent="0.25">
      <c r="W6003" s="111"/>
    </row>
    <row r="6004" spans="23:23" x14ac:dyDescent="0.25">
      <c r="W6004" s="111"/>
    </row>
    <row r="6005" spans="23:23" x14ac:dyDescent="0.25">
      <c r="W6005" s="111"/>
    </row>
    <row r="6006" spans="23:23" x14ac:dyDescent="0.25">
      <c r="W6006" s="111"/>
    </row>
    <row r="6007" spans="23:23" x14ac:dyDescent="0.25">
      <c r="W6007" s="111"/>
    </row>
    <row r="6008" spans="23:23" x14ac:dyDescent="0.25">
      <c r="W6008" s="111"/>
    </row>
    <row r="6009" spans="23:23" x14ac:dyDescent="0.25">
      <c r="W6009" s="111"/>
    </row>
    <row r="6010" spans="23:23" x14ac:dyDescent="0.25">
      <c r="W6010" s="111"/>
    </row>
    <row r="6011" spans="23:23" x14ac:dyDescent="0.25">
      <c r="W6011" s="111"/>
    </row>
    <row r="6012" spans="23:23" x14ac:dyDescent="0.25">
      <c r="W6012" s="111"/>
    </row>
    <row r="6013" spans="23:23" x14ac:dyDescent="0.25">
      <c r="W6013" s="111"/>
    </row>
    <row r="6014" spans="23:23" x14ac:dyDescent="0.25">
      <c r="W6014" s="111"/>
    </row>
    <row r="6015" spans="23:23" x14ac:dyDescent="0.25">
      <c r="W6015" s="111"/>
    </row>
    <row r="6016" spans="23:23" x14ac:dyDescent="0.25">
      <c r="W6016" s="111"/>
    </row>
    <row r="6017" spans="23:23" x14ac:dyDescent="0.25">
      <c r="W6017" s="111"/>
    </row>
    <row r="6018" spans="23:23" x14ac:dyDescent="0.25">
      <c r="W6018" s="111"/>
    </row>
    <row r="6019" spans="23:23" x14ac:dyDescent="0.25">
      <c r="W6019" s="111"/>
    </row>
    <row r="6020" spans="23:23" x14ac:dyDescent="0.25">
      <c r="W6020" s="111"/>
    </row>
    <row r="6021" spans="23:23" x14ac:dyDescent="0.25">
      <c r="W6021" s="111"/>
    </row>
    <row r="6022" spans="23:23" x14ac:dyDescent="0.25">
      <c r="W6022" s="111"/>
    </row>
    <row r="6023" spans="23:23" x14ac:dyDescent="0.25">
      <c r="W6023" s="111"/>
    </row>
    <row r="6024" spans="23:23" x14ac:dyDescent="0.25">
      <c r="W6024" s="111"/>
    </row>
    <row r="6025" spans="23:23" x14ac:dyDescent="0.25">
      <c r="W6025" s="111"/>
    </row>
    <row r="6026" spans="23:23" x14ac:dyDescent="0.25">
      <c r="W6026" s="111"/>
    </row>
    <row r="6027" spans="23:23" x14ac:dyDescent="0.25">
      <c r="W6027" s="111"/>
    </row>
    <row r="6028" spans="23:23" x14ac:dyDescent="0.25">
      <c r="W6028" s="111"/>
    </row>
    <row r="6029" spans="23:23" x14ac:dyDescent="0.25">
      <c r="W6029" s="111"/>
    </row>
    <row r="6030" spans="23:23" x14ac:dyDescent="0.25">
      <c r="W6030" s="111"/>
    </row>
    <row r="6031" spans="23:23" x14ac:dyDescent="0.25">
      <c r="W6031" s="111"/>
    </row>
    <row r="6032" spans="23:23" x14ac:dyDescent="0.25">
      <c r="W6032" s="111"/>
    </row>
    <row r="6033" spans="23:23" x14ac:dyDescent="0.25">
      <c r="W6033" s="111"/>
    </row>
    <row r="6034" spans="23:23" x14ac:dyDescent="0.25">
      <c r="W6034" s="111"/>
    </row>
    <row r="6035" spans="23:23" x14ac:dyDescent="0.25">
      <c r="W6035" s="111"/>
    </row>
    <row r="6036" spans="23:23" x14ac:dyDescent="0.25">
      <c r="W6036" s="111"/>
    </row>
    <row r="6037" spans="23:23" x14ac:dyDescent="0.25">
      <c r="W6037" s="111"/>
    </row>
    <row r="6038" spans="23:23" x14ac:dyDescent="0.25">
      <c r="W6038" s="111"/>
    </row>
    <row r="6039" spans="23:23" x14ac:dyDescent="0.25">
      <c r="W6039" s="111"/>
    </row>
    <row r="6040" spans="23:23" x14ac:dyDescent="0.25">
      <c r="W6040" s="111"/>
    </row>
    <row r="6041" spans="23:23" x14ac:dyDescent="0.25">
      <c r="W6041" s="111"/>
    </row>
    <row r="6042" spans="23:23" x14ac:dyDescent="0.25">
      <c r="W6042" s="111"/>
    </row>
    <row r="6043" spans="23:23" x14ac:dyDescent="0.25">
      <c r="W6043" s="111"/>
    </row>
    <row r="6044" spans="23:23" x14ac:dyDescent="0.25">
      <c r="W6044" s="111"/>
    </row>
    <row r="6045" spans="23:23" x14ac:dyDescent="0.25">
      <c r="W6045" s="111"/>
    </row>
    <row r="6046" spans="23:23" x14ac:dyDescent="0.25">
      <c r="W6046" s="111"/>
    </row>
    <row r="6047" spans="23:23" x14ac:dyDescent="0.25">
      <c r="W6047" s="111"/>
    </row>
    <row r="6048" spans="23:23" x14ac:dyDescent="0.25">
      <c r="W6048" s="111"/>
    </row>
    <row r="6049" spans="23:23" x14ac:dyDescent="0.25">
      <c r="W6049" s="111"/>
    </row>
    <row r="6050" spans="23:23" x14ac:dyDescent="0.25">
      <c r="W6050" s="111"/>
    </row>
    <row r="6051" spans="23:23" x14ac:dyDescent="0.25">
      <c r="W6051" s="111"/>
    </row>
    <row r="6052" spans="23:23" x14ac:dyDescent="0.25">
      <c r="W6052" s="111"/>
    </row>
    <row r="6053" spans="23:23" x14ac:dyDescent="0.25">
      <c r="W6053" s="111"/>
    </row>
    <row r="6054" spans="23:23" x14ac:dyDescent="0.25">
      <c r="W6054" s="111"/>
    </row>
    <row r="6055" spans="23:23" x14ac:dyDescent="0.25">
      <c r="W6055" s="111"/>
    </row>
    <row r="6056" spans="23:23" x14ac:dyDescent="0.25">
      <c r="W6056" s="111"/>
    </row>
    <row r="6057" spans="23:23" x14ac:dyDescent="0.25">
      <c r="W6057" s="111"/>
    </row>
    <row r="6058" spans="23:23" x14ac:dyDescent="0.25">
      <c r="W6058" s="111"/>
    </row>
    <row r="6059" spans="23:23" x14ac:dyDescent="0.25">
      <c r="W6059" s="111"/>
    </row>
    <row r="6060" spans="23:23" x14ac:dyDescent="0.25">
      <c r="W6060" s="111"/>
    </row>
    <row r="6061" spans="23:23" x14ac:dyDescent="0.25">
      <c r="W6061" s="111"/>
    </row>
    <row r="6062" spans="23:23" x14ac:dyDescent="0.25">
      <c r="W6062" s="111"/>
    </row>
    <row r="6063" spans="23:23" x14ac:dyDescent="0.25">
      <c r="W6063" s="111"/>
    </row>
    <row r="6064" spans="23:23" x14ac:dyDescent="0.25">
      <c r="W6064" s="111"/>
    </row>
    <row r="6065" spans="23:23" x14ac:dyDescent="0.25">
      <c r="W6065" s="111"/>
    </row>
    <row r="6066" spans="23:23" x14ac:dyDescent="0.25">
      <c r="W6066" s="111"/>
    </row>
    <row r="6067" spans="23:23" x14ac:dyDescent="0.25">
      <c r="W6067" s="111"/>
    </row>
    <row r="6068" spans="23:23" x14ac:dyDescent="0.25">
      <c r="W6068" s="111"/>
    </row>
    <row r="6069" spans="23:23" x14ac:dyDescent="0.25">
      <c r="W6069" s="111"/>
    </row>
    <row r="6070" spans="23:23" x14ac:dyDescent="0.25">
      <c r="W6070" s="111"/>
    </row>
    <row r="6071" spans="23:23" x14ac:dyDescent="0.25">
      <c r="W6071" s="111"/>
    </row>
    <row r="6072" spans="23:23" x14ac:dyDescent="0.25">
      <c r="W6072" s="111"/>
    </row>
    <row r="6073" spans="23:23" x14ac:dyDescent="0.25">
      <c r="W6073" s="111"/>
    </row>
    <row r="6074" spans="23:23" x14ac:dyDescent="0.25">
      <c r="W6074" s="111"/>
    </row>
    <row r="6075" spans="23:23" x14ac:dyDescent="0.25">
      <c r="W6075" s="111"/>
    </row>
    <row r="6076" spans="23:23" x14ac:dyDescent="0.25">
      <c r="W6076" s="111"/>
    </row>
    <row r="6077" spans="23:23" x14ac:dyDescent="0.25">
      <c r="W6077" s="111"/>
    </row>
    <row r="6078" spans="23:23" x14ac:dyDescent="0.25">
      <c r="W6078" s="111"/>
    </row>
    <row r="6079" spans="23:23" x14ac:dyDescent="0.25">
      <c r="W6079" s="111"/>
    </row>
    <row r="6080" spans="23:23" x14ac:dyDescent="0.25">
      <c r="W6080" s="111"/>
    </row>
    <row r="6081" spans="23:23" x14ac:dyDescent="0.25">
      <c r="W6081" s="111"/>
    </row>
    <row r="6082" spans="23:23" x14ac:dyDescent="0.25">
      <c r="W6082" s="111"/>
    </row>
    <row r="6083" spans="23:23" x14ac:dyDescent="0.25">
      <c r="W6083" s="111"/>
    </row>
    <row r="6084" spans="23:23" x14ac:dyDescent="0.25">
      <c r="W6084" s="111"/>
    </row>
    <row r="6085" spans="23:23" x14ac:dyDescent="0.25">
      <c r="W6085" s="111"/>
    </row>
    <row r="6086" spans="23:23" x14ac:dyDescent="0.25">
      <c r="W6086" s="111"/>
    </row>
    <row r="6087" spans="23:23" x14ac:dyDescent="0.25">
      <c r="W6087" s="111"/>
    </row>
    <row r="6088" spans="23:23" x14ac:dyDescent="0.25">
      <c r="W6088" s="111"/>
    </row>
    <row r="6089" spans="23:23" x14ac:dyDescent="0.25">
      <c r="W6089" s="111"/>
    </row>
    <row r="6090" spans="23:23" x14ac:dyDescent="0.25">
      <c r="W6090" s="111"/>
    </row>
    <row r="6091" spans="23:23" x14ac:dyDescent="0.25">
      <c r="W6091" s="111"/>
    </row>
    <row r="6092" spans="23:23" x14ac:dyDescent="0.25">
      <c r="W6092" s="111"/>
    </row>
    <row r="6093" spans="23:23" x14ac:dyDescent="0.25">
      <c r="W6093" s="111"/>
    </row>
    <row r="6094" spans="23:23" x14ac:dyDescent="0.25">
      <c r="W6094" s="111"/>
    </row>
    <row r="6095" spans="23:23" x14ac:dyDescent="0.25">
      <c r="W6095" s="111"/>
    </row>
    <row r="6096" spans="23:23" x14ac:dyDescent="0.25">
      <c r="W6096" s="111"/>
    </row>
    <row r="6097" spans="23:23" x14ac:dyDescent="0.25">
      <c r="W6097" s="111"/>
    </row>
    <row r="6098" spans="23:23" x14ac:dyDescent="0.25">
      <c r="W6098" s="111"/>
    </row>
    <row r="6099" spans="23:23" x14ac:dyDescent="0.25">
      <c r="W6099" s="111"/>
    </row>
    <row r="6100" spans="23:23" x14ac:dyDescent="0.25">
      <c r="W6100" s="111"/>
    </row>
    <row r="6101" spans="23:23" x14ac:dyDescent="0.25">
      <c r="W6101" s="111"/>
    </row>
    <row r="6102" spans="23:23" x14ac:dyDescent="0.25">
      <c r="W6102" s="111"/>
    </row>
    <row r="6103" spans="23:23" x14ac:dyDescent="0.25">
      <c r="W6103" s="111"/>
    </row>
    <row r="6104" spans="23:23" x14ac:dyDescent="0.25">
      <c r="W6104" s="111"/>
    </row>
    <row r="6105" spans="23:23" x14ac:dyDescent="0.25">
      <c r="W6105" s="111"/>
    </row>
    <row r="6106" spans="23:23" x14ac:dyDescent="0.25">
      <c r="W6106" s="111"/>
    </row>
    <row r="6107" spans="23:23" x14ac:dyDescent="0.25">
      <c r="W6107" s="111"/>
    </row>
    <row r="6108" spans="23:23" x14ac:dyDescent="0.25">
      <c r="W6108" s="111"/>
    </row>
    <row r="6109" spans="23:23" x14ac:dyDescent="0.25">
      <c r="W6109" s="111"/>
    </row>
    <row r="6110" spans="23:23" x14ac:dyDescent="0.25">
      <c r="W6110" s="111"/>
    </row>
    <row r="6111" spans="23:23" x14ac:dyDescent="0.25">
      <c r="W6111" s="111"/>
    </row>
    <row r="6112" spans="23:23" x14ac:dyDescent="0.25">
      <c r="W6112" s="111"/>
    </row>
    <row r="6113" spans="23:23" x14ac:dyDescent="0.25">
      <c r="W6113" s="111"/>
    </row>
    <row r="6114" spans="23:23" x14ac:dyDescent="0.25">
      <c r="W6114" s="111"/>
    </row>
    <row r="6115" spans="23:23" x14ac:dyDescent="0.25">
      <c r="W6115" s="111"/>
    </row>
    <row r="6116" spans="23:23" x14ac:dyDescent="0.25">
      <c r="W6116" s="111"/>
    </row>
    <row r="6117" spans="23:23" x14ac:dyDescent="0.25">
      <c r="W6117" s="111"/>
    </row>
    <row r="6118" spans="23:23" x14ac:dyDescent="0.25">
      <c r="W6118" s="111"/>
    </row>
    <row r="6119" spans="23:23" x14ac:dyDescent="0.25">
      <c r="W6119" s="111"/>
    </row>
    <row r="6120" spans="23:23" x14ac:dyDescent="0.25">
      <c r="W6120" s="111"/>
    </row>
    <row r="6121" spans="23:23" x14ac:dyDescent="0.25">
      <c r="W6121" s="111"/>
    </row>
    <row r="6122" spans="23:23" x14ac:dyDescent="0.25">
      <c r="W6122" s="111"/>
    </row>
    <row r="6123" spans="23:23" x14ac:dyDescent="0.25">
      <c r="W6123" s="111"/>
    </row>
    <row r="6124" spans="23:23" x14ac:dyDescent="0.25">
      <c r="W6124" s="111"/>
    </row>
    <row r="6125" spans="23:23" x14ac:dyDescent="0.25">
      <c r="W6125" s="111"/>
    </row>
    <row r="6126" spans="23:23" x14ac:dyDescent="0.25">
      <c r="W6126" s="111"/>
    </row>
    <row r="6127" spans="23:23" x14ac:dyDescent="0.25">
      <c r="W6127" s="111"/>
    </row>
    <row r="6128" spans="23:23" x14ac:dyDescent="0.25">
      <c r="W6128" s="111"/>
    </row>
    <row r="6129" spans="23:23" x14ac:dyDescent="0.25">
      <c r="W6129" s="111"/>
    </row>
    <row r="6130" spans="23:23" x14ac:dyDescent="0.25">
      <c r="W6130" s="111"/>
    </row>
    <row r="6131" spans="23:23" x14ac:dyDescent="0.25">
      <c r="W6131" s="111"/>
    </row>
    <row r="6132" spans="23:23" x14ac:dyDescent="0.25">
      <c r="W6132" s="111"/>
    </row>
    <row r="6133" spans="23:23" x14ac:dyDescent="0.25">
      <c r="W6133" s="111"/>
    </row>
    <row r="6134" spans="23:23" x14ac:dyDescent="0.25">
      <c r="W6134" s="111"/>
    </row>
    <row r="6135" spans="23:23" x14ac:dyDescent="0.25">
      <c r="W6135" s="111"/>
    </row>
    <row r="6136" spans="23:23" x14ac:dyDescent="0.25">
      <c r="W6136" s="111"/>
    </row>
    <row r="6137" spans="23:23" x14ac:dyDescent="0.25">
      <c r="W6137" s="111"/>
    </row>
    <row r="6138" spans="23:23" x14ac:dyDescent="0.25">
      <c r="W6138" s="111"/>
    </row>
    <row r="6139" spans="23:23" x14ac:dyDescent="0.25">
      <c r="W6139" s="111"/>
    </row>
    <row r="6140" spans="23:23" x14ac:dyDescent="0.25">
      <c r="W6140" s="111"/>
    </row>
    <row r="6141" spans="23:23" x14ac:dyDescent="0.25">
      <c r="W6141" s="111"/>
    </row>
    <row r="6142" spans="23:23" x14ac:dyDescent="0.25">
      <c r="W6142" s="111"/>
    </row>
    <row r="6143" spans="23:23" x14ac:dyDescent="0.25">
      <c r="W6143" s="111"/>
    </row>
    <row r="6144" spans="23:23" x14ac:dyDescent="0.25">
      <c r="W6144" s="111"/>
    </row>
    <row r="6145" spans="23:23" x14ac:dyDescent="0.25">
      <c r="W6145" s="111"/>
    </row>
    <row r="6146" spans="23:23" x14ac:dyDescent="0.25">
      <c r="W6146" s="111"/>
    </row>
    <row r="6147" spans="23:23" x14ac:dyDescent="0.25">
      <c r="W6147" s="111"/>
    </row>
    <row r="6148" spans="23:23" x14ac:dyDescent="0.25">
      <c r="W6148" s="111"/>
    </row>
    <row r="6149" spans="23:23" x14ac:dyDescent="0.25">
      <c r="W6149" s="111"/>
    </row>
    <row r="6150" spans="23:23" x14ac:dyDescent="0.25">
      <c r="W6150" s="111"/>
    </row>
    <row r="6151" spans="23:23" x14ac:dyDescent="0.25">
      <c r="W6151" s="111"/>
    </row>
    <row r="6152" spans="23:23" x14ac:dyDescent="0.25">
      <c r="W6152" s="111"/>
    </row>
    <row r="6153" spans="23:23" x14ac:dyDescent="0.25">
      <c r="W6153" s="111"/>
    </row>
    <row r="6154" spans="23:23" x14ac:dyDescent="0.25">
      <c r="W6154" s="111"/>
    </row>
    <row r="6155" spans="23:23" x14ac:dyDescent="0.25">
      <c r="W6155" s="111"/>
    </row>
    <row r="6156" spans="23:23" x14ac:dyDescent="0.25">
      <c r="W6156" s="111"/>
    </row>
    <row r="6157" spans="23:23" x14ac:dyDescent="0.25">
      <c r="W6157" s="111"/>
    </row>
    <row r="6158" spans="23:23" x14ac:dyDescent="0.25">
      <c r="W6158" s="111"/>
    </row>
    <row r="6159" spans="23:23" x14ac:dyDescent="0.25">
      <c r="W6159" s="111"/>
    </row>
    <row r="6160" spans="23:23" x14ac:dyDescent="0.25">
      <c r="W6160" s="111"/>
    </row>
    <row r="6161" spans="23:23" x14ac:dyDescent="0.25">
      <c r="W6161" s="111"/>
    </row>
    <row r="6162" spans="23:23" x14ac:dyDescent="0.25">
      <c r="W6162" s="111"/>
    </row>
    <row r="6163" spans="23:23" x14ac:dyDescent="0.25">
      <c r="W6163" s="111"/>
    </row>
    <row r="6164" spans="23:23" x14ac:dyDescent="0.25">
      <c r="W6164" s="111"/>
    </row>
    <row r="6165" spans="23:23" x14ac:dyDescent="0.25">
      <c r="W6165" s="111"/>
    </row>
    <row r="6166" spans="23:23" x14ac:dyDescent="0.25">
      <c r="W6166" s="111"/>
    </row>
    <row r="6167" spans="23:23" x14ac:dyDescent="0.25">
      <c r="W6167" s="111"/>
    </row>
    <row r="6168" spans="23:23" x14ac:dyDescent="0.25">
      <c r="W6168" s="111"/>
    </row>
    <row r="6169" spans="23:23" x14ac:dyDescent="0.25">
      <c r="W6169" s="111"/>
    </row>
    <row r="6170" spans="23:23" x14ac:dyDescent="0.25">
      <c r="W6170" s="111"/>
    </row>
    <row r="6171" spans="23:23" x14ac:dyDescent="0.25">
      <c r="W6171" s="111"/>
    </row>
    <row r="6172" spans="23:23" x14ac:dyDescent="0.25">
      <c r="W6172" s="111"/>
    </row>
    <row r="6173" spans="23:23" x14ac:dyDescent="0.25">
      <c r="W6173" s="111"/>
    </row>
    <row r="6174" spans="23:23" x14ac:dyDescent="0.25">
      <c r="W6174" s="111"/>
    </row>
    <row r="6175" spans="23:23" x14ac:dyDescent="0.25">
      <c r="W6175" s="111"/>
    </row>
    <row r="6176" spans="23:23" x14ac:dyDescent="0.25">
      <c r="W6176" s="111"/>
    </row>
    <row r="6177" spans="23:23" x14ac:dyDescent="0.25">
      <c r="W6177" s="111"/>
    </row>
    <row r="6178" spans="23:23" x14ac:dyDescent="0.25">
      <c r="W6178" s="111"/>
    </row>
    <row r="6179" spans="23:23" x14ac:dyDescent="0.25">
      <c r="W6179" s="111"/>
    </row>
    <row r="6180" spans="23:23" x14ac:dyDescent="0.25">
      <c r="W6180" s="111"/>
    </row>
    <row r="6181" spans="23:23" x14ac:dyDescent="0.25">
      <c r="W6181" s="111"/>
    </row>
    <row r="6182" spans="23:23" x14ac:dyDescent="0.25">
      <c r="W6182" s="111"/>
    </row>
    <row r="6183" spans="23:23" x14ac:dyDescent="0.25">
      <c r="W6183" s="111"/>
    </row>
    <row r="6184" spans="23:23" x14ac:dyDescent="0.25">
      <c r="W6184" s="111"/>
    </row>
    <row r="6185" spans="23:23" x14ac:dyDescent="0.25">
      <c r="W6185" s="111"/>
    </row>
    <row r="6186" spans="23:23" x14ac:dyDescent="0.25">
      <c r="W6186" s="111"/>
    </row>
    <row r="6187" spans="23:23" x14ac:dyDescent="0.25">
      <c r="W6187" s="111"/>
    </row>
    <row r="6188" spans="23:23" x14ac:dyDescent="0.25">
      <c r="W6188" s="111"/>
    </row>
    <row r="6189" spans="23:23" x14ac:dyDescent="0.25">
      <c r="W6189" s="111"/>
    </row>
    <row r="6190" spans="23:23" x14ac:dyDescent="0.25">
      <c r="W6190" s="111"/>
    </row>
    <row r="6191" spans="23:23" x14ac:dyDescent="0.25">
      <c r="W6191" s="111"/>
    </row>
    <row r="6192" spans="23:23" x14ac:dyDescent="0.25">
      <c r="W6192" s="111"/>
    </row>
    <row r="6193" spans="23:23" x14ac:dyDescent="0.25">
      <c r="W6193" s="111"/>
    </row>
    <row r="6194" spans="23:23" x14ac:dyDescent="0.25">
      <c r="W6194" s="111"/>
    </row>
    <row r="6195" spans="23:23" x14ac:dyDescent="0.25">
      <c r="W6195" s="111"/>
    </row>
    <row r="6196" spans="23:23" x14ac:dyDescent="0.25">
      <c r="W6196" s="111"/>
    </row>
    <row r="6197" spans="23:23" x14ac:dyDescent="0.25">
      <c r="W6197" s="111"/>
    </row>
    <row r="6198" spans="23:23" x14ac:dyDescent="0.25">
      <c r="W6198" s="111"/>
    </row>
    <row r="6199" spans="23:23" x14ac:dyDescent="0.25">
      <c r="W6199" s="111"/>
    </row>
    <row r="6200" spans="23:23" x14ac:dyDescent="0.25">
      <c r="W6200" s="111"/>
    </row>
    <row r="6201" spans="23:23" x14ac:dyDescent="0.25">
      <c r="W6201" s="111"/>
    </row>
    <row r="6202" spans="23:23" x14ac:dyDescent="0.25">
      <c r="W6202" s="111"/>
    </row>
    <row r="6203" spans="23:23" x14ac:dyDescent="0.25">
      <c r="W6203" s="111"/>
    </row>
    <row r="6204" spans="23:23" x14ac:dyDescent="0.25">
      <c r="W6204" s="111"/>
    </row>
    <row r="6205" spans="23:23" x14ac:dyDescent="0.25">
      <c r="W6205" s="111"/>
    </row>
    <row r="6206" spans="23:23" x14ac:dyDescent="0.25">
      <c r="W6206" s="111"/>
    </row>
    <row r="6207" spans="23:23" x14ac:dyDescent="0.25">
      <c r="W6207" s="111"/>
    </row>
    <row r="6208" spans="23:23" x14ac:dyDescent="0.25">
      <c r="W6208" s="111"/>
    </row>
    <row r="6209" spans="23:23" x14ac:dyDescent="0.25">
      <c r="W6209" s="111"/>
    </row>
    <row r="6210" spans="23:23" x14ac:dyDescent="0.25">
      <c r="W6210" s="111"/>
    </row>
    <row r="6211" spans="23:23" x14ac:dyDescent="0.25">
      <c r="W6211" s="111"/>
    </row>
    <row r="6212" spans="23:23" x14ac:dyDescent="0.25">
      <c r="W6212" s="111"/>
    </row>
    <row r="6213" spans="23:23" x14ac:dyDescent="0.25">
      <c r="W6213" s="111"/>
    </row>
    <row r="6214" spans="23:23" x14ac:dyDescent="0.25">
      <c r="W6214" s="111"/>
    </row>
    <row r="6215" spans="23:23" x14ac:dyDescent="0.25">
      <c r="W6215" s="111"/>
    </row>
    <row r="6216" spans="23:23" x14ac:dyDescent="0.25">
      <c r="W6216" s="111"/>
    </row>
    <row r="6217" spans="23:23" x14ac:dyDescent="0.25">
      <c r="W6217" s="111"/>
    </row>
    <row r="6218" spans="23:23" x14ac:dyDescent="0.25">
      <c r="W6218" s="111"/>
    </row>
    <row r="6219" spans="23:23" x14ac:dyDescent="0.25">
      <c r="W6219" s="111"/>
    </row>
    <row r="6220" spans="23:23" x14ac:dyDescent="0.25">
      <c r="W6220" s="111"/>
    </row>
    <row r="6221" spans="23:23" x14ac:dyDescent="0.25">
      <c r="W6221" s="111"/>
    </row>
    <row r="6222" spans="23:23" x14ac:dyDescent="0.25">
      <c r="W6222" s="111"/>
    </row>
    <row r="6223" spans="23:23" x14ac:dyDescent="0.25">
      <c r="W6223" s="111"/>
    </row>
    <row r="6224" spans="23:23" x14ac:dyDescent="0.25">
      <c r="W6224" s="111"/>
    </row>
    <row r="6225" spans="23:23" x14ac:dyDescent="0.25">
      <c r="W6225" s="111"/>
    </row>
    <row r="6226" spans="23:23" x14ac:dyDescent="0.25">
      <c r="W6226" s="111"/>
    </row>
    <row r="6227" spans="23:23" x14ac:dyDescent="0.25">
      <c r="W6227" s="111"/>
    </row>
    <row r="6228" spans="23:23" x14ac:dyDescent="0.25">
      <c r="W6228" s="111"/>
    </row>
    <row r="6229" spans="23:23" x14ac:dyDescent="0.25">
      <c r="W6229" s="111"/>
    </row>
    <row r="6230" spans="23:23" x14ac:dyDescent="0.25">
      <c r="W6230" s="111"/>
    </row>
    <row r="6231" spans="23:23" x14ac:dyDescent="0.25">
      <c r="W6231" s="111"/>
    </row>
    <row r="6232" spans="23:23" x14ac:dyDescent="0.25">
      <c r="W6232" s="111"/>
    </row>
    <row r="6233" spans="23:23" x14ac:dyDescent="0.25">
      <c r="W6233" s="111"/>
    </row>
    <row r="6234" spans="23:23" x14ac:dyDescent="0.25">
      <c r="W6234" s="111"/>
    </row>
    <row r="6235" spans="23:23" x14ac:dyDescent="0.25">
      <c r="W6235" s="111"/>
    </row>
    <row r="6236" spans="23:23" x14ac:dyDescent="0.25">
      <c r="W6236" s="111"/>
    </row>
    <row r="6237" spans="23:23" x14ac:dyDescent="0.25">
      <c r="W6237" s="111"/>
    </row>
    <row r="6238" spans="23:23" x14ac:dyDescent="0.25">
      <c r="W6238" s="111"/>
    </row>
    <row r="6239" spans="23:23" x14ac:dyDescent="0.25">
      <c r="W6239" s="111"/>
    </row>
    <row r="6240" spans="23:23" x14ac:dyDescent="0.25">
      <c r="W6240" s="111"/>
    </row>
    <row r="6241" spans="23:23" x14ac:dyDescent="0.25">
      <c r="W6241" s="111"/>
    </row>
    <row r="6242" spans="23:23" x14ac:dyDescent="0.25">
      <c r="W6242" s="111"/>
    </row>
    <row r="6243" spans="23:23" x14ac:dyDescent="0.25">
      <c r="W6243" s="111"/>
    </row>
    <row r="6244" spans="23:23" x14ac:dyDescent="0.25">
      <c r="W6244" s="111"/>
    </row>
    <row r="6245" spans="23:23" x14ac:dyDescent="0.25">
      <c r="W6245" s="111"/>
    </row>
    <row r="6246" spans="23:23" x14ac:dyDescent="0.25">
      <c r="W6246" s="111"/>
    </row>
    <row r="6247" spans="23:23" x14ac:dyDescent="0.25">
      <c r="W6247" s="111"/>
    </row>
    <row r="6248" spans="23:23" x14ac:dyDescent="0.25">
      <c r="W6248" s="111"/>
    </row>
    <row r="6249" spans="23:23" x14ac:dyDescent="0.25">
      <c r="W6249" s="111"/>
    </row>
    <row r="6250" spans="23:23" x14ac:dyDescent="0.25">
      <c r="W6250" s="111"/>
    </row>
    <row r="6251" spans="23:23" x14ac:dyDescent="0.25">
      <c r="W6251" s="111"/>
    </row>
    <row r="6252" spans="23:23" x14ac:dyDescent="0.25">
      <c r="W6252" s="111"/>
    </row>
    <row r="6253" spans="23:23" x14ac:dyDescent="0.25">
      <c r="W6253" s="111"/>
    </row>
    <row r="6254" spans="23:23" x14ac:dyDescent="0.25">
      <c r="W6254" s="111"/>
    </row>
    <row r="6255" spans="23:23" x14ac:dyDescent="0.25">
      <c r="W6255" s="111"/>
    </row>
    <row r="6256" spans="23:23" x14ac:dyDescent="0.25">
      <c r="W6256" s="111"/>
    </row>
    <row r="6257" spans="23:23" x14ac:dyDescent="0.25">
      <c r="W6257" s="111"/>
    </row>
    <row r="6258" spans="23:23" x14ac:dyDescent="0.25">
      <c r="W6258" s="111"/>
    </row>
    <row r="6259" spans="23:23" x14ac:dyDescent="0.25">
      <c r="W6259" s="111"/>
    </row>
    <row r="6260" spans="23:23" x14ac:dyDescent="0.25">
      <c r="W6260" s="111"/>
    </row>
    <row r="6261" spans="23:23" x14ac:dyDescent="0.25">
      <c r="W6261" s="111"/>
    </row>
    <row r="6262" spans="23:23" x14ac:dyDescent="0.25">
      <c r="W6262" s="111"/>
    </row>
    <row r="6263" spans="23:23" x14ac:dyDescent="0.25">
      <c r="W6263" s="111"/>
    </row>
    <row r="6264" spans="23:23" x14ac:dyDescent="0.25">
      <c r="W6264" s="111"/>
    </row>
    <row r="6265" spans="23:23" x14ac:dyDescent="0.25">
      <c r="W6265" s="111"/>
    </row>
    <row r="6266" spans="23:23" x14ac:dyDescent="0.25">
      <c r="W6266" s="111"/>
    </row>
    <row r="6267" spans="23:23" x14ac:dyDescent="0.25">
      <c r="W6267" s="111"/>
    </row>
    <row r="6268" spans="23:23" x14ac:dyDescent="0.25">
      <c r="W6268" s="111"/>
    </row>
    <row r="6269" spans="23:23" x14ac:dyDescent="0.25">
      <c r="W6269" s="111"/>
    </row>
    <row r="6270" spans="23:23" x14ac:dyDescent="0.25">
      <c r="W6270" s="111"/>
    </row>
    <row r="6271" spans="23:23" x14ac:dyDescent="0.25">
      <c r="W6271" s="111"/>
    </row>
    <row r="6272" spans="23:23" x14ac:dyDescent="0.25">
      <c r="W6272" s="111"/>
    </row>
    <row r="6273" spans="23:23" x14ac:dyDescent="0.25">
      <c r="W6273" s="111"/>
    </row>
    <row r="6274" spans="23:23" x14ac:dyDescent="0.25">
      <c r="W6274" s="111"/>
    </row>
    <row r="6275" spans="23:23" x14ac:dyDescent="0.25">
      <c r="W6275" s="111"/>
    </row>
    <row r="6276" spans="23:23" x14ac:dyDescent="0.25">
      <c r="W6276" s="111"/>
    </row>
    <row r="6277" spans="23:23" x14ac:dyDescent="0.25">
      <c r="W6277" s="111"/>
    </row>
    <row r="6278" spans="23:23" x14ac:dyDescent="0.25">
      <c r="W6278" s="111"/>
    </row>
    <row r="6279" spans="23:23" x14ac:dyDescent="0.25">
      <c r="W6279" s="111"/>
    </row>
    <row r="6280" spans="23:23" x14ac:dyDescent="0.25">
      <c r="W6280" s="111"/>
    </row>
    <row r="6281" spans="23:23" x14ac:dyDescent="0.25">
      <c r="W6281" s="111"/>
    </row>
    <row r="6282" spans="23:23" x14ac:dyDescent="0.25">
      <c r="W6282" s="111"/>
    </row>
    <row r="6283" spans="23:23" x14ac:dyDescent="0.25">
      <c r="W6283" s="111"/>
    </row>
    <row r="6284" spans="23:23" x14ac:dyDescent="0.25">
      <c r="W6284" s="111"/>
    </row>
    <row r="6285" spans="23:23" x14ac:dyDescent="0.25">
      <c r="W6285" s="111"/>
    </row>
    <row r="6286" spans="23:23" x14ac:dyDescent="0.25">
      <c r="W6286" s="111"/>
    </row>
    <row r="6287" spans="23:23" x14ac:dyDescent="0.25">
      <c r="W6287" s="111"/>
    </row>
    <row r="6288" spans="23:23" x14ac:dyDescent="0.25">
      <c r="W6288" s="111"/>
    </row>
    <row r="6289" spans="23:23" x14ac:dyDescent="0.25">
      <c r="W6289" s="111"/>
    </row>
    <row r="6290" spans="23:23" x14ac:dyDescent="0.25">
      <c r="W6290" s="111"/>
    </row>
    <row r="6291" spans="23:23" x14ac:dyDescent="0.25">
      <c r="W6291" s="111"/>
    </row>
    <row r="6292" spans="23:23" x14ac:dyDescent="0.25">
      <c r="W6292" s="111"/>
    </row>
    <row r="6293" spans="23:23" x14ac:dyDescent="0.25">
      <c r="W6293" s="111"/>
    </row>
    <row r="6294" spans="23:23" x14ac:dyDescent="0.25">
      <c r="W6294" s="111"/>
    </row>
    <row r="6295" spans="23:23" x14ac:dyDescent="0.25">
      <c r="W6295" s="111"/>
    </row>
    <row r="6296" spans="23:23" x14ac:dyDescent="0.25">
      <c r="W6296" s="111"/>
    </row>
    <row r="6297" spans="23:23" x14ac:dyDescent="0.25">
      <c r="W6297" s="111"/>
    </row>
    <row r="6298" spans="23:23" x14ac:dyDescent="0.25">
      <c r="W6298" s="111"/>
    </row>
    <row r="6299" spans="23:23" x14ac:dyDescent="0.25">
      <c r="W6299" s="111"/>
    </row>
    <row r="6300" spans="23:23" x14ac:dyDescent="0.25">
      <c r="W6300" s="111"/>
    </row>
    <row r="6301" spans="23:23" x14ac:dyDescent="0.25">
      <c r="W6301" s="111"/>
    </row>
    <row r="6302" spans="23:23" x14ac:dyDescent="0.25">
      <c r="W6302" s="111"/>
    </row>
    <row r="6303" spans="23:23" x14ac:dyDescent="0.25">
      <c r="W6303" s="111"/>
    </row>
    <row r="6304" spans="23:23" x14ac:dyDescent="0.25">
      <c r="W6304" s="111"/>
    </row>
    <row r="6305" spans="23:23" x14ac:dyDescent="0.25">
      <c r="W6305" s="111"/>
    </row>
    <row r="6306" spans="23:23" x14ac:dyDescent="0.25">
      <c r="W6306" s="111"/>
    </row>
    <row r="6307" spans="23:23" x14ac:dyDescent="0.25">
      <c r="W6307" s="111"/>
    </row>
    <row r="6308" spans="23:23" x14ac:dyDescent="0.25">
      <c r="W6308" s="111"/>
    </row>
    <row r="6309" spans="23:23" x14ac:dyDescent="0.25">
      <c r="W6309" s="111"/>
    </row>
    <row r="6310" spans="23:23" x14ac:dyDescent="0.25">
      <c r="W6310" s="111"/>
    </row>
    <row r="6311" spans="23:23" x14ac:dyDescent="0.25">
      <c r="W6311" s="111"/>
    </row>
    <row r="6312" spans="23:23" x14ac:dyDescent="0.25">
      <c r="W6312" s="111"/>
    </row>
    <row r="6313" spans="23:23" x14ac:dyDescent="0.25">
      <c r="W6313" s="111"/>
    </row>
    <row r="6314" spans="23:23" x14ac:dyDescent="0.25">
      <c r="W6314" s="111"/>
    </row>
    <row r="6315" spans="23:23" x14ac:dyDescent="0.25">
      <c r="W6315" s="111"/>
    </row>
    <row r="6316" spans="23:23" x14ac:dyDescent="0.25">
      <c r="W6316" s="111"/>
    </row>
    <row r="6317" spans="23:23" x14ac:dyDescent="0.25">
      <c r="W6317" s="111"/>
    </row>
    <row r="6318" spans="23:23" x14ac:dyDescent="0.25">
      <c r="W6318" s="111"/>
    </row>
    <row r="6319" spans="23:23" x14ac:dyDescent="0.25">
      <c r="W6319" s="111"/>
    </row>
    <row r="6320" spans="23:23" x14ac:dyDescent="0.25">
      <c r="W6320" s="111"/>
    </row>
    <row r="6321" spans="23:23" x14ac:dyDescent="0.25">
      <c r="W6321" s="111"/>
    </row>
    <row r="6322" spans="23:23" x14ac:dyDescent="0.25">
      <c r="W6322" s="111"/>
    </row>
    <row r="6323" spans="23:23" x14ac:dyDescent="0.25">
      <c r="W6323" s="111"/>
    </row>
    <row r="6324" spans="23:23" x14ac:dyDescent="0.25">
      <c r="W6324" s="111"/>
    </row>
    <row r="6325" spans="23:23" x14ac:dyDescent="0.25">
      <c r="W6325" s="111"/>
    </row>
    <row r="6326" spans="23:23" x14ac:dyDescent="0.25">
      <c r="W6326" s="111"/>
    </row>
    <row r="6327" spans="23:23" x14ac:dyDescent="0.25">
      <c r="W6327" s="111"/>
    </row>
    <row r="6328" spans="23:23" x14ac:dyDescent="0.25">
      <c r="W6328" s="111"/>
    </row>
    <row r="6329" spans="23:23" x14ac:dyDescent="0.25">
      <c r="W6329" s="111"/>
    </row>
    <row r="6330" spans="23:23" x14ac:dyDescent="0.25">
      <c r="W6330" s="111"/>
    </row>
    <row r="6331" spans="23:23" x14ac:dyDescent="0.25">
      <c r="W6331" s="111"/>
    </row>
    <row r="6332" spans="23:23" x14ac:dyDescent="0.25">
      <c r="W6332" s="111"/>
    </row>
    <row r="6333" spans="23:23" x14ac:dyDescent="0.25">
      <c r="W6333" s="111"/>
    </row>
    <row r="6334" spans="23:23" x14ac:dyDescent="0.25">
      <c r="W6334" s="111"/>
    </row>
    <row r="6335" spans="23:23" x14ac:dyDescent="0.25">
      <c r="W6335" s="111"/>
    </row>
    <row r="6336" spans="23:23" x14ac:dyDescent="0.25">
      <c r="W6336" s="111"/>
    </row>
    <row r="6337" spans="23:23" x14ac:dyDescent="0.25">
      <c r="W6337" s="111"/>
    </row>
    <row r="6338" spans="23:23" x14ac:dyDescent="0.25">
      <c r="W6338" s="111"/>
    </row>
    <row r="6339" spans="23:23" x14ac:dyDescent="0.25">
      <c r="W6339" s="111"/>
    </row>
    <row r="6340" spans="23:23" x14ac:dyDescent="0.25">
      <c r="W6340" s="111"/>
    </row>
    <row r="6341" spans="23:23" x14ac:dyDescent="0.25">
      <c r="W6341" s="111"/>
    </row>
    <row r="6342" spans="23:23" x14ac:dyDescent="0.25">
      <c r="W6342" s="111"/>
    </row>
    <row r="6343" spans="23:23" x14ac:dyDescent="0.25">
      <c r="W6343" s="111"/>
    </row>
    <row r="6344" spans="23:23" x14ac:dyDescent="0.25">
      <c r="W6344" s="111"/>
    </row>
    <row r="6345" spans="23:23" x14ac:dyDescent="0.25">
      <c r="W6345" s="111"/>
    </row>
    <row r="6346" spans="23:23" x14ac:dyDescent="0.25">
      <c r="W6346" s="111"/>
    </row>
    <row r="6347" spans="23:23" x14ac:dyDescent="0.25">
      <c r="W6347" s="111"/>
    </row>
    <row r="6348" spans="23:23" x14ac:dyDescent="0.25">
      <c r="W6348" s="111"/>
    </row>
    <row r="6349" spans="23:23" x14ac:dyDescent="0.25">
      <c r="W6349" s="111"/>
    </row>
    <row r="6350" spans="23:23" x14ac:dyDescent="0.25">
      <c r="W6350" s="111"/>
    </row>
    <row r="6351" spans="23:23" x14ac:dyDescent="0.25">
      <c r="W6351" s="111"/>
    </row>
    <row r="6352" spans="23:23" x14ac:dyDescent="0.25">
      <c r="W6352" s="111"/>
    </row>
    <row r="6353" spans="23:23" x14ac:dyDescent="0.25">
      <c r="W6353" s="111"/>
    </row>
    <row r="6354" spans="23:23" x14ac:dyDescent="0.25">
      <c r="W6354" s="111"/>
    </row>
    <row r="6355" spans="23:23" x14ac:dyDescent="0.25">
      <c r="W6355" s="111"/>
    </row>
    <row r="6356" spans="23:23" x14ac:dyDescent="0.25">
      <c r="W6356" s="111"/>
    </row>
    <row r="6357" spans="23:23" x14ac:dyDescent="0.25">
      <c r="W6357" s="111"/>
    </row>
    <row r="6358" spans="23:23" x14ac:dyDescent="0.25">
      <c r="W6358" s="111"/>
    </row>
    <row r="6359" spans="23:23" x14ac:dyDescent="0.25">
      <c r="W6359" s="111"/>
    </row>
    <row r="6360" spans="23:23" x14ac:dyDescent="0.25">
      <c r="W6360" s="111"/>
    </row>
    <row r="6361" spans="23:23" x14ac:dyDescent="0.25">
      <c r="W6361" s="111"/>
    </row>
    <row r="6362" spans="23:23" x14ac:dyDescent="0.25">
      <c r="W6362" s="111"/>
    </row>
    <row r="6363" spans="23:23" x14ac:dyDescent="0.25">
      <c r="W6363" s="111"/>
    </row>
    <row r="6364" spans="23:23" x14ac:dyDescent="0.25">
      <c r="W6364" s="111"/>
    </row>
    <row r="6365" spans="23:23" x14ac:dyDescent="0.25">
      <c r="W6365" s="111"/>
    </row>
    <row r="6366" spans="23:23" x14ac:dyDescent="0.25">
      <c r="W6366" s="111"/>
    </row>
    <row r="6367" spans="23:23" x14ac:dyDescent="0.25">
      <c r="W6367" s="111"/>
    </row>
    <row r="6368" spans="23:23" x14ac:dyDescent="0.25">
      <c r="W6368" s="111"/>
    </row>
    <row r="6369" spans="23:23" x14ac:dyDescent="0.25">
      <c r="W6369" s="111"/>
    </row>
    <row r="6370" spans="23:23" x14ac:dyDescent="0.25">
      <c r="W6370" s="111"/>
    </row>
    <row r="6371" spans="23:23" x14ac:dyDescent="0.25">
      <c r="W6371" s="111"/>
    </row>
    <row r="6372" spans="23:23" x14ac:dyDescent="0.25">
      <c r="W6372" s="111"/>
    </row>
    <row r="6373" spans="23:23" x14ac:dyDescent="0.25">
      <c r="W6373" s="111"/>
    </row>
    <row r="6374" spans="23:23" x14ac:dyDescent="0.25">
      <c r="W6374" s="111"/>
    </row>
    <row r="6375" spans="23:23" x14ac:dyDescent="0.25">
      <c r="W6375" s="111"/>
    </row>
    <row r="6376" spans="23:23" x14ac:dyDescent="0.25">
      <c r="W6376" s="111"/>
    </row>
    <row r="6377" spans="23:23" x14ac:dyDescent="0.25">
      <c r="W6377" s="111"/>
    </row>
    <row r="6378" spans="23:23" x14ac:dyDescent="0.25">
      <c r="W6378" s="111"/>
    </row>
    <row r="6379" spans="23:23" x14ac:dyDescent="0.25">
      <c r="W6379" s="111"/>
    </row>
    <row r="6380" spans="23:23" x14ac:dyDescent="0.25">
      <c r="W6380" s="111"/>
    </row>
    <row r="6381" spans="23:23" x14ac:dyDescent="0.25">
      <c r="W6381" s="111"/>
    </row>
    <row r="6382" spans="23:23" x14ac:dyDescent="0.25">
      <c r="W6382" s="111"/>
    </row>
    <row r="6383" spans="23:23" x14ac:dyDescent="0.25">
      <c r="W6383" s="111"/>
    </row>
    <row r="6384" spans="23:23" x14ac:dyDescent="0.25">
      <c r="W6384" s="111"/>
    </row>
    <row r="6385" spans="23:23" x14ac:dyDescent="0.25">
      <c r="W6385" s="111"/>
    </row>
    <row r="6386" spans="23:23" x14ac:dyDescent="0.25">
      <c r="W6386" s="111"/>
    </row>
    <row r="6387" spans="23:23" x14ac:dyDescent="0.25">
      <c r="W6387" s="111"/>
    </row>
    <row r="6388" spans="23:23" x14ac:dyDescent="0.25">
      <c r="W6388" s="111"/>
    </row>
    <row r="6389" spans="23:23" x14ac:dyDescent="0.25">
      <c r="W6389" s="111"/>
    </row>
    <row r="6390" spans="23:23" x14ac:dyDescent="0.25">
      <c r="W6390" s="111"/>
    </row>
    <row r="6391" spans="23:23" x14ac:dyDescent="0.25">
      <c r="W6391" s="111"/>
    </row>
    <row r="6392" spans="23:23" x14ac:dyDescent="0.25">
      <c r="W6392" s="111"/>
    </row>
    <row r="6393" spans="23:23" x14ac:dyDescent="0.25">
      <c r="W6393" s="111"/>
    </row>
    <row r="6394" spans="23:23" x14ac:dyDescent="0.25">
      <c r="W6394" s="111"/>
    </row>
    <row r="6395" spans="23:23" x14ac:dyDescent="0.25">
      <c r="W6395" s="111"/>
    </row>
    <row r="6396" spans="23:23" x14ac:dyDescent="0.25">
      <c r="W6396" s="111"/>
    </row>
    <row r="6397" spans="23:23" x14ac:dyDescent="0.25">
      <c r="W6397" s="111"/>
    </row>
    <row r="6398" spans="23:23" x14ac:dyDescent="0.25">
      <c r="W6398" s="111"/>
    </row>
    <row r="6399" spans="23:23" x14ac:dyDescent="0.25">
      <c r="W6399" s="111"/>
    </row>
    <row r="6400" spans="23:23" x14ac:dyDescent="0.25">
      <c r="W6400" s="111"/>
    </row>
    <row r="6401" spans="23:23" x14ac:dyDescent="0.25">
      <c r="W6401" s="111"/>
    </row>
    <row r="6402" spans="23:23" x14ac:dyDescent="0.25">
      <c r="W6402" s="111"/>
    </row>
    <row r="6403" spans="23:23" x14ac:dyDescent="0.25">
      <c r="W6403" s="111"/>
    </row>
    <row r="6404" spans="23:23" x14ac:dyDescent="0.25">
      <c r="W6404" s="111"/>
    </row>
    <row r="6405" spans="23:23" x14ac:dyDescent="0.25">
      <c r="W6405" s="111"/>
    </row>
    <row r="6406" spans="23:23" x14ac:dyDescent="0.25">
      <c r="W6406" s="111"/>
    </row>
    <row r="6407" spans="23:23" x14ac:dyDescent="0.25">
      <c r="W6407" s="111"/>
    </row>
    <row r="6408" spans="23:23" x14ac:dyDescent="0.25">
      <c r="W6408" s="111"/>
    </row>
    <row r="6409" spans="23:23" x14ac:dyDescent="0.25">
      <c r="W6409" s="111"/>
    </row>
    <row r="6410" spans="23:23" x14ac:dyDescent="0.25">
      <c r="W6410" s="111"/>
    </row>
    <row r="6411" spans="23:23" x14ac:dyDescent="0.25">
      <c r="W6411" s="111"/>
    </row>
    <row r="6412" spans="23:23" x14ac:dyDescent="0.25">
      <c r="W6412" s="111"/>
    </row>
    <row r="6413" spans="23:23" x14ac:dyDescent="0.25">
      <c r="W6413" s="111"/>
    </row>
    <row r="6414" spans="23:23" x14ac:dyDescent="0.25">
      <c r="W6414" s="111"/>
    </row>
    <row r="6415" spans="23:23" x14ac:dyDescent="0.25">
      <c r="W6415" s="111"/>
    </row>
    <row r="6416" spans="23:23" x14ac:dyDescent="0.25">
      <c r="W6416" s="111"/>
    </row>
    <row r="6417" spans="23:23" x14ac:dyDescent="0.25">
      <c r="W6417" s="111"/>
    </row>
    <row r="6418" spans="23:23" x14ac:dyDescent="0.25">
      <c r="W6418" s="111"/>
    </row>
    <row r="6419" spans="23:23" x14ac:dyDescent="0.25">
      <c r="W6419" s="111"/>
    </row>
    <row r="6420" spans="23:23" x14ac:dyDescent="0.25">
      <c r="W6420" s="111"/>
    </row>
    <row r="6421" spans="23:23" x14ac:dyDescent="0.25">
      <c r="W6421" s="111"/>
    </row>
    <row r="6422" spans="23:23" x14ac:dyDescent="0.25">
      <c r="W6422" s="111"/>
    </row>
    <row r="6423" spans="23:23" x14ac:dyDescent="0.25">
      <c r="W6423" s="111"/>
    </row>
    <row r="6424" spans="23:23" x14ac:dyDescent="0.25">
      <c r="W6424" s="111"/>
    </row>
    <row r="6425" spans="23:23" x14ac:dyDescent="0.25">
      <c r="W6425" s="111"/>
    </row>
    <row r="6426" spans="23:23" x14ac:dyDescent="0.25">
      <c r="W6426" s="111"/>
    </row>
    <row r="6427" spans="23:23" x14ac:dyDescent="0.25">
      <c r="W6427" s="111"/>
    </row>
    <row r="6428" spans="23:23" x14ac:dyDescent="0.25">
      <c r="W6428" s="111"/>
    </row>
    <row r="6429" spans="23:23" x14ac:dyDescent="0.25">
      <c r="W6429" s="111"/>
    </row>
    <row r="6430" spans="23:23" x14ac:dyDescent="0.25">
      <c r="W6430" s="111"/>
    </row>
    <row r="6431" spans="23:23" x14ac:dyDescent="0.25">
      <c r="W6431" s="111"/>
    </row>
    <row r="6432" spans="23:23" x14ac:dyDescent="0.25">
      <c r="W6432" s="111"/>
    </row>
    <row r="6433" spans="23:23" x14ac:dyDescent="0.25">
      <c r="W6433" s="111"/>
    </row>
    <row r="6434" spans="23:23" x14ac:dyDescent="0.25">
      <c r="W6434" s="111"/>
    </row>
    <row r="6435" spans="23:23" x14ac:dyDescent="0.25">
      <c r="W6435" s="111"/>
    </row>
    <row r="6436" spans="23:23" x14ac:dyDescent="0.25">
      <c r="W6436" s="111"/>
    </row>
    <row r="6437" spans="23:23" x14ac:dyDescent="0.25">
      <c r="W6437" s="111"/>
    </row>
    <row r="6438" spans="23:23" x14ac:dyDescent="0.25">
      <c r="W6438" s="111"/>
    </row>
    <row r="6439" spans="23:23" x14ac:dyDescent="0.25">
      <c r="W6439" s="111"/>
    </row>
    <row r="6440" spans="23:23" x14ac:dyDescent="0.25">
      <c r="W6440" s="111"/>
    </row>
    <row r="6441" spans="23:23" x14ac:dyDescent="0.25">
      <c r="W6441" s="111"/>
    </row>
    <row r="6442" spans="23:23" x14ac:dyDescent="0.25">
      <c r="W6442" s="111"/>
    </row>
    <row r="6443" spans="23:23" x14ac:dyDescent="0.25">
      <c r="W6443" s="111"/>
    </row>
    <row r="6444" spans="23:23" x14ac:dyDescent="0.25">
      <c r="W6444" s="111"/>
    </row>
    <row r="6445" spans="23:23" x14ac:dyDescent="0.25">
      <c r="W6445" s="111"/>
    </row>
    <row r="6446" spans="23:23" x14ac:dyDescent="0.25">
      <c r="W6446" s="111"/>
    </row>
    <row r="6447" spans="23:23" x14ac:dyDescent="0.25">
      <c r="W6447" s="111"/>
    </row>
    <row r="6448" spans="23:23" x14ac:dyDescent="0.25">
      <c r="W6448" s="111"/>
    </row>
    <row r="6449" spans="23:23" x14ac:dyDescent="0.25">
      <c r="W6449" s="111"/>
    </row>
    <row r="6450" spans="23:23" x14ac:dyDescent="0.25">
      <c r="W6450" s="111"/>
    </row>
    <row r="6451" spans="23:23" x14ac:dyDescent="0.25">
      <c r="W6451" s="111"/>
    </row>
    <row r="6452" spans="23:23" x14ac:dyDescent="0.25">
      <c r="W6452" s="111"/>
    </row>
    <row r="6453" spans="23:23" x14ac:dyDescent="0.25">
      <c r="W6453" s="111"/>
    </row>
    <row r="6454" spans="23:23" x14ac:dyDescent="0.25">
      <c r="W6454" s="111"/>
    </row>
    <row r="6455" spans="23:23" x14ac:dyDescent="0.25">
      <c r="W6455" s="111"/>
    </row>
    <row r="6456" spans="23:23" x14ac:dyDescent="0.25">
      <c r="W6456" s="111"/>
    </row>
    <row r="6457" spans="23:23" x14ac:dyDescent="0.25">
      <c r="W6457" s="111"/>
    </row>
    <row r="6458" spans="23:23" x14ac:dyDescent="0.25">
      <c r="W6458" s="111"/>
    </row>
    <row r="6459" spans="23:23" x14ac:dyDescent="0.25">
      <c r="W6459" s="111"/>
    </row>
    <row r="6460" spans="23:23" x14ac:dyDescent="0.25">
      <c r="W6460" s="111"/>
    </row>
    <row r="6461" spans="23:23" x14ac:dyDescent="0.25">
      <c r="W6461" s="111"/>
    </row>
    <row r="6462" spans="23:23" x14ac:dyDescent="0.25">
      <c r="W6462" s="111"/>
    </row>
    <row r="6463" spans="23:23" x14ac:dyDescent="0.25">
      <c r="W6463" s="111"/>
    </row>
    <row r="6464" spans="23:23" x14ac:dyDescent="0.25">
      <c r="W6464" s="111"/>
    </row>
    <row r="6465" spans="23:23" x14ac:dyDescent="0.25">
      <c r="W6465" s="111"/>
    </row>
    <row r="6466" spans="23:23" x14ac:dyDescent="0.25">
      <c r="W6466" s="111"/>
    </row>
    <row r="6467" spans="23:23" x14ac:dyDescent="0.25">
      <c r="W6467" s="111"/>
    </row>
    <row r="6468" spans="23:23" x14ac:dyDescent="0.25">
      <c r="W6468" s="111"/>
    </row>
    <row r="6469" spans="23:23" x14ac:dyDescent="0.25">
      <c r="W6469" s="111"/>
    </row>
    <row r="6470" spans="23:23" x14ac:dyDescent="0.25">
      <c r="W6470" s="111"/>
    </row>
    <row r="6471" spans="23:23" x14ac:dyDescent="0.25">
      <c r="W6471" s="111"/>
    </row>
    <row r="6472" spans="23:23" x14ac:dyDescent="0.25">
      <c r="W6472" s="111"/>
    </row>
    <row r="6473" spans="23:23" x14ac:dyDescent="0.25">
      <c r="W6473" s="111"/>
    </row>
    <row r="6474" spans="23:23" x14ac:dyDescent="0.25">
      <c r="W6474" s="111"/>
    </row>
    <row r="6475" spans="23:23" x14ac:dyDescent="0.25">
      <c r="W6475" s="111"/>
    </row>
    <row r="6476" spans="23:23" x14ac:dyDescent="0.25">
      <c r="W6476" s="111"/>
    </row>
    <row r="6477" spans="23:23" x14ac:dyDescent="0.25">
      <c r="W6477" s="111"/>
    </row>
    <row r="6478" spans="23:23" x14ac:dyDescent="0.25">
      <c r="W6478" s="111"/>
    </row>
    <row r="6479" spans="23:23" x14ac:dyDescent="0.25">
      <c r="W6479" s="111"/>
    </row>
    <row r="6480" spans="23:23" x14ac:dyDescent="0.25">
      <c r="W6480" s="111"/>
    </row>
    <row r="6481" spans="23:23" x14ac:dyDescent="0.25">
      <c r="W6481" s="111"/>
    </row>
    <row r="6482" spans="23:23" x14ac:dyDescent="0.25">
      <c r="W6482" s="111"/>
    </row>
    <row r="6483" spans="23:23" x14ac:dyDescent="0.25">
      <c r="W6483" s="111"/>
    </row>
    <row r="6484" spans="23:23" x14ac:dyDescent="0.25">
      <c r="W6484" s="111"/>
    </row>
    <row r="6485" spans="23:23" x14ac:dyDescent="0.25">
      <c r="W6485" s="111"/>
    </row>
    <row r="6486" spans="23:23" x14ac:dyDescent="0.25">
      <c r="W6486" s="111"/>
    </row>
    <row r="6487" spans="23:23" x14ac:dyDescent="0.25">
      <c r="W6487" s="111"/>
    </row>
    <row r="6488" spans="23:23" x14ac:dyDescent="0.25">
      <c r="W6488" s="111"/>
    </row>
    <row r="6489" spans="23:23" x14ac:dyDescent="0.25">
      <c r="W6489" s="111"/>
    </row>
    <row r="6490" spans="23:23" x14ac:dyDescent="0.25">
      <c r="W6490" s="111"/>
    </row>
    <row r="6491" spans="23:23" x14ac:dyDescent="0.25">
      <c r="W6491" s="111"/>
    </row>
    <row r="6492" spans="23:23" x14ac:dyDescent="0.25">
      <c r="W6492" s="111"/>
    </row>
    <row r="6493" spans="23:23" x14ac:dyDescent="0.25">
      <c r="W6493" s="111"/>
    </row>
    <row r="6494" spans="23:23" x14ac:dyDescent="0.25">
      <c r="W6494" s="111"/>
    </row>
    <row r="6495" spans="23:23" x14ac:dyDescent="0.25">
      <c r="W6495" s="111"/>
    </row>
    <row r="6496" spans="23:23" x14ac:dyDescent="0.25">
      <c r="W6496" s="111"/>
    </row>
    <row r="6497" spans="23:23" x14ac:dyDescent="0.25">
      <c r="W6497" s="111"/>
    </row>
    <row r="6498" spans="23:23" x14ac:dyDescent="0.25">
      <c r="W6498" s="111"/>
    </row>
    <row r="6499" spans="23:23" x14ac:dyDescent="0.25">
      <c r="W6499" s="111"/>
    </row>
    <row r="6500" spans="23:23" x14ac:dyDescent="0.25">
      <c r="W6500" s="111"/>
    </row>
    <row r="6501" spans="23:23" x14ac:dyDescent="0.25">
      <c r="W6501" s="111"/>
    </row>
    <row r="6502" spans="23:23" x14ac:dyDescent="0.25">
      <c r="W6502" s="111"/>
    </row>
    <row r="6503" spans="23:23" x14ac:dyDescent="0.25">
      <c r="W6503" s="111"/>
    </row>
    <row r="6504" spans="23:23" x14ac:dyDescent="0.25">
      <c r="W6504" s="111"/>
    </row>
    <row r="6505" spans="23:23" x14ac:dyDescent="0.25">
      <c r="W6505" s="111"/>
    </row>
    <row r="6506" spans="23:23" x14ac:dyDescent="0.25">
      <c r="W6506" s="111"/>
    </row>
    <row r="6507" spans="23:23" x14ac:dyDescent="0.25">
      <c r="W6507" s="111"/>
    </row>
    <row r="6508" spans="23:23" x14ac:dyDescent="0.25">
      <c r="W6508" s="111"/>
    </row>
    <row r="6509" spans="23:23" x14ac:dyDescent="0.25">
      <c r="W6509" s="111"/>
    </row>
    <row r="6510" spans="23:23" x14ac:dyDescent="0.25">
      <c r="W6510" s="111"/>
    </row>
    <row r="6511" spans="23:23" x14ac:dyDescent="0.25">
      <c r="W6511" s="111"/>
    </row>
    <row r="6512" spans="23:23" x14ac:dyDescent="0.25">
      <c r="W6512" s="111"/>
    </row>
    <row r="6513" spans="23:23" x14ac:dyDescent="0.25">
      <c r="W6513" s="111"/>
    </row>
    <row r="6514" spans="23:23" x14ac:dyDescent="0.25">
      <c r="W6514" s="111"/>
    </row>
    <row r="6515" spans="23:23" x14ac:dyDescent="0.25">
      <c r="W6515" s="111"/>
    </row>
    <row r="6516" spans="23:23" x14ac:dyDescent="0.25">
      <c r="W6516" s="111"/>
    </row>
    <row r="6517" spans="23:23" x14ac:dyDescent="0.25">
      <c r="W6517" s="111"/>
    </row>
    <row r="6518" spans="23:23" x14ac:dyDescent="0.25">
      <c r="W6518" s="111"/>
    </row>
    <row r="6519" spans="23:23" x14ac:dyDescent="0.25">
      <c r="W6519" s="111"/>
    </row>
    <row r="6520" spans="23:23" x14ac:dyDescent="0.25">
      <c r="W6520" s="111"/>
    </row>
    <row r="6521" spans="23:23" x14ac:dyDescent="0.25">
      <c r="W6521" s="111"/>
    </row>
    <row r="6522" spans="23:23" x14ac:dyDescent="0.25">
      <c r="W6522" s="111"/>
    </row>
    <row r="6523" spans="23:23" x14ac:dyDescent="0.25">
      <c r="W6523" s="111"/>
    </row>
    <row r="6524" spans="23:23" x14ac:dyDescent="0.25">
      <c r="W6524" s="111"/>
    </row>
    <row r="6525" spans="23:23" x14ac:dyDescent="0.25">
      <c r="W6525" s="111"/>
    </row>
    <row r="6526" spans="23:23" x14ac:dyDescent="0.25">
      <c r="W6526" s="111"/>
    </row>
    <row r="6527" spans="23:23" x14ac:dyDescent="0.25">
      <c r="W6527" s="111"/>
    </row>
    <row r="6528" spans="23:23" x14ac:dyDescent="0.25">
      <c r="W6528" s="111"/>
    </row>
    <row r="6529" spans="23:23" x14ac:dyDescent="0.25">
      <c r="W6529" s="111"/>
    </row>
    <row r="6530" spans="23:23" x14ac:dyDescent="0.25">
      <c r="W6530" s="111"/>
    </row>
    <row r="6531" spans="23:23" x14ac:dyDescent="0.25">
      <c r="W6531" s="111"/>
    </row>
    <row r="6532" spans="23:23" x14ac:dyDescent="0.25">
      <c r="W6532" s="111"/>
    </row>
    <row r="6533" spans="23:23" x14ac:dyDescent="0.25">
      <c r="W6533" s="111"/>
    </row>
    <row r="6534" spans="23:23" x14ac:dyDescent="0.25">
      <c r="W6534" s="111"/>
    </row>
    <row r="6535" spans="23:23" x14ac:dyDescent="0.25">
      <c r="W6535" s="111"/>
    </row>
    <row r="6536" spans="23:23" x14ac:dyDescent="0.25">
      <c r="W6536" s="111"/>
    </row>
    <row r="6537" spans="23:23" x14ac:dyDescent="0.25">
      <c r="W6537" s="111"/>
    </row>
    <row r="6538" spans="23:23" x14ac:dyDescent="0.25">
      <c r="W6538" s="111"/>
    </row>
    <row r="6539" spans="23:23" x14ac:dyDescent="0.25">
      <c r="W6539" s="111"/>
    </row>
    <row r="6540" spans="23:23" x14ac:dyDescent="0.25">
      <c r="W6540" s="111"/>
    </row>
    <row r="6541" spans="23:23" x14ac:dyDescent="0.25">
      <c r="W6541" s="111"/>
    </row>
    <row r="6542" spans="23:23" x14ac:dyDescent="0.25">
      <c r="W6542" s="111"/>
    </row>
    <row r="6543" spans="23:23" x14ac:dyDescent="0.25">
      <c r="W6543" s="111"/>
    </row>
    <row r="6544" spans="23:23" x14ac:dyDescent="0.25">
      <c r="W6544" s="111"/>
    </row>
    <row r="6545" spans="23:23" x14ac:dyDescent="0.25">
      <c r="W6545" s="111"/>
    </row>
    <row r="6546" spans="23:23" x14ac:dyDescent="0.25">
      <c r="W6546" s="111"/>
    </row>
    <row r="6547" spans="23:23" x14ac:dyDescent="0.25">
      <c r="W6547" s="111"/>
    </row>
    <row r="6548" spans="23:23" x14ac:dyDescent="0.25">
      <c r="W6548" s="111"/>
    </row>
    <row r="6549" spans="23:23" x14ac:dyDescent="0.25">
      <c r="W6549" s="111"/>
    </row>
    <row r="6550" spans="23:23" x14ac:dyDescent="0.25">
      <c r="W6550" s="111"/>
    </row>
    <row r="6551" spans="23:23" x14ac:dyDescent="0.25">
      <c r="W6551" s="111"/>
    </row>
    <row r="6552" spans="23:23" x14ac:dyDescent="0.25">
      <c r="W6552" s="111"/>
    </row>
    <row r="6553" spans="23:23" x14ac:dyDescent="0.25">
      <c r="W6553" s="111"/>
    </row>
    <row r="6554" spans="23:23" x14ac:dyDescent="0.25">
      <c r="W6554" s="111"/>
    </row>
    <row r="6555" spans="23:23" x14ac:dyDescent="0.25">
      <c r="W6555" s="111"/>
    </row>
    <row r="6556" spans="23:23" x14ac:dyDescent="0.25">
      <c r="W6556" s="111"/>
    </row>
    <row r="6557" spans="23:23" x14ac:dyDescent="0.25">
      <c r="W6557" s="111"/>
    </row>
    <row r="6558" spans="23:23" x14ac:dyDescent="0.25">
      <c r="W6558" s="111"/>
    </row>
    <row r="6559" spans="23:23" x14ac:dyDescent="0.25">
      <c r="W6559" s="111"/>
    </row>
    <row r="6560" spans="23:23" x14ac:dyDescent="0.25">
      <c r="W6560" s="111"/>
    </row>
    <row r="6561" spans="23:23" x14ac:dyDescent="0.25">
      <c r="W6561" s="111"/>
    </row>
    <row r="6562" spans="23:23" x14ac:dyDescent="0.25">
      <c r="W6562" s="111"/>
    </row>
    <row r="6563" spans="23:23" x14ac:dyDescent="0.25">
      <c r="W6563" s="111"/>
    </row>
    <row r="6564" spans="23:23" x14ac:dyDescent="0.25">
      <c r="W6564" s="111"/>
    </row>
    <row r="6565" spans="23:23" x14ac:dyDescent="0.25">
      <c r="W6565" s="111"/>
    </row>
    <row r="6566" spans="23:23" x14ac:dyDescent="0.25">
      <c r="W6566" s="111"/>
    </row>
    <row r="6567" spans="23:23" x14ac:dyDescent="0.25">
      <c r="W6567" s="111"/>
    </row>
    <row r="6568" spans="23:23" x14ac:dyDescent="0.25">
      <c r="W6568" s="111"/>
    </row>
    <row r="6569" spans="23:23" x14ac:dyDescent="0.25">
      <c r="W6569" s="111"/>
    </row>
    <row r="6570" spans="23:23" x14ac:dyDescent="0.25">
      <c r="W6570" s="111"/>
    </row>
    <row r="6571" spans="23:23" x14ac:dyDescent="0.25">
      <c r="W6571" s="111"/>
    </row>
    <row r="6572" spans="23:23" x14ac:dyDescent="0.25">
      <c r="W6572" s="111"/>
    </row>
    <row r="6573" spans="23:23" x14ac:dyDescent="0.25">
      <c r="W6573" s="111"/>
    </row>
    <row r="6574" spans="23:23" x14ac:dyDescent="0.25">
      <c r="W6574" s="111"/>
    </row>
    <row r="6575" spans="23:23" x14ac:dyDescent="0.25">
      <c r="W6575" s="111"/>
    </row>
    <row r="6576" spans="23:23" x14ac:dyDescent="0.25">
      <c r="W6576" s="111"/>
    </row>
    <row r="6577" spans="23:23" x14ac:dyDescent="0.25">
      <c r="W6577" s="111"/>
    </row>
    <row r="6578" spans="23:23" x14ac:dyDescent="0.25">
      <c r="W6578" s="111"/>
    </row>
    <row r="6579" spans="23:23" x14ac:dyDescent="0.25">
      <c r="W6579" s="111"/>
    </row>
    <row r="6580" spans="23:23" x14ac:dyDescent="0.25">
      <c r="W6580" s="111"/>
    </row>
    <row r="6581" spans="23:23" x14ac:dyDescent="0.25">
      <c r="W6581" s="111"/>
    </row>
    <row r="6582" spans="23:23" x14ac:dyDescent="0.25">
      <c r="W6582" s="111"/>
    </row>
    <row r="6583" spans="23:23" x14ac:dyDescent="0.25">
      <c r="W6583" s="111"/>
    </row>
    <row r="6584" spans="23:23" x14ac:dyDescent="0.25">
      <c r="W6584" s="111"/>
    </row>
    <row r="6585" spans="23:23" x14ac:dyDescent="0.25">
      <c r="W6585" s="111"/>
    </row>
    <row r="6586" spans="23:23" x14ac:dyDescent="0.25">
      <c r="W6586" s="111"/>
    </row>
    <row r="6587" spans="23:23" x14ac:dyDescent="0.25">
      <c r="W6587" s="111"/>
    </row>
    <row r="6588" spans="23:23" x14ac:dyDescent="0.25">
      <c r="W6588" s="111"/>
    </row>
    <row r="6589" spans="23:23" x14ac:dyDescent="0.25">
      <c r="W6589" s="111"/>
    </row>
    <row r="6590" spans="23:23" x14ac:dyDescent="0.25">
      <c r="W6590" s="111"/>
    </row>
    <row r="6591" spans="23:23" x14ac:dyDescent="0.25">
      <c r="W6591" s="111"/>
    </row>
    <row r="6592" spans="23:23" x14ac:dyDescent="0.25">
      <c r="W6592" s="111"/>
    </row>
    <row r="6593" spans="23:23" x14ac:dyDescent="0.25">
      <c r="W6593" s="111"/>
    </row>
    <row r="6594" spans="23:23" x14ac:dyDescent="0.25">
      <c r="W6594" s="111"/>
    </row>
    <row r="6595" spans="23:23" x14ac:dyDescent="0.25">
      <c r="W6595" s="111"/>
    </row>
    <row r="6596" spans="23:23" x14ac:dyDescent="0.25">
      <c r="W6596" s="111"/>
    </row>
    <row r="6597" spans="23:23" x14ac:dyDescent="0.25">
      <c r="W6597" s="111"/>
    </row>
    <row r="6598" spans="23:23" x14ac:dyDescent="0.25">
      <c r="W6598" s="111"/>
    </row>
    <row r="6599" spans="23:23" x14ac:dyDescent="0.25">
      <c r="W6599" s="111"/>
    </row>
    <row r="6600" spans="23:23" x14ac:dyDescent="0.25">
      <c r="W6600" s="111"/>
    </row>
    <row r="6601" spans="23:23" x14ac:dyDescent="0.25">
      <c r="W6601" s="111"/>
    </row>
    <row r="6602" spans="23:23" x14ac:dyDescent="0.25">
      <c r="W6602" s="111"/>
    </row>
    <row r="6603" spans="23:23" x14ac:dyDescent="0.25">
      <c r="W6603" s="111"/>
    </row>
    <row r="6604" spans="23:23" x14ac:dyDescent="0.25">
      <c r="W6604" s="111"/>
    </row>
    <row r="6605" spans="23:23" x14ac:dyDescent="0.25">
      <c r="W6605" s="111"/>
    </row>
    <row r="6606" spans="23:23" x14ac:dyDescent="0.25">
      <c r="W6606" s="111"/>
    </row>
    <row r="6607" spans="23:23" x14ac:dyDescent="0.25">
      <c r="W6607" s="111"/>
    </row>
    <row r="6608" spans="23:23" x14ac:dyDescent="0.25">
      <c r="W6608" s="111"/>
    </row>
    <row r="6609" spans="23:23" x14ac:dyDescent="0.25">
      <c r="W6609" s="111"/>
    </row>
    <row r="6610" spans="23:23" x14ac:dyDescent="0.25">
      <c r="W6610" s="111"/>
    </row>
    <row r="6611" spans="23:23" x14ac:dyDescent="0.25">
      <c r="W6611" s="111"/>
    </row>
    <row r="6612" spans="23:23" x14ac:dyDescent="0.25">
      <c r="W6612" s="111"/>
    </row>
    <row r="6613" spans="23:23" x14ac:dyDescent="0.25">
      <c r="W6613" s="111"/>
    </row>
    <row r="6614" spans="23:23" x14ac:dyDescent="0.25">
      <c r="W6614" s="111"/>
    </row>
    <row r="6615" spans="23:23" x14ac:dyDescent="0.25">
      <c r="W6615" s="111"/>
    </row>
    <row r="6616" spans="23:23" x14ac:dyDescent="0.25">
      <c r="W6616" s="111"/>
    </row>
    <row r="6617" spans="23:23" x14ac:dyDescent="0.25">
      <c r="W6617" s="111"/>
    </row>
    <row r="6618" spans="23:23" x14ac:dyDescent="0.25">
      <c r="W6618" s="111"/>
    </row>
    <row r="6619" spans="23:23" x14ac:dyDescent="0.25">
      <c r="W6619" s="111"/>
    </row>
    <row r="6620" spans="23:23" x14ac:dyDescent="0.25">
      <c r="W6620" s="111"/>
    </row>
    <row r="6621" spans="23:23" x14ac:dyDescent="0.25">
      <c r="W6621" s="111"/>
    </row>
    <row r="6622" spans="23:23" x14ac:dyDescent="0.25">
      <c r="W6622" s="111"/>
    </row>
    <row r="6623" spans="23:23" x14ac:dyDescent="0.25">
      <c r="W6623" s="111"/>
    </row>
    <row r="6624" spans="23:23" x14ac:dyDescent="0.25">
      <c r="W6624" s="111"/>
    </row>
    <row r="6625" spans="23:23" x14ac:dyDescent="0.25">
      <c r="W6625" s="111"/>
    </row>
    <row r="6626" spans="23:23" x14ac:dyDescent="0.25">
      <c r="W6626" s="111"/>
    </row>
    <row r="6627" spans="23:23" x14ac:dyDescent="0.25">
      <c r="W6627" s="111"/>
    </row>
    <row r="6628" spans="23:23" x14ac:dyDescent="0.25">
      <c r="W6628" s="111"/>
    </row>
    <row r="6629" spans="23:23" x14ac:dyDescent="0.25">
      <c r="W6629" s="111"/>
    </row>
    <row r="6630" spans="23:23" x14ac:dyDescent="0.25">
      <c r="W6630" s="111"/>
    </row>
    <row r="6631" spans="23:23" x14ac:dyDescent="0.25">
      <c r="W6631" s="111"/>
    </row>
    <row r="6632" spans="23:23" x14ac:dyDescent="0.25">
      <c r="W6632" s="111"/>
    </row>
    <row r="6633" spans="23:23" x14ac:dyDescent="0.25">
      <c r="W6633" s="111"/>
    </row>
    <row r="6634" spans="23:23" x14ac:dyDescent="0.25">
      <c r="W6634" s="111"/>
    </row>
    <row r="6635" spans="23:23" x14ac:dyDescent="0.25">
      <c r="W6635" s="111"/>
    </row>
    <row r="6636" spans="23:23" x14ac:dyDescent="0.25">
      <c r="W6636" s="111"/>
    </row>
    <row r="6637" spans="23:23" x14ac:dyDescent="0.25">
      <c r="W6637" s="111"/>
    </row>
    <row r="6638" spans="23:23" x14ac:dyDescent="0.25">
      <c r="W6638" s="111"/>
    </row>
    <row r="6639" spans="23:23" x14ac:dyDescent="0.25">
      <c r="W6639" s="111"/>
    </row>
    <row r="6640" spans="23:23" x14ac:dyDescent="0.25">
      <c r="W6640" s="111"/>
    </row>
    <row r="6641" spans="23:23" x14ac:dyDescent="0.25">
      <c r="W6641" s="111"/>
    </row>
    <row r="6642" spans="23:23" x14ac:dyDescent="0.25">
      <c r="W6642" s="111"/>
    </row>
    <row r="6643" spans="23:23" x14ac:dyDescent="0.25">
      <c r="W6643" s="111"/>
    </row>
    <row r="6644" spans="23:23" x14ac:dyDescent="0.25">
      <c r="W6644" s="111"/>
    </row>
    <row r="6645" spans="23:23" x14ac:dyDescent="0.25">
      <c r="W6645" s="111"/>
    </row>
    <row r="6646" spans="23:23" x14ac:dyDescent="0.25">
      <c r="W6646" s="111"/>
    </row>
    <row r="6647" spans="23:23" x14ac:dyDescent="0.25">
      <c r="W6647" s="111"/>
    </row>
    <row r="6648" spans="23:23" x14ac:dyDescent="0.25">
      <c r="W6648" s="111"/>
    </row>
    <row r="6649" spans="23:23" x14ac:dyDescent="0.25">
      <c r="W6649" s="111"/>
    </row>
    <row r="6650" spans="23:23" x14ac:dyDescent="0.25">
      <c r="W6650" s="111"/>
    </row>
    <row r="6651" spans="23:23" x14ac:dyDescent="0.25">
      <c r="W6651" s="111"/>
    </row>
    <row r="6652" spans="23:23" x14ac:dyDescent="0.25">
      <c r="W6652" s="111"/>
    </row>
    <row r="6653" spans="23:23" x14ac:dyDescent="0.25">
      <c r="W6653" s="111"/>
    </row>
    <row r="6654" spans="23:23" x14ac:dyDescent="0.25">
      <c r="W6654" s="111"/>
    </row>
    <row r="6655" spans="23:23" x14ac:dyDescent="0.25">
      <c r="W6655" s="111"/>
    </row>
    <row r="6656" spans="23:23" x14ac:dyDescent="0.25">
      <c r="W6656" s="111"/>
    </row>
    <row r="6657" spans="23:23" x14ac:dyDescent="0.25">
      <c r="W6657" s="111"/>
    </row>
    <row r="6658" spans="23:23" x14ac:dyDescent="0.25">
      <c r="W6658" s="111"/>
    </row>
    <row r="6659" spans="23:23" x14ac:dyDescent="0.25">
      <c r="W6659" s="111"/>
    </row>
    <row r="6660" spans="23:23" x14ac:dyDescent="0.25">
      <c r="W6660" s="111"/>
    </row>
    <row r="6661" spans="23:23" x14ac:dyDescent="0.25">
      <c r="W6661" s="111"/>
    </row>
    <row r="6662" spans="23:23" x14ac:dyDescent="0.25">
      <c r="W6662" s="111"/>
    </row>
    <row r="6663" spans="23:23" x14ac:dyDescent="0.25">
      <c r="W6663" s="111"/>
    </row>
    <row r="6664" spans="23:23" x14ac:dyDescent="0.25">
      <c r="W6664" s="111"/>
    </row>
    <row r="6665" spans="23:23" x14ac:dyDescent="0.25">
      <c r="W6665" s="111"/>
    </row>
    <row r="6666" spans="23:23" x14ac:dyDescent="0.25">
      <c r="W6666" s="111"/>
    </row>
    <row r="6667" spans="23:23" x14ac:dyDescent="0.25">
      <c r="W6667" s="111"/>
    </row>
    <row r="6668" spans="23:23" x14ac:dyDescent="0.25">
      <c r="W6668" s="111"/>
    </row>
    <row r="6669" spans="23:23" x14ac:dyDescent="0.25">
      <c r="W6669" s="111"/>
    </row>
    <row r="6670" spans="23:23" x14ac:dyDescent="0.25">
      <c r="W6670" s="111"/>
    </row>
    <row r="6671" spans="23:23" x14ac:dyDescent="0.25">
      <c r="W6671" s="111"/>
    </row>
    <row r="6672" spans="23:23" x14ac:dyDescent="0.25">
      <c r="W6672" s="111"/>
    </row>
    <row r="6673" spans="23:23" x14ac:dyDescent="0.25">
      <c r="W6673" s="111"/>
    </row>
    <row r="6674" spans="23:23" x14ac:dyDescent="0.25">
      <c r="W6674" s="111"/>
    </row>
    <row r="6675" spans="23:23" x14ac:dyDescent="0.25">
      <c r="W6675" s="111"/>
    </row>
    <row r="6676" spans="23:23" x14ac:dyDescent="0.25">
      <c r="W6676" s="111"/>
    </row>
    <row r="6677" spans="23:23" x14ac:dyDescent="0.25">
      <c r="W6677" s="111"/>
    </row>
    <row r="6678" spans="23:23" x14ac:dyDescent="0.25">
      <c r="W6678" s="111"/>
    </row>
    <row r="6679" spans="23:23" x14ac:dyDescent="0.25">
      <c r="W6679" s="111"/>
    </row>
    <row r="6680" spans="23:23" x14ac:dyDescent="0.25">
      <c r="W6680" s="111"/>
    </row>
    <row r="6681" spans="23:23" x14ac:dyDescent="0.25">
      <c r="W6681" s="111"/>
    </row>
    <row r="6682" spans="23:23" x14ac:dyDescent="0.25">
      <c r="W6682" s="111"/>
    </row>
    <row r="6683" spans="23:23" x14ac:dyDescent="0.25">
      <c r="W6683" s="111"/>
    </row>
    <row r="6684" spans="23:23" x14ac:dyDescent="0.25">
      <c r="W6684" s="111"/>
    </row>
    <row r="6685" spans="23:23" x14ac:dyDescent="0.25">
      <c r="W6685" s="111"/>
    </row>
    <row r="6686" spans="23:23" x14ac:dyDescent="0.25">
      <c r="W6686" s="111"/>
    </row>
    <row r="6687" spans="23:23" x14ac:dyDescent="0.25">
      <c r="W6687" s="111"/>
    </row>
    <row r="6688" spans="23:23" x14ac:dyDescent="0.25">
      <c r="W6688" s="111"/>
    </row>
    <row r="6689" spans="23:23" x14ac:dyDescent="0.25">
      <c r="W6689" s="111"/>
    </row>
    <row r="6690" spans="23:23" x14ac:dyDescent="0.25">
      <c r="W6690" s="111"/>
    </row>
    <row r="6691" spans="23:23" x14ac:dyDescent="0.25">
      <c r="W6691" s="111"/>
    </row>
    <row r="6692" spans="23:23" x14ac:dyDescent="0.25">
      <c r="W6692" s="111"/>
    </row>
    <row r="6693" spans="23:23" x14ac:dyDescent="0.25">
      <c r="W6693" s="111"/>
    </row>
    <row r="6694" spans="23:23" x14ac:dyDescent="0.25">
      <c r="W6694" s="111"/>
    </row>
    <row r="6695" spans="23:23" x14ac:dyDescent="0.25">
      <c r="W6695" s="111"/>
    </row>
    <row r="6696" spans="23:23" x14ac:dyDescent="0.25">
      <c r="W6696" s="111"/>
    </row>
    <row r="6697" spans="23:23" x14ac:dyDescent="0.25">
      <c r="W6697" s="111"/>
    </row>
    <row r="6698" spans="23:23" x14ac:dyDescent="0.25">
      <c r="W6698" s="111"/>
    </row>
    <row r="6699" spans="23:23" x14ac:dyDescent="0.25">
      <c r="W6699" s="111"/>
    </row>
    <row r="6700" spans="23:23" x14ac:dyDescent="0.25">
      <c r="W6700" s="111"/>
    </row>
    <row r="6701" spans="23:23" x14ac:dyDescent="0.25">
      <c r="W6701" s="111"/>
    </row>
    <row r="6702" spans="23:23" x14ac:dyDescent="0.25">
      <c r="W6702" s="111"/>
    </row>
    <row r="6703" spans="23:23" x14ac:dyDescent="0.25">
      <c r="W6703" s="111"/>
    </row>
    <row r="6704" spans="23:23" x14ac:dyDescent="0.25">
      <c r="W6704" s="111"/>
    </row>
    <row r="6705" spans="23:23" x14ac:dyDescent="0.25">
      <c r="W6705" s="111"/>
    </row>
    <row r="6706" spans="23:23" x14ac:dyDescent="0.25">
      <c r="W6706" s="111"/>
    </row>
    <row r="6707" spans="23:23" x14ac:dyDescent="0.25">
      <c r="W6707" s="111"/>
    </row>
    <row r="6708" spans="23:23" x14ac:dyDescent="0.25">
      <c r="W6708" s="111"/>
    </row>
    <row r="6709" spans="23:23" x14ac:dyDescent="0.25">
      <c r="W6709" s="111"/>
    </row>
    <row r="6710" spans="23:23" x14ac:dyDescent="0.25">
      <c r="W6710" s="111"/>
    </row>
    <row r="6711" spans="23:23" x14ac:dyDescent="0.25">
      <c r="W6711" s="111"/>
    </row>
    <row r="6712" spans="23:23" x14ac:dyDescent="0.25">
      <c r="W6712" s="111"/>
    </row>
    <row r="6713" spans="23:23" x14ac:dyDescent="0.25">
      <c r="W6713" s="111"/>
    </row>
    <row r="6714" spans="23:23" x14ac:dyDescent="0.25">
      <c r="W6714" s="111"/>
    </row>
    <row r="6715" spans="23:23" x14ac:dyDescent="0.25">
      <c r="W6715" s="111"/>
    </row>
    <row r="6716" spans="23:23" x14ac:dyDescent="0.25">
      <c r="W6716" s="111"/>
    </row>
    <row r="6717" spans="23:23" x14ac:dyDescent="0.25">
      <c r="W6717" s="111"/>
    </row>
    <row r="6718" spans="23:23" x14ac:dyDescent="0.25">
      <c r="W6718" s="111"/>
    </row>
    <row r="6719" spans="23:23" x14ac:dyDescent="0.25">
      <c r="W6719" s="111"/>
    </row>
    <row r="6720" spans="23:23" x14ac:dyDescent="0.25">
      <c r="W6720" s="111"/>
    </row>
    <row r="6721" spans="23:23" x14ac:dyDescent="0.25">
      <c r="W6721" s="111"/>
    </row>
    <row r="6722" spans="23:23" x14ac:dyDescent="0.25">
      <c r="W6722" s="111"/>
    </row>
    <row r="6723" spans="23:23" x14ac:dyDescent="0.25">
      <c r="W6723" s="111"/>
    </row>
    <row r="6724" spans="23:23" x14ac:dyDescent="0.25">
      <c r="W6724" s="111"/>
    </row>
    <row r="6725" spans="23:23" x14ac:dyDescent="0.25">
      <c r="W6725" s="111"/>
    </row>
    <row r="6726" spans="23:23" x14ac:dyDescent="0.25">
      <c r="W6726" s="111"/>
    </row>
    <row r="6727" spans="23:23" x14ac:dyDescent="0.25">
      <c r="W6727" s="111"/>
    </row>
    <row r="6728" spans="23:23" x14ac:dyDescent="0.25">
      <c r="W6728" s="111"/>
    </row>
    <row r="6729" spans="23:23" x14ac:dyDescent="0.25">
      <c r="W6729" s="111"/>
    </row>
    <row r="6730" spans="23:23" x14ac:dyDescent="0.25">
      <c r="W6730" s="111"/>
    </row>
    <row r="6731" spans="23:23" x14ac:dyDescent="0.25">
      <c r="W6731" s="111"/>
    </row>
    <row r="6732" spans="23:23" x14ac:dyDescent="0.25">
      <c r="W6732" s="111"/>
    </row>
    <row r="6733" spans="23:23" x14ac:dyDescent="0.25">
      <c r="W6733" s="111"/>
    </row>
    <row r="6734" spans="23:23" x14ac:dyDescent="0.25">
      <c r="W6734" s="111"/>
    </row>
    <row r="6735" spans="23:23" x14ac:dyDescent="0.25">
      <c r="W6735" s="111"/>
    </row>
    <row r="6736" spans="23:23" x14ac:dyDescent="0.25">
      <c r="W6736" s="111"/>
    </row>
    <row r="6737" spans="23:23" x14ac:dyDescent="0.25">
      <c r="W6737" s="111"/>
    </row>
    <row r="6738" spans="23:23" x14ac:dyDescent="0.25">
      <c r="W6738" s="111"/>
    </row>
    <row r="6739" spans="23:23" x14ac:dyDescent="0.25">
      <c r="W6739" s="111"/>
    </row>
    <row r="6740" spans="23:23" x14ac:dyDescent="0.25">
      <c r="W6740" s="111"/>
    </row>
    <row r="6741" spans="23:23" x14ac:dyDescent="0.25">
      <c r="W6741" s="111"/>
    </row>
    <row r="6742" spans="23:23" x14ac:dyDescent="0.25">
      <c r="W6742" s="111"/>
    </row>
    <row r="6743" spans="23:23" x14ac:dyDescent="0.25">
      <c r="W6743" s="111"/>
    </row>
    <row r="6744" spans="23:23" x14ac:dyDescent="0.25">
      <c r="W6744" s="111"/>
    </row>
    <row r="6745" spans="23:23" x14ac:dyDescent="0.25">
      <c r="W6745" s="111"/>
    </row>
    <row r="6746" spans="23:23" x14ac:dyDescent="0.25">
      <c r="W6746" s="111"/>
    </row>
    <row r="6747" spans="23:23" x14ac:dyDescent="0.25">
      <c r="W6747" s="111"/>
    </row>
    <row r="6748" spans="23:23" x14ac:dyDescent="0.25">
      <c r="W6748" s="111"/>
    </row>
    <row r="6749" spans="23:23" x14ac:dyDescent="0.25">
      <c r="W6749" s="111"/>
    </row>
    <row r="6750" spans="23:23" x14ac:dyDescent="0.25">
      <c r="W6750" s="111"/>
    </row>
    <row r="6751" spans="23:23" x14ac:dyDescent="0.25">
      <c r="W6751" s="111"/>
    </row>
    <row r="6752" spans="23:23" x14ac:dyDescent="0.25">
      <c r="W6752" s="111"/>
    </row>
    <row r="6753" spans="23:23" x14ac:dyDescent="0.25">
      <c r="W6753" s="111"/>
    </row>
    <row r="6754" spans="23:23" x14ac:dyDescent="0.25">
      <c r="W6754" s="111"/>
    </row>
    <row r="6755" spans="23:23" x14ac:dyDescent="0.25">
      <c r="W6755" s="111"/>
    </row>
    <row r="6756" spans="23:23" x14ac:dyDescent="0.25">
      <c r="W6756" s="111"/>
    </row>
    <row r="6757" spans="23:23" x14ac:dyDescent="0.25">
      <c r="W6757" s="111"/>
    </row>
    <row r="6758" spans="23:23" x14ac:dyDescent="0.25">
      <c r="W6758" s="111"/>
    </row>
    <row r="6759" spans="23:23" x14ac:dyDescent="0.25">
      <c r="W6759" s="111"/>
    </row>
    <row r="6760" spans="23:23" x14ac:dyDescent="0.25">
      <c r="W6760" s="111"/>
    </row>
    <row r="6761" spans="23:23" x14ac:dyDescent="0.25">
      <c r="W6761" s="111"/>
    </row>
    <row r="6762" spans="23:23" x14ac:dyDescent="0.25">
      <c r="W6762" s="111"/>
    </row>
    <row r="6763" spans="23:23" x14ac:dyDescent="0.25">
      <c r="W6763" s="111"/>
    </row>
    <row r="6764" spans="23:23" x14ac:dyDescent="0.25">
      <c r="W6764" s="111"/>
    </row>
    <row r="6765" spans="23:23" x14ac:dyDescent="0.25">
      <c r="W6765" s="111"/>
    </row>
    <row r="6766" spans="23:23" x14ac:dyDescent="0.25">
      <c r="W6766" s="111"/>
    </row>
    <row r="6767" spans="23:23" x14ac:dyDescent="0.25">
      <c r="W6767" s="111"/>
    </row>
    <row r="6768" spans="23:23" x14ac:dyDescent="0.25">
      <c r="W6768" s="111"/>
    </row>
    <row r="6769" spans="23:23" x14ac:dyDescent="0.25">
      <c r="W6769" s="111"/>
    </row>
    <row r="6770" spans="23:23" x14ac:dyDescent="0.25">
      <c r="W6770" s="111"/>
    </row>
    <row r="6771" spans="23:23" x14ac:dyDescent="0.25">
      <c r="W6771" s="111"/>
    </row>
    <row r="6772" spans="23:23" x14ac:dyDescent="0.25">
      <c r="W6772" s="111"/>
    </row>
    <row r="6773" spans="23:23" x14ac:dyDescent="0.25">
      <c r="W6773" s="111"/>
    </row>
    <row r="6774" spans="23:23" x14ac:dyDescent="0.25">
      <c r="W6774" s="111"/>
    </row>
    <row r="6775" spans="23:23" x14ac:dyDescent="0.25">
      <c r="W6775" s="111"/>
    </row>
    <row r="6776" spans="23:23" x14ac:dyDescent="0.25">
      <c r="W6776" s="111"/>
    </row>
    <row r="6777" spans="23:23" x14ac:dyDescent="0.25">
      <c r="W6777" s="111"/>
    </row>
    <row r="6778" spans="23:23" x14ac:dyDescent="0.25">
      <c r="W6778" s="111"/>
    </row>
    <row r="6779" spans="23:23" x14ac:dyDescent="0.25">
      <c r="W6779" s="111"/>
    </row>
    <row r="6780" spans="23:23" x14ac:dyDescent="0.25">
      <c r="W6780" s="111"/>
    </row>
    <row r="6781" spans="23:23" x14ac:dyDescent="0.25">
      <c r="W6781" s="111"/>
    </row>
    <row r="6782" spans="23:23" x14ac:dyDescent="0.25">
      <c r="W6782" s="111"/>
    </row>
    <row r="6783" spans="23:23" x14ac:dyDescent="0.25">
      <c r="W6783" s="111"/>
    </row>
    <row r="6784" spans="23:23" x14ac:dyDescent="0.25">
      <c r="W6784" s="111"/>
    </row>
    <row r="6785" spans="23:23" x14ac:dyDescent="0.25">
      <c r="W6785" s="111"/>
    </row>
    <row r="6786" spans="23:23" x14ac:dyDescent="0.25">
      <c r="W6786" s="111"/>
    </row>
    <row r="6787" spans="23:23" x14ac:dyDescent="0.25">
      <c r="W6787" s="111"/>
    </row>
    <row r="6788" spans="23:23" x14ac:dyDescent="0.25">
      <c r="W6788" s="111"/>
    </row>
    <row r="6789" spans="23:23" x14ac:dyDescent="0.25">
      <c r="W6789" s="111"/>
    </row>
    <row r="6790" spans="23:23" x14ac:dyDescent="0.25">
      <c r="W6790" s="111"/>
    </row>
    <row r="6791" spans="23:23" x14ac:dyDescent="0.25">
      <c r="W6791" s="111"/>
    </row>
    <row r="6792" spans="23:23" x14ac:dyDescent="0.25">
      <c r="W6792" s="111"/>
    </row>
    <row r="6793" spans="23:23" x14ac:dyDescent="0.25">
      <c r="W6793" s="111"/>
    </row>
    <row r="6794" spans="23:23" x14ac:dyDescent="0.25">
      <c r="W6794" s="111"/>
    </row>
    <row r="6795" spans="23:23" x14ac:dyDescent="0.25">
      <c r="W6795" s="111"/>
    </row>
    <row r="6796" spans="23:23" x14ac:dyDescent="0.25">
      <c r="W6796" s="111"/>
    </row>
    <row r="6797" spans="23:23" x14ac:dyDescent="0.25">
      <c r="W6797" s="111"/>
    </row>
    <row r="6798" spans="23:23" x14ac:dyDescent="0.25">
      <c r="W6798" s="111"/>
    </row>
    <row r="6799" spans="23:23" x14ac:dyDescent="0.25">
      <c r="W6799" s="111"/>
    </row>
    <row r="6800" spans="23:23" x14ac:dyDescent="0.25">
      <c r="W6800" s="111"/>
    </row>
    <row r="6801" spans="23:23" x14ac:dyDescent="0.25">
      <c r="W6801" s="111"/>
    </row>
    <row r="6802" spans="23:23" x14ac:dyDescent="0.25">
      <c r="W6802" s="111"/>
    </row>
    <row r="6803" spans="23:23" x14ac:dyDescent="0.25">
      <c r="W6803" s="111"/>
    </row>
    <row r="6804" spans="23:23" x14ac:dyDescent="0.25">
      <c r="W6804" s="111"/>
    </row>
    <row r="6805" spans="23:23" x14ac:dyDescent="0.25">
      <c r="W6805" s="111"/>
    </row>
    <row r="6806" spans="23:23" x14ac:dyDescent="0.25">
      <c r="W6806" s="111"/>
    </row>
    <row r="6807" spans="23:23" x14ac:dyDescent="0.25">
      <c r="W6807" s="111"/>
    </row>
    <row r="6808" spans="23:23" x14ac:dyDescent="0.25">
      <c r="W6808" s="111"/>
    </row>
    <row r="6809" spans="23:23" x14ac:dyDescent="0.25">
      <c r="W6809" s="111"/>
    </row>
    <row r="6810" spans="23:23" x14ac:dyDescent="0.25">
      <c r="W6810" s="111"/>
    </row>
    <row r="6811" spans="23:23" x14ac:dyDescent="0.25">
      <c r="W6811" s="111"/>
    </row>
    <row r="6812" spans="23:23" x14ac:dyDescent="0.25">
      <c r="W6812" s="111"/>
    </row>
    <row r="6813" spans="23:23" x14ac:dyDescent="0.25">
      <c r="W6813" s="111"/>
    </row>
    <row r="6814" spans="23:23" x14ac:dyDescent="0.25">
      <c r="W6814" s="111"/>
    </row>
    <row r="6815" spans="23:23" x14ac:dyDescent="0.25">
      <c r="W6815" s="111"/>
    </row>
    <row r="6816" spans="23:23" x14ac:dyDescent="0.25">
      <c r="W6816" s="111"/>
    </row>
    <row r="6817" spans="23:23" x14ac:dyDescent="0.25">
      <c r="W6817" s="111"/>
    </row>
    <row r="6818" spans="23:23" x14ac:dyDescent="0.25">
      <c r="W6818" s="111"/>
    </row>
    <row r="6819" spans="23:23" x14ac:dyDescent="0.25">
      <c r="W6819" s="111"/>
    </row>
    <row r="6820" spans="23:23" x14ac:dyDescent="0.25">
      <c r="W6820" s="111"/>
    </row>
    <row r="6821" spans="23:23" x14ac:dyDescent="0.25">
      <c r="W6821" s="111"/>
    </row>
    <row r="6822" spans="23:23" x14ac:dyDescent="0.25">
      <c r="W6822" s="111"/>
    </row>
    <row r="6823" spans="23:23" x14ac:dyDescent="0.25">
      <c r="W6823" s="111"/>
    </row>
    <row r="6824" spans="23:23" x14ac:dyDescent="0.25">
      <c r="W6824" s="111"/>
    </row>
    <row r="6825" spans="23:23" x14ac:dyDescent="0.25">
      <c r="W6825" s="111"/>
    </row>
    <row r="6826" spans="23:23" x14ac:dyDescent="0.25">
      <c r="W6826" s="111"/>
    </row>
    <row r="6827" spans="23:23" x14ac:dyDescent="0.25">
      <c r="W6827" s="111"/>
    </row>
    <row r="6828" spans="23:23" x14ac:dyDescent="0.25">
      <c r="W6828" s="111"/>
    </row>
    <row r="6829" spans="23:23" x14ac:dyDescent="0.25">
      <c r="W6829" s="111"/>
    </row>
    <row r="6830" spans="23:23" x14ac:dyDescent="0.25">
      <c r="W6830" s="111"/>
    </row>
    <row r="6831" spans="23:23" x14ac:dyDescent="0.25">
      <c r="W6831" s="111"/>
    </row>
    <row r="6832" spans="23:23" x14ac:dyDescent="0.25">
      <c r="W6832" s="111"/>
    </row>
    <row r="6833" spans="23:23" x14ac:dyDescent="0.25">
      <c r="W6833" s="111"/>
    </row>
    <row r="6834" spans="23:23" x14ac:dyDescent="0.25">
      <c r="W6834" s="111"/>
    </row>
    <row r="6835" spans="23:23" x14ac:dyDescent="0.25">
      <c r="W6835" s="111"/>
    </row>
    <row r="6836" spans="23:23" x14ac:dyDescent="0.25">
      <c r="W6836" s="111"/>
    </row>
    <row r="6837" spans="23:23" x14ac:dyDescent="0.25">
      <c r="W6837" s="111"/>
    </row>
    <row r="6838" spans="23:23" x14ac:dyDescent="0.25">
      <c r="W6838" s="111"/>
    </row>
    <row r="6839" spans="23:23" x14ac:dyDescent="0.25">
      <c r="W6839" s="111"/>
    </row>
    <row r="6840" spans="23:23" x14ac:dyDescent="0.25">
      <c r="W6840" s="111"/>
    </row>
    <row r="6841" spans="23:23" x14ac:dyDescent="0.25">
      <c r="W6841" s="111"/>
    </row>
    <row r="6842" spans="23:23" x14ac:dyDescent="0.25">
      <c r="W6842" s="111"/>
    </row>
    <row r="6843" spans="23:23" x14ac:dyDescent="0.25">
      <c r="W6843" s="111"/>
    </row>
    <row r="6844" spans="23:23" x14ac:dyDescent="0.25">
      <c r="W6844" s="111"/>
    </row>
    <row r="6845" spans="23:23" x14ac:dyDescent="0.25">
      <c r="W6845" s="111"/>
    </row>
    <row r="6846" spans="23:23" x14ac:dyDescent="0.25">
      <c r="W6846" s="111"/>
    </row>
    <row r="6847" spans="23:23" x14ac:dyDescent="0.25">
      <c r="W6847" s="111"/>
    </row>
    <row r="6848" spans="23:23" x14ac:dyDescent="0.25">
      <c r="W6848" s="111"/>
    </row>
    <row r="6849" spans="23:23" x14ac:dyDescent="0.25">
      <c r="W6849" s="111"/>
    </row>
    <row r="6850" spans="23:23" x14ac:dyDescent="0.25">
      <c r="W6850" s="111"/>
    </row>
    <row r="6851" spans="23:23" x14ac:dyDescent="0.25">
      <c r="W6851" s="111"/>
    </row>
    <row r="6852" spans="23:23" x14ac:dyDescent="0.25">
      <c r="W6852" s="111"/>
    </row>
    <row r="6853" spans="23:23" x14ac:dyDescent="0.25">
      <c r="W6853" s="111"/>
    </row>
    <row r="6854" spans="23:23" x14ac:dyDescent="0.25">
      <c r="W6854" s="111"/>
    </row>
    <row r="6855" spans="23:23" x14ac:dyDescent="0.25">
      <c r="W6855" s="111"/>
    </row>
    <row r="6856" spans="23:23" x14ac:dyDescent="0.25">
      <c r="W6856" s="111"/>
    </row>
    <row r="6857" spans="23:23" x14ac:dyDescent="0.25">
      <c r="W6857" s="111"/>
    </row>
    <row r="6858" spans="23:23" x14ac:dyDescent="0.25">
      <c r="W6858" s="111"/>
    </row>
    <row r="6859" spans="23:23" x14ac:dyDescent="0.25">
      <c r="W6859" s="111"/>
    </row>
    <row r="6860" spans="23:23" x14ac:dyDescent="0.25">
      <c r="W6860" s="111"/>
    </row>
    <row r="6861" spans="23:23" x14ac:dyDescent="0.25">
      <c r="W6861" s="111"/>
    </row>
    <row r="6862" spans="23:23" x14ac:dyDescent="0.25">
      <c r="W6862" s="111"/>
    </row>
    <row r="6863" spans="23:23" x14ac:dyDescent="0.25">
      <c r="W6863" s="111"/>
    </row>
    <row r="6864" spans="23:23" x14ac:dyDescent="0.25">
      <c r="W6864" s="111"/>
    </row>
    <row r="6865" spans="23:23" x14ac:dyDescent="0.25">
      <c r="W6865" s="111"/>
    </row>
    <row r="6866" spans="23:23" x14ac:dyDescent="0.25">
      <c r="W6866" s="111"/>
    </row>
    <row r="6867" spans="23:23" x14ac:dyDescent="0.25">
      <c r="W6867" s="111"/>
    </row>
    <row r="6868" spans="23:23" x14ac:dyDescent="0.25">
      <c r="W6868" s="111"/>
    </row>
    <row r="6869" spans="23:23" x14ac:dyDescent="0.25">
      <c r="W6869" s="111"/>
    </row>
    <row r="6870" spans="23:23" x14ac:dyDescent="0.25">
      <c r="W6870" s="111"/>
    </row>
    <row r="6871" spans="23:23" x14ac:dyDescent="0.25">
      <c r="W6871" s="111"/>
    </row>
    <row r="6872" spans="23:23" x14ac:dyDescent="0.25">
      <c r="W6872" s="111"/>
    </row>
    <row r="6873" spans="23:23" x14ac:dyDescent="0.25">
      <c r="W6873" s="111"/>
    </row>
    <row r="6874" spans="23:23" x14ac:dyDescent="0.25">
      <c r="W6874" s="111"/>
    </row>
    <row r="6875" spans="23:23" x14ac:dyDescent="0.25">
      <c r="W6875" s="111"/>
    </row>
    <row r="6876" spans="23:23" x14ac:dyDescent="0.25">
      <c r="W6876" s="111"/>
    </row>
    <row r="6877" spans="23:23" x14ac:dyDescent="0.25">
      <c r="W6877" s="111"/>
    </row>
    <row r="6878" spans="23:23" x14ac:dyDescent="0.25">
      <c r="W6878" s="111"/>
    </row>
    <row r="6879" spans="23:23" x14ac:dyDescent="0.25">
      <c r="W6879" s="111"/>
    </row>
    <row r="6880" spans="23:23" x14ac:dyDescent="0.25">
      <c r="W6880" s="111"/>
    </row>
    <row r="6881" spans="23:23" x14ac:dyDescent="0.25">
      <c r="W6881" s="111"/>
    </row>
    <row r="6882" spans="23:23" x14ac:dyDescent="0.25">
      <c r="W6882" s="111"/>
    </row>
    <row r="6883" spans="23:23" x14ac:dyDescent="0.25">
      <c r="W6883" s="111"/>
    </row>
    <row r="6884" spans="23:23" x14ac:dyDescent="0.25">
      <c r="W6884" s="111"/>
    </row>
    <row r="6885" spans="23:23" x14ac:dyDescent="0.25">
      <c r="W6885" s="111"/>
    </row>
    <row r="6886" spans="23:23" x14ac:dyDescent="0.25">
      <c r="W6886" s="111"/>
    </row>
    <row r="6887" spans="23:23" x14ac:dyDescent="0.25">
      <c r="W6887" s="111"/>
    </row>
    <row r="6888" spans="23:23" x14ac:dyDescent="0.25">
      <c r="W6888" s="111"/>
    </row>
    <row r="6889" spans="23:23" x14ac:dyDescent="0.25">
      <c r="W6889" s="111"/>
    </row>
    <row r="6890" spans="23:23" x14ac:dyDescent="0.25">
      <c r="W6890" s="111"/>
    </row>
    <row r="6891" spans="23:23" x14ac:dyDescent="0.25">
      <c r="W6891" s="111"/>
    </row>
    <row r="6892" spans="23:23" x14ac:dyDescent="0.25">
      <c r="W6892" s="111"/>
    </row>
    <row r="6893" spans="23:23" x14ac:dyDescent="0.25">
      <c r="W6893" s="111"/>
    </row>
    <row r="6894" spans="23:23" x14ac:dyDescent="0.25">
      <c r="W6894" s="111"/>
    </row>
    <row r="6895" spans="23:23" x14ac:dyDescent="0.25">
      <c r="W6895" s="111"/>
    </row>
    <row r="6896" spans="23:23" x14ac:dyDescent="0.25">
      <c r="W6896" s="111"/>
    </row>
    <row r="6897" spans="23:23" x14ac:dyDescent="0.25">
      <c r="W6897" s="111"/>
    </row>
    <row r="6898" spans="23:23" x14ac:dyDescent="0.25">
      <c r="W6898" s="111"/>
    </row>
    <row r="6899" spans="23:23" x14ac:dyDescent="0.25">
      <c r="W6899" s="111"/>
    </row>
    <row r="6900" spans="23:23" x14ac:dyDescent="0.25">
      <c r="W6900" s="111"/>
    </row>
    <row r="6901" spans="23:23" x14ac:dyDescent="0.25">
      <c r="W6901" s="111"/>
    </row>
    <row r="6902" spans="23:23" x14ac:dyDescent="0.25">
      <c r="W6902" s="111"/>
    </row>
    <row r="6903" spans="23:23" x14ac:dyDescent="0.25">
      <c r="W6903" s="111"/>
    </row>
    <row r="6904" spans="23:23" x14ac:dyDescent="0.25">
      <c r="W6904" s="111"/>
    </row>
    <row r="6905" spans="23:23" x14ac:dyDescent="0.25">
      <c r="W6905" s="111"/>
    </row>
    <row r="6906" spans="23:23" x14ac:dyDescent="0.25">
      <c r="W6906" s="111"/>
    </row>
    <row r="6907" spans="23:23" x14ac:dyDescent="0.25">
      <c r="W6907" s="111"/>
    </row>
    <row r="6908" spans="23:23" x14ac:dyDescent="0.25">
      <c r="W6908" s="111"/>
    </row>
    <row r="6909" spans="23:23" x14ac:dyDescent="0.25">
      <c r="W6909" s="111"/>
    </row>
    <row r="6910" spans="23:23" x14ac:dyDescent="0.25">
      <c r="W6910" s="111"/>
    </row>
    <row r="6911" spans="23:23" x14ac:dyDescent="0.25">
      <c r="W6911" s="111"/>
    </row>
    <row r="6912" spans="23:23" x14ac:dyDescent="0.25">
      <c r="W6912" s="111"/>
    </row>
    <row r="6913" spans="23:23" x14ac:dyDescent="0.25">
      <c r="W6913" s="111"/>
    </row>
    <row r="6914" spans="23:23" x14ac:dyDescent="0.25">
      <c r="W6914" s="111"/>
    </row>
    <row r="6915" spans="23:23" x14ac:dyDescent="0.25">
      <c r="W6915" s="111"/>
    </row>
    <row r="6916" spans="23:23" x14ac:dyDescent="0.25">
      <c r="W6916" s="111"/>
    </row>
    <row r="6917" spans="23:23" x14ac:dyDescent="0.25">
      <c r="W6917" s="111"/>
    </row>
    <row r="6918" spans="23:23" x14ac:dyDescent="0.25">
      <c r="W6918" s="111"/>
    </row>
    <row r="6919" spans="23:23" x14ac:dyDescent="0.25">
      <c r="W6919" s="111"/>
    </row>
    <row r="6920" spans="23:23" x14ac:dyDescent="0.25">
      <c r="W6920" s="111"/>
    </row>
    <row r="6921" spans="23:23" x14ac:dyDescent="0.25">
      <c r="W6921" s="111"/>
    </row>
    <row r="6922" spans="23:23" x14ac:dyDescent="0.25">
      <c r="W6922" s="111"/>
    </row>
    <row r="6923" spans="23:23" x14ac:dyDescent="0.25">
      <c r="W6923" s="111"/>
    </row>
    <row r="6924" spans="23:23" x14ac:dyDescent="0.25">
      <c r="W6924" s="111"/>
    </row>
    <row r="6925" spans="23:23" x14ac:dyDescent="0.25">
      <c r="W6925" s="111"/>
    </row>
    <row r="6926" spans="23:23" x14ac:dyDescent="0.25">
      <c r="W6926" s="111"/>
    </row>
    <row r="6927" spans="23:23" x14ac:dyDescent="0.25">
      <c r="W6927" s="111"/>
    </row>
    <row r="6928" spans="23:23" x14ac:dyDescent="0.25">
      <c r="W6928" s="111"/>
    </row>
    <row r="6929" spans="23:23" x14ac:dyDescent="0.25">
      <c r="W6929" s="111"/>
    </row>
    <row r="6930" spans="23:23" x14ac:dyDescent="0.25">
      <c r="W6930" s="111"/>
    </row>
    <row r="6931" spans="23:23" x14ac:dyDescent="0.25">
      <c r="W6931" s="111"/>
    </row>
    <row r="6932" spans="23:23" x14ac:dyDescent="0.25">
      <c r="W6932" s="111"/>
    </row>
    <row r="6933" spans="23:23" x14ac:dyDescent="0.25">
      <c r="W6933" s="111"/>
    </row>
    <row r="6934" spans="23:23" x14ac:dyDescent="0.25">
      <c r="W6934" s="111"/>
    </row>
    <row r="6935" spans="23:23" x14ac:dyDescent="0.25">
      <c r="W6935" s="111"/>
    </row>
    <row r="6936" spans="23:23" x14ac:dyDescent="0.25">
      <c r="W6936" s="111"/>
    </row>
    <row r="6937" spans="23:23" x14ac:dyDescent="0.25">
      <c r="W6937" s="111"/>
    </row>
    <row r="6938" spans="23:23" x14ac:dyDescent="0.25">
      <c r="W6938" s="111"/>
    </row>
    <row r="6939" spans="23:23" x14ac:dyDescent="0.25">
      <c r="W6939" s="111"/>
    </row>
    <row r="6940" spans="23:23" x14ac:dyDescent="0.25">
      <c r="W6940" s="111"/>
    </row>
    <row r="6941" spans="23:23" x14ac:dyDescent="0.25">
      <c r="W6941" s="111"/>
    </row>
    <row r="6942" spans="23:23" x14ac:dyDescent="0.25">
      <c r="W6942" s="111"/>
    </row>
    <row r="6943" spans="23:23" x14ac:dyDescent="0.25">
      <c r="W6943" s="111"/>
    </row>
    <row r="6944" spans="23:23" x14ac:dyDescent="0.25">
      <c r="W6944" s="111"/>
    </row>
    <row r="6945" spans="23:23" x14ac:dyDescent="0.25">
      <c r="W6945" s="111"/>
    </row>
    <row r="6946" spans="23:23" x14ac:dyDescent="0.25">
      <c r="W6946" s="111"/>
    </row>
    <row r="6947" spans="23:23" x14ac:dyDescent="0.25">
      <c r="W6947" s="111"/>
    </row>
    <row r="6948" spans="23:23" x14ac:dyDescent="0.25">
      <c r="W6948" s="111"/>
    </row>
    <row r="6949" spans="23:23" x14ac:dyDescent="0.25">
      <c r="W6949" s="111"/>
    </row>
    <row r="6950" spans="23:23" x14ac:dyDescent="0.25">
      <c r="W6950" s="111"/>
    </row>
    <row r="6951" spans="23:23" x14ac:dyDescent="0.25">
      <c r="W6951" s="111"/>
    </row>
    <row r="6952" spans="23:23" x14ac:dyDescent="0.25">
      <c r="W6952" s="111"/>
    </row>
    <row r="6953" spans="23:23" x14ac:dyDescent="0.25">
      <c r="W6953" s="111"/>
    </row>
    <row r="6954" spans="23:23" x14ac:dyDescent="0.25">
      <c r="W6954" s="111"/>
    </row>
    <row r="6955" spans="23:23" x14ac:dyDescent="0.25">
      <c r="W6955" s="111"/>
    </row>
    <row r="6956" spans="23:23" x14ac:dyDescent="0.25">
      <c r="W6956" s="111"/>
    </row>
    <row r="6957" spans="23:23" x14ac:dyDescent="0.25">
      <c r="W6957" s="111"/>
    </row>
    <row r="6958" spans="23:23" x14ac:dyDescent="0.25">
      <c r="W6958" s="111"/>
    </row>
    <row r="6959" spans="23:23" x14ac:dyDescent="0.25">
      <c r="W6959" s="111"/>
    </row>
    <row r="6960" spans="23:23" x14ac:dyDescent="0.25">
      <c r="W6960" s="111"/>
    </row>
    <row r="6961" spans="23:23" x14ac:dyDescent="0.25">
      <c r="W6961" s="111"/>
    </row>
    <row r="6962" spans="23:23" x14ac:dyDescent="0.25">
      <c r="W6962" s="111"/>
    </row>
    <row r="6963" spans="23:23" x14ac:dyDescent="0.25">
      <c r="W6963" s="111"/>
    </row>
    <row r="6964" spans="23:23" x14ac:dyDescent="0.25">
      <c r="W6964" s="111"/>
    </row>
    <row r="6965" spans="23:23" x14ac:dyDescent="0.25">
      <c r="W6965" s="111"/>
    </row>
    <row r="6966" spans="23:23" x14ac:dyDescent="0.25">
      <c r="W6966" s="111"/>
    </row>
    <row r="6967" spans="23:23" x14ac:dyDescent="0.25">
      <c r="W6967" s="111"/>
    </row>
    <row r="6968" spans="23:23" x14ac:dyDescent="0.25">
      <c r="W6968" s="111"/>
    </row>
    <row r="6969" spans="23:23" x14ac:dyDescent="0.25">
      <c r="W6969" s="111"/>
    </row>
    <row r="6970" spans="23:23" x14ac:dyDescent="0.25">
      <c r="W6970" s="111"/>
    </row>
    <row r="6971" spans="23:23" x14ac:dyDescent="0.25">
      <c r="W6971" s="111"/>
    </row>
    <row r="6972" spans="23:23" x14ac:dyDescent="0.25">
      <c r="W6972" s="111"/>
    </row>
    <row r="6973" spans="23:23" x14ac:dyDescent="0.25">
      <c r="W6973" s="111"/>
    </row>
    <row r="6974" spans="23:23" x14ac:dyDescent="0.25">
      <c r="W6974" s="111"/>
    </row>
    <row r="6975" spans="23:23" x14ac:dyDescent="0.25">
      <c r="W6975" s="111"/>
    </row>
    <row r="6976" spans="23:23" x14ac:dyDescent="0.25">
      <c r="W6976" s="111"/>
    </row>
    <row r="6977" spans="23:23" x14ac:dyDescent="0.25">
      <c r="W6977" s="111"/>
    </row>
    <row r="6978" spans="23:23" x14ac:dyDescent="0.25">
      <c r="W6978" s="111"/>
    </row>
    <row r="6979" spans="23:23" x14ac:dyDescent="0.25">
      <c r="W6979" s="111"/>
    </row>
    <row r="6980" spans="23:23" x14ac:dyDescent="0.25">
      <c r="W6980" s="111"/>
    </row>
    <row r="6981" spans="23:23" x14ac:dyDescent="0.25">
      <c r="W6981" s="111"/>
    </row>
    <row r="6982" spans="23:23" x14ac:dyDescent="0.25">
      <c r="W6982" s="111"/>
    </row>
    <row r="6983" spans="23:23" x14ac:dyDescent="0.25">
      <c r="W6983" s="111"/>
    </row>
    <row r="6984" spans="23:23" x14ac:dyDescent="0.25">
      <c r="W6984" s="111"/>
    </row>
    <row r="6985" spans="23:23" x14ac:dyDescent="0.25">
      <c r="W6985" s="111"/>
    </row>
    <row r="6986" spans="23:23" x14ac:dyDescent="0.25">
      <c r="W6986" s="111"/>
    </row>
    <row r="6987" spans="23:23" x14ac:dyDescent="0.25">
      <c r="W6987" s="111"/>
    </row>
    <row r="6988" spans="23:23" x14ac:dyDescent="0.25">
      <c r="W6988" s="111"/>
    </row>
    <row r="6989" spans="23:23" x14ac:dyDescent="0.25">
      <c r="W6989" s="111"/>
    </row>
    <row r="6990" spans="23:23" x14ac:dyDescent="0.25">
      <c r="W6990" s="111"/>
    </row>
    <row r="6991" spans="23:23" x14ac:dyDescent="0.25">
      <c r="W6991" s="111"/>
    </row>
    <row r="6992" spans="23:23" x14ac:dyDescent="0.25">
      <c r="W6992" s="111"/>
    </row>
    <row r="6993" spans="23:23" x14ac:dyDescent="0.25">
      <c r="W6993" s="111"/>
    </row>
    <row r="6994" spans="23:23" x14ac:dyDescent="0.25">
      <c r="W6994" s="111"/>
    </row>
    <row r="6995" spans="23:23" x14ac:dyDescent="0.25">
      <c r="W6995" s="111"/>
    </row>
    <row r="6996" spans="23:23" x14ac:dyDescent="0.25">
      <c r="W6996" s="111"/>
    </row>
    <row r="6997" spans="23:23" x14ac:dyDescent="0.25">
      <c r="W6997" s="111"/>
    </row>
    <row r="6998" spans="23:23" x14ac:dyDescent="0.25">
      <c r="W6998" s="111"/>
    </row>
    <row r="6999" spans="23:23" x14ac:dyDescent="0.25">
      <c r="W6999" s="111"/>
    </row>
    <row r="7000" spans="23:23" x14ac:dyDescent="0.25">
      <c r="W7000" s="111"/>
    </row>
    <row r="7001" spans="23:23" x14ac:dyDescent="0.25">
      <c r="W7001" s="111"/>
    </row>
    <row r="7002" spans="23:23" x14ac:dyDescent="0.25">
      <c r="W7002" s="111"/>
    </row>
    <row r="7003" spans="23:23" x14ac:dyDescent="0.25">
      <c r="W7003" s="111"/>
    </row>
    <row r="7004" spans="23:23" x14ac:dyDescent="0.25">
      <c r="W7004" s="111"/>
    </row>
    <row r="7005" spans="23:23" x14ac:dyDescent="0.25">
      <c r="W7005" s="111"/>
    </row>
    <row r="7006" spans="23:23" x14ac:dyDescent="0.25">
      <c r="W7006" s="111"/>
    </row>
    <row r="7007" spans="23:23" x14ac:dyDescent="0.25">
      <c r="W7007" s="111"/>
    </row>
    <row r="7008" spans="23:23" x14ac:dyDescent="0.25">
      <c r="W7008" s="111"/>
    </row>
    <row r="7009" spans="23:23" x14ac:dyDescent="0.25">
      <c r="W7009" s="111"/>
    </row>
    <row r="7010" spans="23:23" x14ac:dyDescent="0.25">
      <c r="W7010" s="111"/>
    </row>
    <row r="7011" spans="23:23" x14ac:dyDescent="0.25">
      <c r="W7011" s="111"/>
    </row>
    <row r="7012" spans="23:23" x14ac:dyDescent="0.25">
      <c r="W7012" s="111"/>
    </row>
    <row r="7013" spans="23:23" x14ac:dyDescent="0.25">
      <c r="W7013" s="111"/>
    </row>
    <row r="7014" spans="23:23" x14ac:dyDescent="0.25">
      <c r="W7014" s="111"/>
    </row>
    <row r="7015" spans="23:23" x14ac:dyDescent="0.25">
      <c r="W7015" s="111"/>
    </row>
    <row r="7016" spans="23:23" x14ac:dyDescent="0.25">
      <c r="W7016" s="111"/>
    </row>
    <row r="7017" spans="23:23" x14ac:dyDescent="0.25">
      <c r="W7017" s="111"/>
    </row>
    <row r="7018" spans="23:23" x14ac:dyDescent="0.25">
      <c r="W7018" s="111"/>
    </row>
    <row r="7019" spans="23:23" x14ac:dyDescent="0.25">
      <c r="W7019" s="111"/>
    </row>
    <row r="7020" spans="23:23" x14ac:dyDescent="0.25">
      <c r="W7020" s="111"/>
    </row>
    <row r="7021" spans="23:23" x14ac:dyDescent="0.25">
      <c r="W7021" s="111"/>
    </row>
    <row r="7022" spans="23:23" x14ac:dyDescent="0.25">
      <c r="W7022" s="111"/>
    </row>
    <row r="7023" spans="23:23" x14ac:dyDescent="0.25">
      <c r="W7023" s="111"/>
    </row>
    <row r="7024" spans="23:23" x14ac:dyDescent="0.25">
      <c r="W7024" s="111"/>
    </row>
    <row r="7025" spans="23:23" x14ac:dyDescent="0.25">
      <c r="W7025" s="111"/>
    </row>
    <row r="7026" spans="23:23" x14ac:dyDescent="0.25">
      <c r="W7026" s="111"/>
    </row>
    <row r="7027" spans="23:23" x14ac:dyDescent="0.25">
      <c r="W7027" s="111"/>
    </row>
    <row r="7028" spans="23:23" x14ac:dyDescent="0.25">
      <c r="W7028" s="111"/>
    </row>
    <row r="7029" spans="23:23" x14ac:dyDescent="0.25">
      <c r="W7029" s="111"/>
    </row>
    <row r="7030" spans="23:23" x14ac:dyDescent="0.25">
      <c r="W7030" s="111"/>
    </row>
    <row r="7031" spans="23:23" x14ac:dyDescent="0.25">
      <c r="W7031" s="111"/>
    </row>
    <row r="7032" spans="23:23" x14ac:dyDescent="0.25">
      <c r="W7032" s="111"/>
    </row>
    <row r="7033" spans="23:23" x14ac:dyDescent="0.25">
      <c r="W7033" s="111"/>
    </row>
    <row r="7034" spans="23:23" x14ac:dyDescent="0.25">
      <c r="W7034" s="111"/>
    </row>
    <row r="7035" spans="23:23" x14ac:dyDescent="0.25">
      <c r="W7035" s="111"/>
    </row>
    <row r="7036" spans="23:23" x14ac:dyDescent="0.25">
      <c r="W7036" s="111"/>
    </row>
    <row r="7037" spans="23:23" x14ac:dyDescent="0.25">
      <c r="W7037" s="111"/>
    </row>
    <row r="7038" spans="23:23" x14ac:dyDescent="0.25">
      <c r="W7038" s="111"/>
    </row>
    <row r="7039" spans="23:23" x14ac:dyDescent="0.25">
      <c r="W7039" s="111"/>
    </row>
    <row r="7040" spans="23:23" x14ac:dyDescent="0.25">
      <c r="W7040" s="111"/>
    </row>
    <row r="7041" spans="23:23" x14ac:dyDescent="0.25">
      <c r="W7041" s="111"/>
    </row>
    <row r="7042" spans="23:23" x14ac:dyDescent="0.25">
      <c r="W7042" s="111"/>
    </row>
    <row r="7043" spans="23:23" x14ac:dyDescent="0.25">
      <c r="W7043" s="111"/>
    </row>
    <row r="7044" spans="23:23" x14ac:dyDescent="0.25">
      <c r="W7044" s="111"/>
    </row>
    <row r="7045" spans="23:23" x14ac:dyDescent="0.25">
      <c r="W7045" s="111"/>
    </row>
    <row r="7046" spans="23:23" x14ac:dyDescent="0.25">
      <c r="W7046" s="111"/>
    </row>
    <row r="7047" spans="23:23" x14ac:dyDescent="0.25">
      <c r="W7047" s="111"/>
    </row>
    <row r="7048" spans="23:23" x14ac:dyDescent="0.25">
      <c r="W7048" s="111"/>
    </row>
    <row r="7049" spans="23:23" x14ac:dyDescent="0.25">
      <c r="W7049" s="111"/>
    </row>
    <row r="7050" spans="23:23" x14ac:dyDescent="0.25">
      <c r="W7050" s="111"/>
    </row>
    <row r="7051" spans="23:23" x14ac:dyDescent="0.25">
      <c r="W7051" s="111"/>
    </row>
    <row r="7052" spans="23:23" x14ac:dyDescent="0.25">
      <c r="W7052" s="111"/>
    </row>
    <row r="7053" spans="23:23" x14ac:dyDescent="0.25">
      <c r="W7053" s="111"/>
    </row>
    <row r="7054" spans="23:23" x14ac:dyDescent="0.25">
      <c r="W7054" s="111"/>
    </row>
    <row r="7055" spans="23:23" x14ac:dyDescent="0.25">
      <c r="W7055" s="111"/>
    </row>
    <row r="7056" spans="23:23" x14ac:dyDescent="0.25">
      <c r="W7056" s="111"/>
    </row>
    <row r="7057" spans="23:23" x14ac:dyDescent="0.25">
      <c r="W7057" s="111"/>
    </row>
    <row r="7058" spans="23:23" x14ac:dyDescent="0.25">
      <c r="W7058" s="111"/>
    </row>
    <row r="7059" spans="23:23" x14ac:dyDescent="0.25">
      <c r="W7059" s="111"/>
    </row>
    <row r="7060" spans="23:23" x14ac:dyDescent="0.25">
      <c r="W7060" s="111"/>
    </row>
    <row r="7061" spans="23:23" x14ac:dyDescent="0.25">
      <c r="W7061" s="111"/>
    </row>
    <row r="7062" spans="23:23" x14ac:dyDescent="0.25">
      <c r="W7062" s="111"/>
    </row>
    <row r="7063" spans="23:23" x14ac:dyDescent="0.25">
      <c r="W7063" s="111"/>
    </row>
    <row r="7064" spans="23:23" x14ac:dyDescent="0.25">
      <c r="W7064" s="111"/>
    </row>
    <row r="7065" spans="23:23" x14ac:dyDescent="0.25">
      <c r="W7065" s="111"/>
    </row>
    <row r="7066" spans="23:23" x14ac:dyDescent="0.25">
      <c r="W7066" s="111"/>
    </row>
    <row r="7067" spans="23:23" x14ac:dyDescent="0.25">
      <c r="W7067" s="111"/>
    </row>
    <row r="7068" spans="23:23" x14ac:dyDescent="0.25">
      <c r="W7068" s="111"/>
    </row>
    <row r="7069" spans="23:23" x14ac:dyDescent="0.25">
      <c r="W7069" s="111"/>
    </row>
    <row r="7070" spans="23:23" x14ac:dyDescent="0.25">
      <c r="W7070" s="111"/>
    </row>
    <row r="7071" spans="23:23" x14ac:dyDescent="0.25">
      <c r="W7071" s="111"/>
    </row>
    <row r="7072" spans="23:23" x14ac:dyDescent="0.25">
      <c r="W7072" s="111"/>
    </row>
    <row r="7073" spans="23:23" x14ac:dyDescent="0.25">
      <c r="W7073" s="111"/>
    </row>
    <row r="7074" spans="23:23" x14ac:dyDescent="0.25">
      <c r="W7074" s="111"/>
    </row>
    <row r="7075" spans="23:23" x14ac:dyDescent="0.25">
      <c r="W7075" s="111"/>
    </row>
    <row r="7076" spans="23:23" x14ac:dyDescent="0.25">
      <c r="W7076" s="111"/>
    </row>
    <row r="7077" spans="23:23" x14ac:dyDescent="0.25">
      <c r="W7077" s="111"/>
    </row>
    <row r="7078" spans="23:23" x14ac:dyDescent="0.25">
      <c r="W7078" s="111"/>
    </row>
    <row r="7079" spans="23:23" x14ac:dyDescent="0.25">
      <c r="W7079" s="111"/>
    </row>
    <row r="7080" spans="23:23" x14ac:dyDescent="0.25">
      <c r="W7080" s="111"/>
    </row>
    <row r="7081" spans="23:23" x14ac:dyDescent="0.25">
      <c r="W7081" s="111"/>
    </row>
    <row r="7082" spans="23:23" x14ac:dyDescent="0.25">
      <c r="W7082" s="111"/>
    </row>
    <row r="7083" spans="23:23" x14ac:dyDescent="0.25">
      <c r="W7083" s="111"/>
    </row>
    <row r="7084" spans="23:23" x14ac:dyDescent="0.25">
      <c r="W7084" s="111"/>
    </row>
    <row r="7085" spans="23:23" x14ac:dyDescent="0.25">
      <c r="W7085" s="111"/>
    </row>
    <row r="7086" spans="23:23" x14ac:dyDescent="0.25">
      <c r="W7086" s="111"/>
    </row>
    <row r="7087" spans="23:23" x14ac:dyDescent="0.25">
      <c r="W7087" s="111"/>
    </row>
    <row r="7088" spans="23:23" x14ac:dyDescent="0.25">
      <c r="W7088" s="111"/>
    </row>
    <row r="7089" spans="23:23" x14ac:dyDescent="0.25">
      <c r="W7089" s="111"/>
    </row>
    <row r="7090" spans="23:23" x14ac:dyDescent="0.25">
      <c r="W7090" s="111"/>
    </row>
    <row r="7091" spans="23:23" x14ac:dyDescent="0.25">
      <c r="W7091" s="111"/>
    </row>
    <row r="7092" spans="23:23" x14ac:dyDescent="0.25">
      <c r="W7092" s="111"/>
    </row>
    <row r="7093" spans="23:23" x14ac:dyDescent="0.25">
      <c r="W7093" s="111"/>
    </row>
    <row r="7094" spans="23:23" x14ac:dyDescent="0.25">
      <c r="W7094" s="111"/>
    </row>
    <row r="7095" spans="23:23" x14ac:dyDescent="0.25">
      <c r="W7095" s="111"/>
    </row>
    <row r="7096" spans="23:23" x14ac:dyDescent="0.25">
      <c r="W7096" s="111"/>
    </row>
    <row r="7097" spans="23:23" x14ac:dyDescent="0.25">
      <c r="W7097" s="111"/>
    </row>
    <row r="7098" spans="23:23" x14ac:dyDescent="0.25">
      <c r="W7098" s="111"/>
    </row>
    <row r="7099" spans="23:23" x14ac:dyDescent="0.25">
      <c r="W7099" s="111"/>
    </row>
    <row r="7100" spans="23:23" x14ac:dyDescent="0.25">
      <c r="W7100" s="111"/>
    </row>
    <row r="7101" spans="23:23" x14ac:dyDescent="0.25">
      <c r="W7101" s="111"/>
    </row>
    <row r="7102" spans="23:23" x14ac:dyDescent="0.25">
      <c r="W7102" s="111"/>
    </row>
    <row r="7103" spans="23:23" x14ac:dyDescent="0.25">
      <c r="W7103" s="111"/>
    </row>
    <row r="7104" spans="23:23" x14ac:dyDescent="0.25">
      <c r="W7104" s="111"/>
    </row>
    <row r="7105" spans="23:23" x14ac:dyDescent="0.25">
      <c r="W7105" s="111"/>
    </row>
    <row r="7106" spans="23:23" x14ac:dyDescent="0.25">
      <c r="W7106" s="111"/>
    </row>
    <row r="7107" spans="23:23" x14ac:dyDescent="0.25">
      <c r="W7107" s="111"/>
    </row>
    <row r="7108" spans="23:23" x14ac:dyDescent="0.25">
      <c r="W7108" s="111"/>
    </row>
    <row r="7109" spans="23:23" x14ac:dyDescent="0.25">
      <c r="W7109" s="111"/>
    </row>
    <row r="7110" spans="23:23" x14ac:dyDescent="0.25">
      <c r="W7110" s="111"/>
    </row>
    <row r="7111" spans="23:23" x14ac:dyDescent="0.25">
      <c r="W7111" s="111"/>
    </row>
    <row r="7112" spans="23:23" x14ac:dyDescent="0.25">
      <c r="W7112" s="111"/>
    </row>
    <row r="7113" spans="23:23" x14ac:dyDescent="0.25">
      <c r="W7113" s="111"/>
    </row>
    <row r="7114" spans="23:23" x14ac:dyDescent="0.25">
      <c r="W7114" s="111"/>
    </row>
    <row r="7115" spans="23:23" x14ac:dyDescent="0.25">
      <c r="W7115" s="111"/>
    </row>
    <row r="7116" spans="23:23" x14ac:dyDescent="0.25">
      <c r="W7116" s="111"/>
    </row>
    <row r="7117" spans="23:23" x14ac:dyDescent="0.25">
      <c r="W7117" s="111"/>
    </row>
    <row r="7118" spans="23:23" x14ac:dyDescent="0.25">
      <c r="W7118" s="111"/>
    </row>
    <row r="7119" spans="23:23" x14ac:dyDescent="0.25">
      <c r="W7119" s="111"/>
    </row>
    <row r="7120" spans="23:23" x14ac:dyDescent="0.25">
      <c r="W7120" s="111"/>
    </row>
    <row r="7121" spans="23:23" x14ac:dyDescent="0.25">
      <c r="W7121" s="111"/>
    </row>
    <row r="7122" spans="23:23" x14ac:dyDescent="0.25">
      <c r="W7122" s="111"/>
    </row>
    <row r="7123" spans="23:23" x14ac:dyDescent="0.25">
      <c r="W7123" s="111"/>
    </row>
    <row r="7124" spans="23:23" x14ac:dyDescent="0.25">
      <c r="W7124" s="111"/>
    </row>
    <row r="7125" spans="23:23" x14ac:dyDescent="0.25">
      <c r="W7125" s="111"/>
    </row>
    <row r="7126" spans="23:23" x14ac:dyDescent="0.25">
      <c r="W7126" s="111"/>
    </row>
    <row r="7127" spans="23:23" x14ac:dyDescent="0.25">
      <c r="W7127" s="111"/>
    </row>
    <row r="7128" spans="23:23" x14ac:dyDescent="0.25">
      <c r="W7128" s="111"/>
    </row>
    <row r="7129" spans="23:23" x14ac:dyDescent="0.25">
      <c r="W7129" s="111"/>
    </row>
    <row r="7130" spans="23:23" x14ac:dyDescent="0.25">
      <c r="W7130" s="111"/>
    </row>
    <row r="7131" spans="23:23" x14ac:dyDescent="0.25">
      <c r="W7131" s="111"/>
    </row>
    <row r="7132" spans="23:23" x14ac:dyDescent="0.25">
      <c r="W7132" s="111"/>
    </row>
    <row r="7133" spans="23:23" x14ac:dyDescent="0.25">
      <c r="W7133" s="111"/>
    </row>
    <row r="7134" spans="23:23" x14ac:dyDescent="0.25">
      <c r="W7134" s="111"/>
    </row>
    <row r="7135" spans="23:23" x14ac:dyDescent="0.25">
      <c r="W7135" s="111"/>
    </row>
    <row r="7136" spans="23:23" x14ac:dyDescent="0.25">
      <c r="W7136" s="111"/>
    </row>
    <row r="7137" spans="23:23" x14ac:dyDescent="0.25">
      <c r="W7137" s="111"/>
    </row>
    <row r="7138" spans="23:23" x14ac:dyDescent="0.25">
      <c r="W7138" s="111"/>
    </row>
    <row r="7139" spans="23:23" x14ac:dyDescent="0.25">
      <c r="W7139" s="111"/>
    </row>
    <row r="7140" spans="23:23" x14ac:dyDescent="0.25">
      <c r="W7140" s="111"/>
    </row>
    <row r="7141" spans="23:23" x14ac:dyDescent="0.25">
      <c r="W7141" s="111"/>
    </row>
    <row r="7142" spans="23:23" x14ac:dyDescent="0.25">
      <c r="W7142" s="111"/>
    </row>
    <row r="7143" spans="23:23" x14ac:dyDescent="0.25">
      <c r="W7143" s="111"/>
    </row>
    <row r="7144" spans="23:23" x14ac:dyDescent="0.25">
      <c r="W7144" s="111"/>
    </row>
    <row r="7145" spans="23:23" x14ac:dyDescent="0.25">
      <c r="W7145" s="111"/>
    </row>
    <row r="7146" spans="23:23" x14ac:dyDescent="0.25">
      <c r="W7146" s="111"/>
    </row>
    <row r="7147" spans="23:23" x14ac:dyDescent="0.25">
      <c r="W7147" s="111"/>
    </row>
    <row r="7148" spans="23:23" x14ac:dyDescent="0.25">
      <c r="W7148" s="111"/>
    </row>
    <row r="7149" spans="23:23" x14ac:dyDescent="0.25">
      <c r="W7149" s="111"/>
    </row>
    <row r="7150" spans="23:23" x14ac:dyDescent="0.25">
      <c r="W7150" s="111"/>
    </row>
    <row r="7151" spans="23:23" x14ac:dyDescent="0.25">
      <c r="W7151" s="111"/>
    </row>
    <row r="7152" spans="23:23" x14ac:dyDescent="0.25">
      <c r="W7152" s="111"/>
    </row>
    <row r="7153" spans="23:23" x14ac:dyDescent="0.25">
      <c r="W7153" s="111"/>
    </row>
    <row r="7154" spans="23:23" x14ac:dyDescent="0.25">
      <c r="W7154" s="111"/>
    </row>
    <row r="7155" spans="23:23" x14ac:dyDescent="0.25">
      <c r="W7155" s="111"/>
    </row>
    <row r="7156" spans="23:23" x14ac:dyDescent="0.25">
      <c r="W7156" s="111"/>
    </row>
    <row r="7157" spans="23:23" x14ac:dyDescent="0.25">
      <c r="W7157" s="111"/>
    </row>
    <row r="7158" spans="23:23" x14ac:dyDescent="0.25">
      <c r="W7158" s="111"/>
    </row>
    <row r="7159" spans="23:23" x14ac:dyDescent="0.25">
      <c r="W7159" s="111"/>
    </row>
    <row r="7160" spans="23:23" x14ac:dyDescent="0.25">
      <c r="W7160" s="111"/>
    </row>
    <row r="7161" spans="23:23" x14ac:dyDescent="0.25">
      <c r="W7161" s="111"/>
    </row>
    <row r="7162" spans="23:23" x14ac:dyDescent="0.25">
      <c r="W7162" s="111"/>
    </row>
    <row r="7163" spans="23:23" x14ac:dyDescent="0.25">
      <c r="W7163" s="111"/>
    </row>
    <row r="7164" spans="23:23" x14ac:dyDescent="0.25">
      <c r="W7164" s="111"/>
    </row>
    <row r="7165" spans="23:23" x14ac:dyDescent="0.25">
      <c r="W7165" s="111"/>
    </row>
    <row r="7166" spans="23:23" x14ac:dyDescent="0.25">
      <c r="W7166" s="111"/>
    </row>
    <row r="7167" spans="23:23" x14ac:dyDescent="0.25">
      <c r="W7167" s="111"/>
    </row>
    <row r="7168" spans="23:23" x14ac:dyDescent="0.25">
      <c r="W7168" s="111"/>
    </row>
    <row r="7169" spans="23:23" x14ac:dyDescent="0.25">
      <c r="W7169" s="111"/>
    </row>
    <row r="7170" spans="23:23" x14ac:dyDescent="0.25">
      <c r="W7170" s="111"/>
    </row>
    <row r="7171" spans="23:23" x14ac:dyDescent="0.25">
      <c r="W7171" s="111"/>
    </row>
    <row r="7172" spans="23:23" x14ac:dyDescent="0.25">
      <c r="W7172" s="111"/>
    </row>
    <row r="7173" spans="23:23" x14ac:dyDescent="0.25">
      <c r="W7173" s="111"/>
    </row>
    <row r="7174" spans="23:23" x14ac:dyDescent="0.25">
      <c r="W7174" s="111"/>
    </row>
    <row r="7175" spans="23:23" x14ac:dyDescent="0.25">
      <c r="W7175" s="111"/>
    </row>
    <row r="7176" spans="23:23" x14ac:dyDescent="0.25">
      <c r="W7176" s="111"/>
    </row>
    <row r="7177" spans="23:23" x14ac:dyDescent="0.25">
      <c r="W7177" s="111"/>
    </row>
    <row r="7178" spans="23:23" x14ac:dyDescent="0.25">
      <c r="W7178" s="111"/>
    </row>
    <row r="7179" spans="23:23" x14ac:dyDescent="0.25">
      <c r="W7179" s="111"/>
    </row>
    <row r="7180" spans="23:23" x14ac:dyDescent="0.25">
      <c r="W7180" s="111"/>
    </row>
    <row r="7181" spans="23:23" x14ac:dyDescent="0.25">
      <c r="W7181" s="111"/>
    </row>
    <row r="7182" spans="23:23" x14ac:dyDescent="0.25">
      <c r="W7182" s="111"/>
    </row>
    <row r="7183" spans="23:23" x14ac:dyDescent="0.25">
      <c r="W7183" s="111"/>
    </row>
    <row r="7184" spans="23:23" x14ac:dyDescent="0.25">
      <c r="W7184" s="111"/>
    </row>
    <row r="7185" spans="23:23" x14ac:dyDescent="0.25">
      <c r="W7185" s="111"/>
    </row>
    <row r="7186" spans="23:23" x14ac:dyDescent="0.25">
      <c r="W7186" s="111"/>
    </row>
    <row r="7187" spans="23:23" x14ac:dyDescent="0.25">
      <c r="W7187" s="111"/>
    </row>
    <row r="7188" spans="23:23" x14ac:dyDescent="0.25">
      <c r="W7188" s="111"/>
    </row>
    <row r="7189" spans="23:23" x14ac:dyDescent="0.25">
      <c r="W7189" s="111"/>
    </row>
    <row r="7190" spans="23:23" x14ac:dyDescent="0.25">
      <c r="W7190" s="111"/>
    </row>
    <row r="7191" spans="23:23" x14ac:dyDescent="0.25">
      <c r="W7191" s="111"/>
    </row>
    <row r="7192" spans="23:23" x14ac:dyDescent="0.25">
      <c r="W7192" s="111"/>
    </row>
    <row r="7193" spans="23:23" x14ac:dyDescent="0.25">
      <c r="W7193" s="111"/>
    </row>
    <row r="7194" spans="23:23" x14ac:dyDescent="0.25">
      <c r="W7194" s="111"/>
    </row>
    <row r="7195" spans="23:23" x14ac:dyDescent="0.25">
      <c r="W7195" s="111"/>
    </row>
    <row r="7196" spans="23:23" x14ac:dyDescent="0.25">
      <c r="W7196" s="111"/>
    </row>
    <row r="7197" spans="23:23" x14ac:dyDescent="0.25">
      <c r="W7197" s="111"/>
    </row>
    <row r="7198" spans="23:23" x14ac:dyDescent="0.25">
      <c r="W7198" s="111"/>
    </row>
    <row r="7199" spans="23:23" x14ac:dyDescent="0.25">
      <c r="W7199" s="111"/>
    </row>
    <row r="7200" spans="23:23" x14ac:dyDescent="0.25">
      <c r="W7200" s="111"/>
    </row>
    <row r="7201" spans="23:23" x14ac:dyDescent="0.25">
      <c r="W7201" s="111"/>
    </row>
    <row r="7202" spans="23:23" x14ac:dyDescent="0.25">
      <c r="W7202" s="111"/>
    </row>
    <row r="7203" spans="23:23" x14ac:dyDescent="0.25">
      <c r="W7203" s="111"/>
    </row>
    <row r="7204" spans="23:23" x14ac:dyDescent="0.25">
      <c r="W7204" s="111"/>
    </row>
    <row r="7205" spans="23:23" x14ac:dyDescent="0.25">
      <c r="W7205" s="111"/>
    </row>
    <row r="7206" spans="23:23" x14ac:dyDescent="0.25">
      <c r="W7206" s="111"/>
    </row>
    <row r="7207" spans="23:23" x14ac:dyDescent="0.25">
      <c r="W7207" s="111"/>
    </row>
    <row r="7208" spans="23:23" x14ac:dyDescent="0.25">
      <c r="W7208" s="111"/>
    </row>
    <row r="7209" spans="23:23" x14ac:dyDescent="0.25">
      <c r="W7209" s="111"/>
    </row>
    <row r="7210" spans="23:23" x14ac:dyDescent="0.25">
      <c r="W7210" s="111"/>
    </row>
    <row r="7211" spans="23:23" x14ac:dyDescent="0.25">
      <c r="W7211" s="111"/>
    </row>
    <row r="7212" spans="23:23" x14ac:dyDescent="0.25">
      <c r="W7212" s="111"/>
    </row>
    <row r="7213" spans="23:23" x14ac:dyDescent="0.25">
      <c r="W7213" s="111"/>
    </row>
    <row r="7214" spans="23:23" x14ac:dyDescent="0.25">
      <c r="W7214" s="111"/>
    </row>
    <row r="7215" spans="23:23" x14ac:dyDescent="0.25">
      <c r="W7215" s="111"/>
    </row>
    <row r="7216" spans="23:23" x14ac:dyDescent="0.25">
      <c r="W7216" s="111"/>
    </row>
    <row r="7217" spans="23:23" x14ac:dyDescent="0.25">
      <c r="W7217" s="111"/>
    </row>
    <row r="7218" spans="23:23" x14ac:dyDescent="0.25">
      <c r="W7218" s="111"/>
    </row>
    <row r="7219" spans="23:23" x14ac:dyDescent="0.25">
      <c r="W7219" s="111"/>
    </row>
    <row r="7220" spans="23:23" x14ac:dyDescent="0.25">
      <c r="W7220" s="111"/>
    </row>
    <row r="7221" spans="23:23" x14ac:dyDescent="0.25">
      <c r="W7221" s="111"/>
    </row>
    <row r="7222" spans="23:23" x14ac:dyDescent="0.25">
      <c r="W7222" s="111"/>
    </row>
    <row r="7223" spans="23:23" x14ac:dyDescent="0.25">
      <c r="W7223" s="111"/>
    </row>
    <row r="7224" spans="23:23" x14ac:dyDescent="0.25">
      <c r="W7224" s="111"/>
    </row>
    <row r="7225" spans="23:23" x14ac:dyDescent="0.25">
      <c r="W7225" s="111"/>
    </row>
    <row r="7226" spans="23:23" x14ac:dyDescent="0.25">
      <c r="W7226" s="111"/>
    </row>
    <row r="7227" spans="23:23" x14ac:dyDescent="0.25">
      <c r="W7227" s="111"/>
    </row>
    <row r="7228" spans="23:23" x14ac:dyDescent="0.25">
      <c r="W7228" s="111"/>
    </row>
    <row r="7229" spans="23:23" x14ac:dyDescent="0.25">
      <c r="W7229" s="111"/>
    </row>
    <row r="7230" spans="23:23" x14ac:dyDescent="0.25">
      <c r="W7230" s="111"/>
    </row>
    <row r="7231" spans="23:23" x14ac:dyDescent="0.25">
      <c r="W7231" s="111"/>
    </row>
    <row r="7232" spans="23:23" x14ac:dyDescent="0.25">
      <c r="W7232" s="111"/>
    </row>
    <row r="7233" spans="23:23" x14ac:dyDescent="0.25">
      <c r="W7233" s="111"/>
    </row>
    <row r="7234" spans="23:23" x14ac:dyDescent="0.25">
      <c r="W7234" s="111"/>
    </row>
    <row r="7235" spans="23:23" x14ac:dyDescent="0.25">
      <c r="W7235" s="111"/>
    </row>
    <row r="7236" spans="23:23" x14ac:dyDescent="0.25">
      <c r="W7236" s="111"/>
    </row>
    <row r="7237" spans="23:23" x14ac:dyDescent="0.25">
      <c r="W7237" s="111"/>
    </row>
    <row r="7238" spans="23:23" x14ac:dyDescent="0.25">
      <c r="W7238" s="111"/>
    </row>
    <row r="7239" spans="23:23" x14ac:dyDescent="0.25">
      <c r="W7239" s="111"/>
    </row>
    <row r="7240" spans="23:23" x14ac:dyDescent="0.25">
      <c r="W7240" s="111"/>
    </row>
    <row r="7241" spans="23:23" x14ac:dyDescent="0.25">
      <c r="W7241" s="111"/>
    </row>
    <row r="7242" spans="23:23" x14ac:dyDescent="0.25">
      <c r="W7242" s="111"/>
    </row>
    <row r="7243" spans="23:23" x14ac:dyDescent="0.25">
      <c r="W7243" s="111"/>
    </row>
    <row r="7244" spans="23:23" x14ac:dyDescent="0.25">
      <c r="W7244" s="111"/>
    </row>
    <row r="7245" spans="23:23" x14ac:dyDescent="0.25">
      <c r="W7245" s="111"/>
    </row>
    <row r="7246" spans="23:23" x14ac:dyDescent="0.25">
      <c r="W7246" s="111"/>
    </row>
    <row r="7247" spans="23:23" x14ac:dyDescent="0.25">
      <c r="W7247" s="111"/>
    </row>
    <row r="7248" spans="23:23" x14ac:dyDescent="0.25">
      <c r="W7248" s="111"/>
    </row>
    <row r="7249" spans="23:23" x14ac:dyDescent="0.25">
      <c r="W7249" s="111"/>
    </row>
    <row r="7250" spans="23:23" x14ac:dyDescent="0.25">
      <c r="W7250" s="111"/>
    </row>
    <row r="7251" spans="23:23" x14ac:dyDescent="0.25">
      <c r="W7251" s="111"/>
    </row>
    <row r="7252" spans="23:23" x14ac:dyDescent="0.25">
      <c r="W7252" s="111"/>
    </row>
    <row r="7253" spans="23:23" x14ac:dyDescent="0.25">
      <c r="W7253" s="111"/>
    </row>
    <row r="7254" spans="23:23" x14ac:dyDescent="0.25">
      <c r="W7254" s="111"/>
    </row>
    <row r="7255" spans="23:23" x14ac:dyDescent="0.25">
      <c r="W7255" s="111"/>
    </row>
    <row r="7256" spans="23:23" x14ac:dyDescent="0.25">
      <c r="W7256" s="111"/>
    </row>
    <row r="7257" spans="23:23" x14ac:dyDescent="0.25">
      <c r="W7257" s="111"/>
    </row>
    <row r="7258" spans="23:23" x14ac:dyDescent="0.25">
      <c r="W7258" s="111"/>
    </row>
    <row r="7259" spans="23:23" x14ac:dyDescent="0.25">
      <c r="W7259" s="111"/>
    </row>
    <row r="7260" spans="23:23" x14ac:dyDescent="0.25">
      <c r="W7260" s="111"/>
    </row>
    <row r="7261" spans="23:23" x14ac:dyDescent="0.25">
      <c r="W7261" s="111"/>
    </row>
    <row r="7262" spans="23:23" x14ac:dyDescent="0.25">
      <c r="W7262" s="111"/>
    </row>
    <row r="7263" spans="23:23" x14ac:dyDescent="0.25">
      <c r="W7263" s="111"/>
    </row>
    <row r="7264" spans="23:23" x14ac:dyDescent="0.25">
      <c r="W7264" s="111"/>
    </row>
    <row r="7265" spans="23:23" x14ac:dyDescent="0.25">
      <c r="W7265" s="111"/>
    </row>
    <row r="7266" spans="23:23" x14ac:dyDescent="0.25">
      <c r="W7266" s="111"/>
    </row>
    <row r="7267" spans="23:23" x14ac:dyDescent="0.25">
      <c r="W7267" s="111"/>
    </row>
    <row r="7268" spans="23:23" x14ac:dyDescent="0.25">
      <c r="W7268" s="111"/>
    </row>
    <row r="7269" spans="23:23" x14ac:dyDescent="0.25">
      <c r="W7269" s="111"/>
    </row>
    <row r="7270" spans="23:23" x14ac:dyDescent="0.25">
      <c r="W7270" s="111"/>
    </row>
    <row r="7271" spans="23:23" x14ac:dyDescent="0.25">
      <c r="W7271" s="111"/>
    </row>
    <row r="7272" spans="23:23" x14ac:dyDescent="0.25">
      <c r="W7272" s="111"/>
    </row>
    <row r="7273" spans="23:23" x14ac:dyDescent="0.25">
      <c r="W7273" s="111"/>
    </row>
    <row r="7274" spans="23:23" x14ac:dyDescent="0.25">
      <c r="W7274" s="111"/>
    </row>
    <row r="7275" spans="23:23" x14ac:dyDescent="0.25">
      <c r="W7275" s="111"/>
    </row>
    <row r="7276" spans="23:23" x14ac:dyDescent="0.25">
      <c r="W7276" s="111"/>
    </row>
    <row r="7277" spans="23:23" x14ac:dyDescent="0.25">
      <c r="W7277" s="111"/>
    </row>
    <row r="7278" spans="23:23" x14ac:dyDescent="0.25">
      <c r="W7278" s="111"/>
    </row>
    <row r="7279" spans="23:23" x14ac:dyDescent="0.25">
      <c r="W7279" s="111"/>
    </row>
    <row r="7280" spans="23:23" x14ac:dyDescent="0.25">
      <c r="W7280" s="111"/>
    </row>
    <row r="7281" spans="23:23" x14ac:dyDescent="0.25">
      <c r="W7281" s="111"/>
    </row>
    <row r="7282" spans="23:23" x14ac:dyDescent="0.25">
      <c r="W7282" s="111"/>
    </row>
    <row r="7283" spans="23:23" x14ac:dyDescent="0.25">
      <c r="W7283" s="111"/>
    </row>
    <row r="7284" spans="23:23" x14ac:dyDescent="0.25">
      <c r="W7284" s="111"/>
    </row>
    <row r="7285" spans="23:23" x14ac:dyDescent="0.25">
      <c r="W7285" s="111"/>
    </row>
    <row r="7286" spans="23:23" x14ac:dyDescent="0.25">
      <c r="W7286" s="111"/>
    </row>
    <row r="7287" spans="23:23" x14ac:dyDescent="0.25">
      <c r="W7287" s="111"/>
    </row>
    <row r="7288" spans="23:23" x14ac:dyDescent="0.25">
      <c r="W7288" s="111"/>
    </row>
    <row r="7289" spans="23:23" x14ac:dyDescent="0.25">
      <c r="W7289" s="111"/>
    </row>
    <row r="7290" spans="23:23" x14ac:dyDescent="0.25">
      <c r="W7290" s="111"/>
    </row>
    <row r="7291" spans="23:23" x14ac:dyDescent="0.25">
      <c r="W7291" s="111"/>
    </row>
    <row r="7292" spans="23:23" x14ac:dyDescent="0.25">
      <c r="W7292" s="111"/>
    </row>
    <row r="7293" spans="23:23" x14ac:dyDescent="0.25">
      <c r="W7293" s="111"/>
    </row>
    <row r="7294" spans="23:23" x14ac:dyDescent="0.25">
      <c r="W7294" s="111"/>
    </row>
    <row r="7295" spans="23:23" x14ac:dyDescent="0.25">
      <c r="W7295" s="111"/>
    </row>
    <row r="7296" spans="23:23" x14ac:dyDescent="0.25">
      <c r="W7296" s="111"/>
    </row>
    <row r="7297" spans="23:23" x14ac:dyDescent="0.25">
      <c r="W7297" s="111"/>
    </row>
    <row r="7298" spans="23:23" x14ac:dyDescent="0.25">
      <c r="W7298" s="111"/>
    </row>
    <row r="7299" spans="23:23" x14ac:dyDescent="0.25">
      <c r="W7299" s="111"/>
    </row>
    <row r="7300" spans="23:23" x14ac:dyDescent="0.25">
      <c r="W7300" s="111"/>
    </row>
    <row r="7301" spans="23:23" x14ac:dyDescent="0.25">
      <c r="W7301" s="111"/>
    </row>
    <row r="7302" spans="23:23" x14ac:dyDescent="0.25">
      <c r="W7302" s="111"/>
    </row>
    <row r="7303" spans="23:23" x14ac:dyDescent="0.25">
      <c r="W7303" s="111"/>
    </row>
    <row r="7304" spans="23:23" x14ac:dyDescent="0.25">
      <c r="W7304" s="111"/>
    </row>
    <row r="7305" spans="23:23" x14ac:dyDescent="0.25">
      <c r="W7305" s="111"/>
    </row>
    <row r="7306" spans="23:23" x14ac:dyDescent="0.25">
      <c r="W7306" s="111"/>
    </row>
    <row r="7307" spans="23:23" x14ac:dyDescent="0.25">
      <c r="W7307" s="111"/>
    </row>
    <row r="7308" spans="23:23" x14ac:dyDescent="0.25">
      <c r="W7308" s="111"/>
    </row>
    <row r="7309" spans="23:23" x14ac:dyDescent="0.25">
      <c r="W7309" s="111"/>
    </row>
    <row r="7310" spans="23:23" x14ac:dyDescent="0.25">
      <c r="W7310" s="111"/>
    </row>
    <row r="7311" spans="23:23" x14ac:dyDescent="0.25">
      <c r="W7311" s="111"/>
    </row>
    <row r="7312" spans="23:23" x14ac:dyDescent="0.25">
      <c r="W7312" s="111"/>
    </row>
    <row r="7313" spans="23:23" x14ac:dyDescent="0.25">
      <c r="W7313" s="111"/>
    </row>
    <row r="7314" spans="23:23" x14ac:dyDescent="0.25">
      <c r="W7314" s="111"/>
    </row>
    <row r="7315" spans="23:23" x14ac:dyDescent="0.25">
      <c r="W7315" s="111"/>
    </row>
    <row r="7316" spans="23:23" x14ac:dyDescent="0.25">
      <c r="W7316" s="111"/>
    </row>
    <row r="7317" spans="23:23" x14ac:dyDescent="0.25">
      <c r="W7317" s="111"/>
    </row>
    <row r="7318" spans="23:23" x14ac:dyDescent="0.25">
      <c r="W7318" s="111"/>
    </row>
    <row r="7319" spans="23:23" x14ac:dyDescent="0.25">
      <c r="W7319" s="111"/>
    </row>
    <row r="7320" spans="23:23" x14ac:dyDescent="0.25">
      <c r="W7320" s="111"/>
    </row>
    <row r="7321" spans="23:23" x14ac:dyDescent="0.25">
      <c r="W7321" s="111"/>
    </row>
    <row r="7322" spans="23:23" x14ac:dyDescent="0.25">
      <c r="W7322" s="111"/>
    </row>
    <row r="7323" spans="23:23" x14ac:dyDescent="0.25">
      <c r="W7323" s="111"/>
    </row>
    <row r="7324" spans="23:23" x14ac:dyDescent="0.25">
      <c r="W7324" s="111"/>
    </row>
    <row r="7325" spans="23:23" x14ac:dyDescent="0.25">
      <c r="W7325" s="111"/>
    </row>
    <row r="7326" spans="23:23" x14ac:dyDescent="0.25">
      <c r="W7326" s="111"/>
    </row>
    <row r="7327" spans="23:23" x14ac:dyDescent="0.25">
      <c r="W7327" s="111"/>
    </row>
    <row r="7328" spans="23:23" x14ac:dyDescent="0.25">
      <c r="W7328" s="111"/>
    </row>
    <row r="7329" spans="23:23" x14ac:dyDescent="0.25">
      <c r="W7329" s="111"/>
    </row>
    <row r="7330" spans="23:23" x14ac:dyDescent="0.25">
      <c r="W7330" s="111"/>
    </row>
    <row r="7331" spans="23:23" x14ac:dyDescent="0.25">
      <c r="W7331" s="111"/>
    </row>
    <row r="7332" spans="23:23" x14ac:dyDescent="0.25">
      <c r="W7332" s="111"/>
    </row>
    <row r="7333" spans="23:23" x14ac:dyDescent="0.25">
      <c r="W7333" s="111"/>
    </row>
    <row r="7334" spans="23:23" x14ac:dyDescent="0.25">
      <c r="W7334" s="111"/>
    </row>
    <row r="7335" spans="23:23" x14ac:dyDescent="0.25">
      <c r="W7335" s="111"/>
    </row>
    <row r="7336" spans="23:23" x14ac:dyDescent="0.25">
      <c r="W7336" s="111"/>
    </row>
    <row r="7337" spans="23:23" x14ac:dyDescent="0.25">
      <c r="W7337" s="111"/>
    </row>
    <row r="7338" spans="23:23" x14ac:dyDescent="0.25">
      <c r="W7338" s="111"/>
    </row>
    <row r="7339" spans="23:23" x14ac:dyDescent="0.25">
      <c r="W7339" s="111"/>
    </row>
    <row r="7340" spans="23:23" x14ac:dyDescent="0.25">
      <c r="W7340" s="111"/>
    </row>
    <row r="7341" spans="23:23" x14ac:dyDescent="0.25">
      <c r="W7341" s="111"/>
    </row>
    <row r="7342" spans="23:23" x14ac:dyDescent="0.25">
      <c r="W7342" s="111"/>
    </row>
    <row r="7343" spans="23:23" x14ac:dyDescent="0.25">
      <c r="W7343" s="111"/>
    </row>
    <row r="7344" spans="23:23" x14ac:dyDescent="0.25">
      <c r="W7344" s="111"/>
    </row>
    <row r="7345" spans="23:23" x14ac:dyDescent="0.25">
      <c r="W7345" s="111"/>
    </row>
    <row r="7346" spans="23:23" x14ac:dyDescent="0.25">
      <c r="W7346" s="111"/>
    </row>
    <row r="7347" spans="23:23" x14ac:dyDescent="0.25">
      <c r="W7347" s="111"/>
    </row>
    <row r="7348" spans="23:23" x14ac:dyDescent="0.25">
      <c r="W7348" s="111"/>
    </row>
    <row r="7349" spans="23:23" x14ac:dyDescent="0.25">
      <c r="W7349" s="111"/>
    </row>
    <row r="7350" spans="23:23" x14ac:dyDescent="0.25">
      <c r="W7350" s="111"/>
    </row>
    <row r="7351" spans="23:23" x14ac:dyDescent="0.25">
      <c r="W7351" s="111"/>
    </row>
    <row r="7352" spans="23:23" x14ac:dyDescent="0.25">
      <c r="W7352" s="111"/>
    </row>
    <row r="7353" spans="23:23" x14ac:dyDescent="0.25">
      <c r="W7353" s="111"/>
    </row>
    <row r="7354" spans="23:23" x14ac:dyDescent="0.25">
      <c r="W7354" s="111"/>
    </row>
    <row r="7355" spans="23:23" x14ac:dyDescent="0.25">
      <c r="W7355" s="111"/>
    </row>
    <row r="7356" spans="23:23" x14ac:dyDescent="0.25">
      <c r="W7356" s="111"/>
    </row>
    <row r="7357" spans="23:23" x14ac:dyDescent="0.25">
      <c r="W7357" s="111"/>
    </row>
    <row r="7358" spans="23:23" x14ac:dyDescent="0.25">
      <c r="W7358" s="111"/>
    </row>
    <row r="7359" spans="23:23" x14ac:dyDescent="0.25">
      <c r="W7359" s="111"/>
    </row>
    <row r="7360" spans="23:23" x14ac:dyDescent="0.25">
      <c r="W7360" s="111"/>
    </row>
    <row r="7361" spans="23:23" x14ac:dyDescent="0.25">
      <c r="W7361" s="111"/>
    </row>
    <row r="7362" spans="23:23" x14ac:dyDescent="0.25">
      <c r="W7362" s="111"/>
    </row>
    <row r="7363" spans="23:23" x14ac:dyDescent="0.25">
      <c r="W7363" s="111"/>
    </row>
    <row r="7364" spans="23:23" x14ac:dyDescent="0.25">
      <c r="W7364" s="111"/>
    </row>
    <row r="7365" spans="23:23" x14ac:dyDescent="0.25">
      <c r="W7365" s="111"/>
    </row>
    <row r="7366" spans="23:23" x14ac:dyDescent="0.25">
      <c r="W7366" s="111"/>
    </row>
    <row r="7367" spans="23:23" x14ac:dyDescent="0.25">
      <c r="W7367" s="111"/>
    </row>
    <row r="7368" spans="23:23" x14ac:dyDescent="0.25">
      <c r="W7368" s="111"/>
    </row>
    <row r="7369" spans="23:23" x14ac:dyDescent="0.25">
      <c r="W7369" s="111"/>
    </row>
    <row r="7370" spans="23:23" x14ac:dyDescent="0.25">
      <c r="W7370" s="111"/>
    </row>
    <row r="7371" spans="23:23" x14ac:dyDescent="0.25">
      <c r="W7371" s="111"/>
    </row>
    <row r="7372" spans="23:23" x14ac:dyDescent="0.25">
      <c r="W7372" s="111"/>
    </row>
    <row r="7373" spans="23:23" x14ac:dyDescent="0.25">
      <c r="W7373" s="111"/>
    </row>
    <row r="7374" spans="23:23" x14ac:dyDescent="0.25">
      <c r="W7374" s="111"/>
    </row>
    <row r="7375" spans="23:23" x14ac:dyDescent="0.25">
      <c r="W7375" s="111"/>
    </row>
    <row r="7376" spans="23:23" x14ac:dyDescent="0.25">
      <c r="W7376" s="111"/>
    </row>
    <row r="7377" spans="23:23" x14ac:dyDescent="0.25">
      <c r="W7377" s="111"/>
    </row>
    <row r="7378" spans="23:23" x14ac:dyDescent="0.25">
      <c r="W7378" s="111"/>
    </row>
    <row r="7379" spans="23:23" x14ac:dyDescent="0.25">
      <c r="W7379" s="111"/>
    </row>
    <row r="7380" spans="23:23" x14ac:dyDescent="0.25">
      <c r="W7380" s="111"/>
    </row>
    <row r="7381" spans="23:23" x14ac:dyDescent="0.25">
      <c r="W7381" s="111"/>
    </row>
    <row r="7382" spans="23:23" x14ac:dyDescent="0.25">
      <c r="W7382" s="111"/>
    </row>
    <row r="7383" spans="23:23" x14ac:dyDescent="0.25">
      <c r="W7383" s="111"/>
    </row>
    <row r="7384" spans="23:23" x14ac:dyDescent="0.25">
      <c r="W7384" s="111"/>
    </row>
    <row r="7385" spans="23:23" x14ac:dyDescent="0.25">
      <c r="W7385" s="111"/>
    </row>
    <row r="7386" spans="23:23" x14ac:dyDescent="0.25">
      <c r="W7386" s="111"/>
    </row>
    <row r="7387" spans="23:23" x14ac:dyDescent="0.25">
      <c r="W7387" s="111"/>
    </row>
    <row r="7388" spans="23:23" x14ac:dyDescent="0.25">
      <c r="W7388" s="111"/>
    </row>
    <row r="7389" spans="23:23" x14ac:dyDescent="0.25">
      <c r="W7389" s="111"/>
    </row>
    <row r="7390" spans="23:23" x14ac:dyDescent="0.25">
      <c r="W7390" s="111"/>
    </row>
    <row r="7391" spans="23:23" x14ac:dyDescent="0.25">
      <c r="W7391" s="111"/>
    </row>
    <row r="7392" spans="23:23" x14ac:dyDescent="0.25">
      <c r="W7392" s="111"/>
    </row>
    <row r="7393" spans="23:23" x14ac:dyDescent="0.25">
      <c r="W7393" s="111"/>
    </row>
    <row r="7394" spans="23:23" x14ac:dyDescent="0.25">
      <c r="W7394" s="111"/>
    </row>
    <row r="7395" spans="23:23" x14ac:dyDescent="0.25">
      <c r="W7395" s="111"/>
    </row>
    <row r="7396" spans="23:23" x14ac:dyDescent="0.25">
      <c r="W7396" s="111"/>
    </row>
    <row r="7397" spans="23:23" x14ac:dyDescent="0.25">
      <c r="W7397" s="111"/>
    </row>
    <row r="7398" spans="23:23" x14ac:dyDescent="0.25">
      <c r="W7398" s="111"/>
    </row>
    <row r="7399" spans="23:23" x14ac:dyDescent="0.25">
      <c r="W7399" s="111"/>
    </row>
    <row r="7400" spans="23:23" x14ac:dyDescent="0.25">
      <c r="W7400" s="111"/>
    </row>
    <row r="7401" spans="23:23" x14ac:dyDescent="0.25">
      <c r="W7401" s="111"/>
    </row>
    <row r="7402" spans="23:23" x14ac:dyDescent="0.25">
      <c r="W7402" s="111"/>
    </row>
    <row r="7403" spans="23:23" x14ac:dyDescent="0.25">
      <c r="W7403" s="111"/>
    </row>
    <row r="7404" spans="23:23" x14ac:dyDescent="0.25">
      <c r="W7404" s="111"/>
    </row>
    <row r="7405" spans="23:23" x14ac:dyDescent="0.25">
      <c r="W7405" s="111"/>
    </row>
    <row r="7406" spans="23:23" x14ac:dyDescent="0.25">
      <c r="W7406" s="111"/>
    </row>
    <row r="7407" spans="23:23" x14ac:dyDescent="0.25">
      <c r="W7407" s="111"/>
    </row>
    <row r="7408" spans="23:23" x14ac:dyDescent="0.25">
      <c r="W7408" s="111"/>
    </row>
    <row r="7409" spans="23:23" x14ac:dyDescent="0.25">
      <c r="W7409" s="111"/>
    </row>
    <row r="7410" spans="23:23" x14ac:dyDescent="0.25">
      <c r="W7410" s="111"/>
    </row>
    <row r="7411" spans="23:23" x14ac:dyDescent="0.25">
      <c r="W7411" s="111"/>
    </row>
    <row r="7412" spans="23:23" x14ac:dyDescent="0.25">
      <c r="W7412" s="111"/>
    </row>
    <row r="7413" spans="23:23" x14ac:dyDescent="0.25">
      <c r="W7413" s="111"/>
    </row>
    <row r="7414" spans="23:23" x14ac:dyDescent="0.25">
      <c r="W7414" s="111"/>
    </row>
    <row r="7415" spans="23:23" x14ac:dyDescent="0.25">
      <c r="W7415" s="111"/>
    </row>
    <row r="7416" spans="23:23" x14ac:dyDescent="0.25">
      <c r="W7416" s="111"/>
    </row>
    <row r="7417" spans="23:23" x14ac:dyDescent="0.25">
      <c r="W7417" s="111"/>
    </row>
    <row r="7418" spans="23:23" x14ac:dyDescent="0.25">
      <c r="W7418" s="111"/>
    </row>
    <row r="7419" spans="23:23" x14ac:dyDescent="0.25">
      <c r="W7419" s="111"/>
    </row>
    <row r="7420" spans="23:23" x14ac:dyDescent="0.25">
      <c r="W7420" s="111"/>
    </row>
    <row r="7421" spans="23:23" x14ac:dyDescent="0.25">
      <c r="W7421" s="111"/>
    </row>
    <row r="7422" spans="23:23" x14ac:dyDescent="0.25">
      <c r="W7422" s="111"/>
    </row>
    <row r="7423" spans="23:23" x14ac:dyDescent="0.25">
      <c r="W7423" s="111"/>
    </row>
    <row r="7424" spans="23:23" x14ac:dyDescent="0.25">
      <c r="W7424" s="111"/>
    </row>
    <row r="7425" spans="23:23" x14ac:dyDescent="0.25">
      <c r="W7425" s="111"/>
    </row>
    <row r="7426" spans="23:23" x14ac:dyDescent="0.25">
      <c r="W7426" s="111"/>
    </row>
    <row r="7427" spans="23:23" x14ac:dyDescent="0.25">
      <c r="W7427" s="111"/>
    </row>
    <row r="7428" spans="23:23" x14ac:dyDescent="0.25">
      <c r="W7428" s="111"/>
    </row>
    <row r="7429" spans="23:23" x14ac:dyDescent="0.25">
      <c r="W7429" s="111"/>
    </row>
    <row r="7430" spans="23:23" x14ac:dyDescent="0.25">
      <c r="W7430" s="111"/>
    </row>
    <row r="7431" spans="23:23" x14ac:dyDescent="0.25">
      <c r="W7431" s="111"/>
    </row>
    <row r="7432" spans="23:23" x14ac:dyDescent="0.25">
      <c r="W7432" s="111"/>
    </row>
    <row r="7433" spans="23:23" x14ac:dyDescent="0.25">
      <c r="W7433" s="111"/>
    </row>
    <row r="7434" spans="23:23" x14ac:dyDescent="0.25">
      <c r="W7434" s="111"/>
    </row>
    <row r="7435" spans="23:23" x14ac:dyDescent="0.25">
      <c r="W7435" s="111"/>
    </row>
    <row r="7436" spans="23:23" x14ac:dyDescent="0.25">
      <c r="W7436" s="111"/>
    </row>
    <row r="7437" spans="23:23" x14ac:dyDescent="0.25">
      <c r="W7437" s="111"/>
    </row>
    <row r="7438" spans="23:23" x14ac:dyDescent="0.25">
      <c r="W7438" s="111"/>
    </row>
    <row r="7439" spans="23:23" x14ac:dyDescent="0.25">
      <c r="W7439" s="111"/>
    </row>
    <row r="7440" spans="23:23" x14ac:dyDescent="0.25">
      <c r="W7440" s="111"/>
    </row>
    <row r="7441" spans="23:23" x14ac:dyDescent="0.25">
      <c r="W7441" s="111"/>
    </row>
    <row r="7442" spans="23:23" x14ac:dyDescent="0.25">
      <c r="W7442" s="111"/>
    </row>
    <row r="7443" spans="23:23" x14ac:dyDescent="0.25">
      <c r="W7443" s="111"/>
    </row>
    <row r="7444" spans="23:23" x14ac:dyDescent="0.25">
      <c r="W7444" s="111"/>
    </row>
    <row r="7445" spans="23:23" x14ac:dyDescent="0.25">
      <c r="W7445" s="111"/>
    </row>
    <row r="7446" spans="23:23" x14ac:dyDescent="0.25">
      <c r="W7446" s="111"/>
    </row>
    <row r="7447" spans="23:23" x14ac:dyDescent="0.25">
      <c r="W7447" s="111"/>
    </row>
    <row r="7448" spans="23:23" x14ac:dyDescent="0.25">
      <c r="W7448" s="111"/>
    </row>
    <row r="7449" spans="23:23" x14ac:dyDescent="0.25">
      <c r="W7449" s="111"/>
    </row>
    <row r="7450" spans="23:23" x14ac:dyDescent="0.25">
      <c r="W7450" s="111"/>
    </row>
    <row r="7451" spans="23:23" x14ac:dyDescent="0.25">
      <c r="W7451" s="111"/>
    </row>
    <row r="7452" spans="23:23" x14ac:dyDescent="0.25">
      <c r="W7452" s="111"/>
    </row>
    <row r="7453" spans="23:23" x14ac:dyDescent="0.25">
      <c r="W7453" s="111"/>
    </row>
    <row r="7454" spans="23:23" x14ac:dyDescent="0.25">
      <c r="W7454" s="111"/>
    </row>
    <row r="7455" spans="23:23" x14ac:dyDescent="0.25">
      <c r="W7455" s="111"/>
    </row>
    <row r="7456" spans="23:23" x14ac:dyDescent="0.25">
      <c r="W7456" s="111"/>
    </row>
    <row r="7457" spans="23:23" x14ac:dyDescent="0.25">
      <c r="W7457" s="111"/>
    </row>
    <row r="7458" spans="23:23" x14ac:dyDescent="0.25">
      <c r="W7458" s="111"/>
    </row>
    <row r="7459" spans="23:23" x14ac:dyDescent="0.25">
      <c r="W7459" s="111"/>
    </row>
    <row r="7460" spans="23:23" x14ac:dyDescent="0.25">
      <c r="W7460" s="111"/>
    </row>
    <row r="7461" spans="23:23" x14ac:dyDescent="0.25">
      <c r="W7461" s="111"/>
    </row>
    <row r="7462" spans="23:23" x14ac:dyDescent="0.25">
      <c r="W7462" s="111"/>
    </row>
    <row r="7463" spans="23:23" x14ac:dyDescent="0.25">
      <c r="W7463" s="111"/>
    </row>
    <row r="7464" spans="23:23" x14ac:dyDescent="0.25">
      <c r="W7464" s="111"/>
    </row>
    <row r="7465" spans="23:23" x14ac:dyDescent="0.25">
      <c r="W7465" s="111"/>
    </row>
    <row r="7466" spans="23:23" x14ac:dyDescent="0.25">
      <c r="W7466" s="111"/>
    </row>
    <row r="7467" spans="23:23" x14ac:dyDescent="0.25">
      <c r="W7467" s="111"/>
    </row>
    <row r="7468" spans="23:23" x14ac:dyDescent="0.25">
      <c r="W7468" s="111"/>
    </row>
    <row r="7469" spans="23:23" x14ac:dyDescent="0.25">
      <c r="W7469" s="111"/>
    </row>
    <row r="7470" spans="23:23" x14ac:dyDescent="0.25">
      <c r="W7470" s="111"/>
    </row>
    <row r="7471" spans="23:23" x14ac:dyDescent="0.25">
      <c r="W7471" s="111"/>
    </row>
    <row r="7472" spans="23:23" x14ac:dyDescent="0.25">
      <c r="W7472" s="111"/>
    </row>
    <row r="7473" spans="23:23" x14ac:dyDescent="0.25">
      <c r="W7473" s="111"/>
    </row>
    <row r="7474" spans="23:23" x14ac:dyDescent="0.25">
      <c r="W7474" s="111"/>
    </row>
    <row r="7475" spans="23:23" x14ac:dyDescent="0.25">
      <c r="W7475" s="111"/>
    </row>
    <row r="7476" spans="23:23" x14ac:dyDescent="0.25">
      <c r="W7476" s="111"/>
    </row>
    <row r="7477" spans="23:23" x14ac:dyDescent="0.25">
      <c r="W7477" s="111"/>
    </row>
    <row r="7478" spans="23:23" x14ac:dyDescent="0.25">
      <c r="W7478" s="111"/>
    </row>
    <row r="7479" spans="23:23" x14ac:dyDescent="0.25">
      <c r="W7479" s="111"/>
    </row>
    <row r="7480" spans="23:23" x14ac:dyDescent="0.25">
      <c r="W7480" s="111"/>
    </row>
    <row r="7481" spans="23:23" x14ac:dyDescent="0.25">
      <c r="W7481" s="111"/>
    </row>
    <row r="7482" spans="23:23" x14ac:dyDescent="0.25">
      <c r="W7482" s="111"/>
    </row>
    <row r="7483" spans="23:23" x14ac:dyDescent="0.25">
      <c r="W7483" s="111"/>
    </row>
    <row r="7484" spans="23:23" x14ac:dyDescent="0.25">
      <c r="W7484" s="111"/>
    </row>
    <row r="7485" spans="23:23" x14ac:dyDescent="0.25">
      <c r="W7485" s="111"/>
    </row>
    <row r="7486" spans="23:23" x14ac:dyDescent="0.25">
      <c r="W7486" s="111"/>
    </row>
    <row r="7487" spans="23:23" x14ac:dyDescent="0.25">
      <c r="W7487" s="111"/>
    </row>
    <row r="7488" spans="23:23" x14ac:dyDescent="0.25">
      <c r="W7488" s="111"/>
    </row>
    <row r="7489" spans="23:23" x14ac:dyDescent="0.25">
      <c r="W7489" s="111"/>
    </row>
    <row r="7490" spans="23:23" x14ac:dyDescent="0.25">
      <c r="W7490" s="111"/>
    </row>
    <row r="7491" spans="23:23" x14ac:dyDescent="0.25">
      <c r="W7491" s="111"/>
    </row>
    <row r="7492" spans="23:23" x14ac:dyDescent="0.25">
      <c r="W7492" s="111"/>
    </row>
    <row r="7493" spans="23:23" x14ac:dyDescent="0.25">
      <c r="W7493" s="111"/>
    </row>
    <row r="7494" spans="23:23" x14ac:dyDescent="0.25">
      <c r="W7494" s="111"/>
    </row>
    <row r="7495" spans="23:23" x14ac:dyDescent="0.25">
      <c r="W7495" s="111"/>
    </row>
    <row r="7496" spans="23:23" x14ac:dyDescent="0.25">
      <c r="W7496" s="111"/>
    </row>
    <row r="7497" spans="23:23" x14ac:dyDescent="0.25">
      <c r="W7497" s="111"/>
    </row>
    <row r="7498" spans="23:23" x14ac:dyDescent="0.25">
      <c r="W7498" s="111"/>
    </row>
    <row r="7499" spans="23:23" x14ac:dyDescent="0.25">
      <c r="W7499" s="111"/>
    </row>
    <row r="7500" spans="23:23" x14ac:dyDescent="0.25">
      <c r="W7500" s="111"/>
    </row>
    <row r="7501" spans="23:23" x14ac:dyDescent="0.25">
      <c r="W7501" s="111"/>
    </row>
    <row r="7502" spans="23:23" x14ac:dyDescent="0.25">
      <c r="W7502" s="111"/>
    </row>
    <row r="7503" spans="23:23" x14ac:dyDescent="0.25">
      <c r="W7503" s="111"/>
    </row>
    <row r="7504" spans="23:23" x14ac:dyDescent="0.25">
      <c r="W7504" s="111"/>
    </row>
    <row r="7505" spans="23:23" x14ac:dyDescent="0.25">
      <c r="W7505" s="111"/>
    </row>
    <row r="7506" spans="23:23" x14ac:dyDescent="0.25">
      <c r="W7506" s="111"/>
    </row>
    <row r="7507" spans="23:23" x14ac:dyDescent="0.25">
      <c r="W7507" s="111"/>
    </row>
    <row r="7508" spans="23:23" x14ac:dyDescent="0.25">
      <c r="W7508" s="111"/>
    </row>
    <row r="7509" spans="23:23" x14ac:dyDescent="0.25">
      <c r="W7509" s="111"/>
    </row>
    <row r="7510" spans="23:23" x14ac:dyDescent="0.25">
      <c r="W7510" s="111"/>
    </row>
    <row r="7511" spans="23:23" x14ac:dyDescent="0.25">
      <c r="W7511" s="111"/>
    </row>
    <row r="7512" spans="23:23" x14ac:dyDescent="0.25">
      <c r="W7512" s="111"/>
    </row>
    <row r="7513" spans="23:23" x14ac:dyDescent="0.25">
      <c r="W7513" s="111"/>
    </row>
    <row r="7514" spans="23:23" x14ac:dyDescent="0.25">
      <c r="W7514" s="111"/>
    </row>
    <row r="7515" spans="23:23" x14ac:dyDescent="0.25">
      <c r="W7515" s="111"/>
    </row>
    <row r="7516" spans="23:23" x14ac:dyDescent="0.25">
      <c r="W7516" s="111"/>
    </row>
    <row r="7517" spans="23:23" x14ac:dyDescent="0.25">
      <c r="W7517" s="111"/>
    </row>
    <row r="7518" spans="23:23" x14ac:dyDescent="0.25">
      <c r="W7518" s="111"/>
    </row>
    <row r="7519" spans="23:23" x14ac:dyDescent="0.25">
      <c r="W7519" s="111"/>
    </row>
    <row r="7520" spans="23:23" x14ac:dyDescent="0.25">
      <c r="W7520" s="111"/>
    </row>
    <row r="7521" spans="23:23" x14ac:dyDescent="0.25">
      <c r="W7521" s="111"/>
    </row>
    <row r="7522" spans="23:23" x14ac:dyDescent="0.25">
      <c r="W7522" s="111"/>
    </row>
    <row r="7523" spans="23:23" x14ac:dyDescent="0.25">
      <c r="W7523" s="111"/>
    </row>
    <row r="7524" spans="23:23" x14ac:dyDescent="0.25">
      <c r="W7524" s="111"/>
    </row>
    <row r="7525" spans="23:23" x14ac:dyDescent="0.25">
      <c r="W7525" s="111"/>
    </row>
    <row r="7526" spans="23:23" x14ac:dyDescent="0.25">
      <c r="W7526" s="111"/>
    </row>
    <row r="7527" spans="23:23" x14ac:dyDescent="0.25">
      <c r="W7527" s="111"/>
    </row>
    <row r="7528" spans="23:23" x14ac:dyDescent="0.25">
      <c r="W7528" s="111"/>
    </row>
    <row r="7529" spans="23:23" x14ac:dyDescent="0.25">
      <c r="W7529" s="111"/>
    </row>
    <row r="7530" spans="23:23" x14ac:dyDescent="0.25">
      <c r="W7530" s="111"/>
    </row>
    <row r="7531" spans="23:23" x14ac:dyDescent="0.25">
      <c r="W7531" s="111"/>
    </row>
    <row r="7532" spans="23:23" x14ac:dyDescent="0.25">
      <c r="W7532" s="111"/>
    </row>
    <row r="7533" spans="23:23" x14ac:dyDescent="0.25">
      <c r="W7533" s="111"/>
    </row>
    <row r="7534" spans="23:23" x14ac:dyDescent="0.25">
      <c r="W7534" s="111"/>
    </row>
    <row r="7535" spans="23:23" x14ac:dyDescent="0.25">
      <c r="W7535" s="111"/>
    </row>
    <row r="7536" spans="23:23" x14ac:dyDescent="0.25">
      <c r="W7536" s="111"/>
    </row>
    <row r="7537" spans="23:23" x14ac:dyDescent="0.25">
      <c r="W7537" s="111"/>
    </row>
    <row r="7538" spans="23:23" x14ac:dyDescent="0.25">
      <c r="W7538" s="111"/>
    </row>
    <row r="7539" spans="23:23" x14ac:dyDescent="0.25">
      <c r="W7539" s="111"/>
    </row>
    <row r="7540" spans="23:23" x14ac:dyDescent="0.25">
      <c r="W7540" s="111"/>
    </row>
    <row r="7541" spans="23:23" x14ac:dyDescent="0.25">
      <c r="W7541" s="111"/>
    </row>
    <row r="7542" spans="23:23" x14ac:dyDescent="0.25">
      <c r="W7542" s="111"/>
    </row>
    <row r="7543" spans="23:23" x14ac:dyDescent="0.25">
      <c r="W7543" s="111"/>
    </row>
    <row r="7544" spans="23:23" x14ac:dyDescent="0.25">
      <c r="W7544" s="111"/>
    </row>
    <row r="7545" spans="23:23" x14ac:dyDescent="0.25">
      <c r="W7545" s="111"/>
    </row>
    <row r="7546" spans="23:23" x14ac:dyDescent="0.25">
      <c r="W7546" s="111"/>
    </row>
    <row r="7547" spans="23:23" x14ac:dyDescent="0.25">
      <c r="W7547" s="111"/>
    </row>
    <row r="7548" spans="23:23" x14ac:dyDescent="0.25">
      <c r="W7548" s="111"/>
    </row>
    <row r="7549" spans="23:23" x14ac:dyDescent="0.25">
      <c r="W7549" s="111"/>
    </row>
    <row r="7550" spans="23:23" x14ac:dyDescent="0.25">
      <c r="W7550" s="111"/>
    </row>
    <row r="7551" spans="23:23" x14ac:dyDescent="0.25">
      <c r="W7551" s="111"/>
    </row>
    <row r="7552" spans="23:23" x14ac:dyDescent="0.25">
      <c r="W7552" s="111"/>
    </row>
    <row r="7553" spans="23:23" x14ac:dyDescent="0.25">
      <c r="W7553" s="111"/>
    </row>
    <row r="7554" spans="23:23" x14ac:dyDescent="0.25">
      <c r="W7554" s="111"/>
    </row>
    <row r="7555" spans="23:23" x14ac:dyDescent="0.25">
      <c r="W7555" s="111"/>
    </row>
    <row r="7556" spans="23:23" x14ac:dyDescent="0.25">
      <c r="W7556" s="111"/>
    </row>
    <row r="7557" spans="23:23" x14ac:dyDescent="0.25">
      <c r="W7557" s="111"/>
    </row>
    <row r="7558" spans="23:23" x14ac:dyDescent="0.25">
      <c r="W7558" s="111"/>
    </row>
    <row r="7559" spans="23:23" x14ac:dyDescent="0.25">
      <c r="W7559" s="111"/>
    </row>
    <row r="7560" spans="23:23" x14ac:dyDescent="0.25">
      <c r="W7560" s="111"/>
    </row>
    <row r="7561" spans="23:23" x14ac:dyDescent="0.25">
      <c r="W7561" s="111"/>
    </row>
    <row r="7562" spans="23:23" x14ac:dyDescent="0.25">
      <c r="W7562" s="111"/>
    </row>
    <row r="7563" spans="23:23" x14ac:dyDescent="0.25">
      <c r="W7563" s="111"/>
    </row>
    <row r="7564" spans="23:23" x14ac:dyDescent="0.25">
      <c r="W7564" s="111"/>
    </row>
    <row r="7565" spans="23:23" x14ac:dyDescent="0.25">
      <c r="W7565" s="111"/>
    </row>
    <row r="7566" spans="23:23" x14ac:dyDescent="0.25">
      <c r="W7566" s="111"/>
    </row>
    <row r="7567" spans="23:23" x14ac:dyDescent="0.25">
      <c r="W7567" s="111"/>
    </row>
    <row r="7568" spans="23:23" x14ac:dyDescent="0.25">
      <c r="W7568" s="111"/>
    </row>
    <row r="7569" spans="23:23" x14ac:dyDescent="0.25">
      <c r="W7569" s="111"/>
    </row>
    <row r="7570" spans="23:23" x14ac:dyDescent="0.25">
      <c r="W7570" s="111"/>
    </row>
    <row r="7571" spans="23:23" x14ac:dyDescent="0.25">
      <c r="W7571" s="111"/>
    </row>
    <row r="7572" spans="23:23" x14ac:dyDescent="0.25">
      <c r="W7572" s="111"/>
    </row>
    <row r="7573" spans="23:23" x14ac:dyDescent="0.25">
      <c r="W7573" s="111"/>
    </row>
    <row r="7574" spans="23:23" x14ac:dyDescent="0.25">
      <c r="W7574" s="111"/>
    </row>
    <row r="7575" spans="23:23" x14ac:dyDescent="0.25">
      <c r="W7575" s="111"/>
    </row>
    <row r="7576" spans="23:23" x14ac:dyDescent="0.25">
      <c r="W7576" s="111"/>
    </row>
    <row r="7577" spans="23:23" x14ac:dyDescent="0.25">
      <c r="W7577" s="111"/>
    </row>
    <row r="7578" spans="23:23" x14ac:dyDescent="0.25">
      <c r="W7578" s="111"/>
    </row>
    <row r="7579" spans="23:23" x14ac:dyDescent="0.25">
      <c r="W7579" s="111"/>
    </row>
    <row r="7580" spans="23:23" x14ac:dyDescent="0.25">
      <c r="W7580" s="111"/>
    </row>
    <row r="7581" spans="23:23" x14ac:dyDescent="0.25">
      <c r="W7581" s="111"/>
    </row>
    <row r="7582" spans="23:23" x14ac:dyDescent="0.25">
      <c r="W7582" s="111"/>
    </row>
    <row r="7583" spans="23:23" x14ac:dyDescent="0.25">
      <c r="W7583" s="111"/>
    </row>
    <row r="7584" spans="23:23" x14ac:dyDescent="0.25">
      <c r="W7584" s="111"/>
    </row>
    <row r="7585" spans="23:23" x14ac:dyDescent="0.25">
      <c r="W7585" s="111"/>
    </row>
    <row r="7586" spans="23:23" x14ac:dyDescent="0.25">
      <c r="W7586" s="111"/>
    </row>
    <row r="7587" spans="23:23" x14ac:dyDescent="0.25">
      <c r="W7587" s="111"/>
    </row>
    <row r="7588" spans="23:23" x14ac:dyDescent="0.25">
      <c r="W7588" s="111"/>
    </row>
    <row r="7589" spans="23:23" x14ac:dyDescent="0.25">
      <c r="W7589" s="111"/>
    </row>
    <row r="7590" spans="23:23" x14ac:dyDescent="0.25">
      <c r="W7590" s="111"/>
    </row>
    <row r="7591" spans="23:23" x14ac:dyDescent="0.25">
      <c r="W7591" s="111"/>
    </row>
    <row r="7592" spans="23:23" x14ac:dyDescent="0.25">
      <c r="W7592" s="111"/>
    </row>
    <row r="7593" spans="23:23" x14ac:dyDescent="0.25">
      <c r="W7593" s="111"/>
    </row>
    <row r="7594" spans="23:23" x14ac:dyDescent="0.25">
      <c r="W7594" s="111"/>
    </row>
    <row r="7595" spans="23:23" x14ac:dyDescent="0.25">
      <c r="W7595" s="111"/>
    </row>
    <row r="7596" spans="23:23" x14ac:dyDescent="0.25">
      <c r="W7596" s="111"/>
    </row>
    <row r="7597" spans="23:23" x14ac:dyDescent="0.25">
      <c r="W7597" s="111"/>
    </row>
    <row r="7598" spans="23:23" x14ac:dyDescent="0.25">
      <c r="W7598" s="111"/>
    </row>
    <row r="7599" spans="23:23" x14ac:dyDescent="0.25">
      <c r="W7599" s="111"/>
    </row>
    <row r="7600" spans="23:23" x14ac:dyDescent="0.25">
      <c r="W7600" s="111"/>
    </row>
    <row r="7601" spans="23:23" x14ac:dyDescent="0.25">
      <c r="W7601" s="111"/>
    </row>
    <row r="7602" spans="23:23" x14ac:dyDescent="0.25">
      <c r="W7602" s="111"/>
    </row>
    <row r="7603" spans="23:23" x14ac:dyDescent="0.25">
      <c r="W7603" s="111"/>
    </row>
    <row r="7604" spans="23:23" x14ac:dyDescent="0.25">
      <c r="W7604" s="111"/>
    </row>
    <row r="7605" spans="23:23" x14ac:dyDescent="0.25">
      <c r="W7605" s="111"/>
    </row>
    <row r="7606" spans="23:23" x14ac:dyDescent="0.25">
      <c r="W7606" s="111"/>
    </row>
    <row r="7607" spans="23:23" x14ac:dyDescent="0.25">
      <c r="W7607" s="111"/>
    </row>
    <row r="7608" spans="23:23" x14ac:dyDescent="0.25">
      <c r="W7608" s="111"/>
    </row>
    <row r="7609" spans="23:23" x14ac:dyDescent="0.25">
      <c r="W7609" s="111"/>
    </row>
    <row r="7610" spans="23:23" x14ac:dyDescent="0.25">
      <c r="W7610" s="111"/>
    </row>
    <row r="7611" spans="23:23" x14ac:dyDescent="0.25">
      <c r="W7611" s="111"/>
    </row>
    <row r="7612" spans="23:23" x14ac:dyDescent="0.25">
      <c r="W7612" s="111"/>
    </row>
    <row r="7613" spans="23:23" x14ac:dyDescent="0.25">
      <c r="W7613" s="111"/>
    </row>
    <row r="7614" spans="23:23" x14ac:dyDescent="0.25">
      <c r="W7614" s="111"/>
    </row>
    <row r="7615" spans="23:23" x14ac:dyDescent="0.25">
      <c r="W7615" s="111"/>
    </row>
    <row r="7616" spans="23:23" x14ac:dyDescent="0.25">
      <c r="W7616" s="111"/>
    </row>
    <row r="7617" spans="23:23" x14ac:dyDescent="0.25">
      <c r="W7617" s="111"/>
    </row>
    <row r="7618" spans="23:23" x14ac:dyDescent="0.25">
      <c r="W7618" s="111"/>
    </row>
    <row r="7619" spans="23:23" x14ac:dyDescent="0.25">
      <c r="W7619" s="111"/>
    </row>
    <row r="7620" spans="23:23" x14ac:dyDescent="0.25">
      <c r="W7620" s="111"/>
    </row>
    <row r="7621" spans="23:23" x14ac:dyDescent="0.25">
      <c r="W7621" s="111"/>
    </row>
    <row r="7622" spans="23:23" x14ac:dyDescent="0.25">
      <c r="W7622" s="111"/>
    </row>
    <row r="7623" spans="23:23" x14ac:dyDescent="0.25">
      <c r="W7623" s="111"/>
    </row>
    <row r="7624" spans="23:23" x14ac:dyDescent="0.25">
      <c r="W7624" s="111"/>
    </row>
    <row r="7625" spans="23:23" x14ac:dyDescent="0.25">
      <c r="W7625" s="111"/>
    </row>
    <row r="7626" spans="23:23" x14ac:dyDescent="0.25">
      <c r="W7626" s="111"/>
    </row>
    <row r="7627" spans="23:23" x14ac:dyDescent="0.25">
      <c r="W7627" s="111"/>
    </row>
    <row r="7628" spans="23:23" x14ac:dyDescent="0.25">
      <c r="W7628" s="111"/>
    </row>
    <row r="7629" spans="23:23" x14ac:dyDescent="0.25">
      <c r="W7629" s="111"/>
    </row>
    <row r="7630" spans="23:23" x14ac:dyDescent="0.25">
      <c r="W7630" s="111"/>
    </row>
    <row r="7631" spans="23:23" x14ac:dyDescent="0.25">
      <c r="W7631" s="111"/>
    </row>
    <row r="7632" spans="23:23" x14ac:dyDescent="0.25">
      <c r="W7632" s="111"/>
    </row>
    <row r="7633" spans="23:23" x14ac:dyDescent="0.25">
      <c r="W7633" s="111"/>
    </row>
    <row r="7634" spans="23:23" x14ac:dyDescent="0.25">
      <c r="W7634" s="111"/>
    </row>
    <row r="7635" spans="23:23" x14ac:dyDescent="0.25">
      <c r="W7635" s="111"/>
    </row>
    <row r="7636" spans="23:23" x14ac:dyDescent="0.25">
      <c r="W7636" s="111"/>
    </row>
    <row r="7637" spans="23:23" x14ac:dyDescent="0.25">
      <c r="W7637" s="111"/>
    </row>
    <row r="7638" spans="23:23" x14ac:dyDescent="0.25">
      <c r="W7638" s="111"/>
    </row>
    <row r="7639" spans="23:23" x14ac:dyDescent="0.25">
      <c r="W7639" s="111"/>
    </row>
    <row r="7640" spans="23:23" x14ac:dyDescent="0.25">
      <c r="W7640" s="111"/>
    </row>
    <row r="7641" spans="23:23" x14ac:dyDescent="0.25">
      <c r="W7641" s="111"/>
    </row>
    <row r="7642" spans="23:23" x14ac:dyDescent="0.25">
      <c r="W7642" s="111"/>
    </row>
    <row r="7643" spans="23:23" x14ac:dyDescent="0.25">
      <c r="W7643" s="111"/>
    </row>
    <row r="7644" spans="23:23" x14ac:dyDescent="0.25">
      <c r="W7644" s="111"/>
    </row>
    <row r="7645" spans="23:23" x14ac:dyDescent="0.25">
      <c r="W7645" s="111"/>
    </row>
    <row r="7646" spans="23:23" x14ac:dyDescent="0.25">
      <c r="W7646" s="111"/>
    </row>
    <row r="7647" spans="23:23" x14ac:dyDescent="0.25">
      <c r="W7647" s="111"/>
    </row>
    <row r="7648" spans="23:23" x14ac:dyDescent="0.25">
      <c r="W7648" s="111"/>
    </row>
    <row r="7649" spans="23:23" x14ac:dyDescent="0.25">
      <c r="W7649" s="111"/>
    </row>
    <row r="7650" spans="23:23" x14ac:dyDescent="0.25">
      <c r="W7650" s="111"/>
    </row>
    <row r="7651" spans="23:23" x14ac:dyDescent="0.25">
      <c r="W7651" s="111"/>
    </row>
    <row r="7652" spans="23:23" x14ac:dyDescent="0.25">
      <c r="W7652" s="111"/>
    </row>
    <row r="7653" spans="23:23" x14ac:dyDescent="0.25">
      <c r="W7653" s="111"/>
    </row>
    <row r="7654" spans="23:23" x14ac:dyDescent="0.25">
      <c r="W7654" s="111"/>
    </row>
    <row r="7655" spans="23:23" x14ac:dyDescent="0.25">
      <c r="W7655" s="111"/>
    </row>
    <row r="7656" spans="23:23" x14ac:dyDescent="0.25">
      <c r="W7656" s="111"/>
    </row>
    <row r="7657" spans="23:23" x14ac:dyDescent="0.25">
      <c r="W7657" s="111"/>
    </row>
    <row r="7658" spans="23:23" x14ac:dyDescent="0.25">
      <c r="W7658" s="111"/>
    </row>
    <row r="7659" spans="23:23" x14ac:dyDescent="0.25">
      <c r="W7659" s="111"/>
    </row>
    <row r="7660" spans="23:23" x14ac:dyDescent="0.25">
      <c r="W7660" s="111"/>
    </row>
    <row r="7661" spans="23:23" x14ac:dyDescent="0.25">
      <c r="W7661" s="111"/>
    </row>
    <row r="7662" spans="23:23" x14ac:dyDescent="0.25">
      <c r="W7662" s="111"/>
    </row>
    <row r="7663" spans="23:23" x14ac:dyDescent="0.25">
      <c r="W7663" s="111"/>
    </row>
    <row r="7664" spans="23:23" x14ac:dyDescent="0.25">
      <c r="W7664" s="111"/>
    </row>
    <row r="7665" spans="23:23" x14ac:dyDescent="0.25">
      <c r="W7665" s="111"/>
    </row>
    <row r="7666" spans="23:23" x14ac:dyDescent="0.25">
      <c r="W7666" s="111"/>
    </row>
    <row r="7667" spans="23:23" x14ac:dyDescent="0.25">
      <c r="W7667" s="111"/>
    </row>
    <row r="7668" spans="23:23" x14ac:dyDescent="0.25">
      <c r="W7668" s="111"/>
    </row>
    <row r="7669" spans="23:23" x14ac:dyDescent="0.25">
      <c r="W7669" s="111"/>
    </row>
    <row r="7670" spans="23:23" x14ac:dyDescent="0.25">
      <c r="W7670" s="111"/>
    </row>
    <row r="7671" spans="23:23" x14ac:dyDescent="0.25">
      <c r="W7671" s="111"/>
    </row>
    <row r="7672" spans="23:23" x14ac:dyDescent="0.25">
      <c r="W7672" s="111"/>
    </row>
    <row r="7673" spans="23:23" x14ac:dyDescent="0.25">
      <c r="W7673" s="111"/>
    </row>
    <row r="7674" spans="23:23" x14ac:dyDescent="0.25">
      <c r="W7674" s="111"/>
    </row>
    <row r="7675" spans="23:23" x14ac:dyDescent="0.25">
      <c r="W7675" s="111"/>
    </row>
    <row r="7676" spans="23:23" x14ac:dyDescent="0.25">
      <c r="W7676" s="111"/>
    </row>
    <row r="7677" spans="23:23" x14ac:dyDescent="0.25">
      <c r="W7677" s="111"/>
    </row>
    <row r="7678" spans="23:23" x14ac:dyDescent="0.25">
      <c r="W7678" s="111"/>
    </row>
    <row r="7679" spans="23:23" x14ac:dyDescent="0.25">
      <c r="W7679" s="111"/>
    </row>
    <row r="7680" spans="23:23" x14ac:dyDescent="0.25">
      <c r="W7680" s="111"/>
    </row>
    <row r="7681" spans="23:23" x14ac:dyDescent="0.25">
      <c r="W7681" s="111"/>
    </row>
    <row r="7682" spans="23:23" x14ac:dyDescent="0.25">
      <c r="W7682" s="111"/>
    </row>
    <row r="7683" spans="23:23" x14ac:dyDescent="0.25">
      <c r="W7683" s="111"/>
    </row>
    <row r="7684" spans="23:23" x14ac:dyDescent="0.25">
      <c r="W7684" s="111"/>
    </row>
    <row r="7685" spans="23:23" x14ac:dyDescent="0.25">
      <c r="W7685" s="111"/>
    </row>
    <row r="7686" spans="23:23" x14ac:dyDescent="0.25">
      <c r="W7686" s="111"/>
    </row>
    <row r="7687" spans="23:23" x14ac:dyDescent="0.25">
      <c r="W7687" s="111"/>
    </row>
    <row r="7688" spans="23:23" x14ac:dyDescent="0.25">
      <c r="W7688" s="111"/>
    </row>
    <row r="7689" spans="23:23" x14ac:dyDescent="0.25">
      <c r="W7689" s="111"/>
    </row>
    <row r="7690" spans="23:23" x14ac:dyDescent="0.25">
      <c r="W7690" s="111"/>
    </row>
    <row r="7691" spans="23:23" x14ac:dyDescent="0.25">
      <c r="W7691" s="111"/>
    </row>
    <row r="7692" spans="23:23" x14ac:dyDescent="0.25">
      <c r="W7692" s="111"/>
    </row>
    <row r="7693" spans="23:23" x14ac:dyDescent="0.25">
      <c r="W7693" s="111"/>
    </row>
    <row r="7694" spans="23:23" x14ac:dyDescent="0.25">
      <c r="W7694" s="111"/>
    </row>
    <row r="7695" spans="23:23" x14ac:dyDescent="0.25">
      <c r="W7695" s="111"/>
    </row>
    <row r="7696" spans="23:23" x14ac:dyDescent="0.25">
      <c r="W7696" s="111"/>
    </row>
    <row r="7697" spans="23:23" x14ac:dyDescent="0.25">
      <c r="W7697" s="111"/>
    </row>
    <row r="7698" spans="23:23" x14ac:dyDescent="0.25">
      <c r="W7698" s="111"/>
    </row>
    <row r="7699" spans="23:23" x14ac:dyDescent="0.25">
      <c r="W7699" s="111"/>
    </row>
    <row r="7700" spans="23:23" x14ac:dyDescent="0.25">
      <c r="W7700" s="111"/>
    </row>
    <row r="7701" spans="23:23" x14ac:dyDescent="0.25">
      <c r="W7701" s="111"/>
    </row>
    <row r="7702" spans="23:23" x14ac:dyDescent="0.25">
      <c r="W7702" s="111"/>
    </row>
    <row r="7703" spans="23:23" x14ac:dyDescent="0.25">
      <c r="W7703" s="111"/>
    </row>
    <row r="7704" spans="23:23" x14ac:dyDescent="0.25">
      <c r="W7704" s="111"/>
    </row>
    <row r="7705" spans="23:23" x14ac:dyDescent="0.25">
      <c r="W7705" s="111"/>
    </row>
    <row r="7706" spans="23:23" x14ac:dyDescent="0.25">
      <c r="W7706" s="111"/>
    </row>
    <row r="7707" spans="23:23" x14ac:dyDescent="0.25">
      <c r="W7707" s="111"/>
    </row>
    <row r="7708" spans="23:23" x14ac:dyDescent="0.25">
      <c r="W7708" s="111"/>
    </row>
    <row r="7709" spans="23:23" x14ac:dyDescent="0.25">
      <c r="W7709" s="111"/>
    </row>
    <row r="7710" spans="23:23" x14ac:dyDescent="0.25">
      <c r="W7710" s="111"/>
    </row>
    <row r="7711" spans="23:23" x14ac:dyDescent="0.25">
      <c r="W7711" s="111"/>
    </row>
    <row r="7712" spans="23:23" x14ac:dyDescent="0.25">
      <c r="W7712" s="111"/>
    </row>
    <row r="7713" spans="23:23" x14ac:dyDescent="0.25">
      <c r="W7713" s="111"/>
    </row>
    <row r="7714" spans="23:23" x14ac:dyDescent="0.25">
      <c r="W7714" s="111"/>
    </row>
    <row r="7715" spans="23:23" x14ac:dyDescent="0.25">
      <c r="W7715" s="111"/>
    </row>
    <row r="7716" spans="23:23" x14ac:dyDescent="0.25">
      <c r="W7716" s="111"/>
    </row>
    <row r="7717" spans="23:23" x14ac:dyDescent="0.25">
      <c r="W7717" s="111"/>
    </row>
    <row r="7718" spans="23:23" x14ac:dyDescent="0.25">
      <c r="W7718" s="111"/>
    </row>
    <row r="7719" spans="23:23" x14ac:dyDescent="0.25">
      <c r="W7719" s="111"/>
    </row>
    <row r="7720" spans="23:23" x14ac:dyDescent="0.25">
      <c r="W7720" s="111"/>
    </row>
    <row r="7721" spans="23:23" x14ac:dyDescent="0.25">
      <c r="W7721" s="111"/>
    </row>
    <row r="7722" spans="23:23" x14ac:dyDescent="0.25">
      <c r="W7722" s="111"/>
    </row>
    <row r="7723" spans="23:23" x14ac:dyDescent="0.25">
      <c r="W7723" s="111"/>
    </row>
    <row r="7724" spans="23:23" x14ac:dyDescent="0.25">
      <c r="W7724" s="111"/>
    </row>
    <row r="7725" spans="23:23" x14ac:dyDescent="0.25">
      <c r="W7725" s="111"/>
    </row>
    <row r="7726" spans="23:23" x14ac:dyDescent="0.25">
      <c r="W7726" s="111"/>
    </row>
    <row r="7727" spans="23:23" x14ac:dyDescent="0.25">
      <c r="W7727" s="111"/>
    </row>
    <row r="7728" spans="23:23" x14ac:dyDescent="0.25">
      <c r="W7728" s="111"/>
    </row>
    <row r="7729" spans="23:23" x14ac:dyDescent="0.25">
      <c r="W7729" s="111"/>
    </row>
    <row r="7730" spans="23:23" x14ac:dyDescent="0.25">
      <c r="W7730" s="111"/>
    </row>
    <row r="7731" spans="23:23" x14ac:dyDescent="0.25">
      <c r="W7731" s="111"/>
    </row>
    <row r="7732" spans="23:23" x14ac:dyDescent="0.25">
      <c r="W7732" s="111"/>
    </row>
    <row r="7733" spans="23:23" x14ac:dyDescent="0.25">
      <c r="W7733" s="111"/>
    </row>
    <row r="7734" spans="23:23" x14ac:dyDescent="0.25">
      <c r="W7734" s="111"/>
    </row>
    <row r="7735" spans="23:23" x14ac:dyDescent="0.25">
      <c r="W7735" s="111"/>
    </row>
    <row r="7736" spans="23:23" x14ac:dyDescent="0.25">
      <c r="W7736" s="111"/>
    </row>
    <row r="7737" spans="23:23" x14ac:dyDescent="0.25">
      <c r="W7737" s="111"/>
    </row>
    <row r="7738" spans="23:23" x14ac:dyDescent="0.25">
      <c r="W7738" s="111"/>
    </row>
    <row r="7739" spans="23:23" x14ac:dyDescent="0.25">
      <c r="W7739" s="111"/>
    </row>
    <row r="7740" spans="23:23" x14ac:dyDescent="0.25">
      <c r="W7740" s="111"/>
    </row>
    <row r="7741" spans="23:23" x14ac:dyDescent="0.25">
      <c r="W7741" s="111"/>
    </row>
    <row r="7742" spans="23:23" x14ac:dyDescent="0.25">
      <c r="W7742" s="111"/>
    </row>
    <row r="7743" spans="23:23" x14ac:dyDescent="0.25">
      <c r="W7743" s="111"/>
    </row>
    <row r="7744" spans="23:23" x14ac:dyDescent="0.25">
      <c r="W7744" s="111"/>
    </row>
    <row r="7745" spans="23:23" x14ac:dyDescent="0.25">
      <c r="W7745" s="111"/>
    </row>
    <row r="7746" spans="23:23" x14ac:dyDescent="0.25">
      <c r="W7746" s="111"/>
    </row>
    <row r="7747" spans="23:23" x14ac:dyDescent="0.25">
      <c r="W7747" s="111"/>
    </row>
    <row r="7748" spans="23:23" x14ac:dyDescent="0.25">
      <c r="W7748" s="111"/>
    </row>
    <row r="7749" spans="23:23" x14ac:dyDescent="0.25">
      <c r="W7749" s="111"/>
    </row>
    <row r="7750" spans="23:23" x14ac:dyDescent="0.25">
      <c r="W7750" s="111"/>
    </row>
    <row r="7751" spans="23:23" x14ac:dyDescent="0.25">
      <c r="W7751" s="111"/>
    </row>
    <row r="7752" spans="23:23" x14ac:dyDescent="0.25">
      <c r="W7752" s="111"/>
    </row>
    <row r="7753" spans="23:23" x14ac:dyDescent="0.25">
      <c r="W7753" s="111"/>
    </row>
    <row r="7754" spans="23:23" x14ac:dyDescent="0.25">
      <c r="W7754" s="111"/>
    </row>
    <row r="7755" spans="23:23" x14ac:dyDescent="0.25">
      <c r="W7755" s="111"/>
    </row>
    <row r="7756" spans="23:23" x14ac:dyDescent="0.25">
      <c r="W7756" s="111"/>
    </row>
    <row r="7757" spans="23:23" x14ac:dyDescent="0.25">
      <c r="W7757" s="111"/>
    </row>
    <row r="7758" spans="23:23" x14ac:dyDescent="0.25">
      <c r="W7758" s="111"/>
    </row>
    <row r="7759" spans="23:23" x14ac:dyDescent="0.25">
      <c r="W7759" s="111"/>
    </row>
    <row r="7760" spans="23:23" x14ac:dyDescent="0.25">
      <c r="W7760" s="111"/>
    </row>
    <row r="7761" spans="23:23" x14ac:dyDescent="0.25">
      <c r="W7761" s="111"/>
    </row>
    <row r="7762" spans="23:23" x14ac:dyDescent="0.25">
      <c r="W7762" s="111"/>
    </row>
    <row r="7763" spans="23:23" x14ac:dyDescent="0.25">
      <c r="W7763" s="111"/>
    </row>
    <row r="7764" spans="23:23" x14ac:dyDescent="0.25">
      <c r="W7764" s="111"/>
    </row>
    <row r="7765" spans="23:23" x14ac:dyDescent="0.25">
      <c r="W7765" s="111"/>
    </row>
    <row r="7766" spans="23:23" x14ac:dyDescent="0.25">
      <c r="W7766" s="111"/>
    </row>
    <row r="7767" spans="23:23" x14ac:dyDescent="0.25">
      <c r="W7767" s="111"/>
    </row>
    <row r="7768" spans="23:23" x14ac:dyDescent="0.25">
      <c r="W7768" s="111"/>
    </row>
    <row r="7769" spans="23:23" x14ac:dyDescent="0.25">
      <c r="W7769" s="111"/>
    </row>
    <row r="7770" spans="23:23" x14ac:dyDescent="0.25">
      <c r="W7770" s="111"/>
    </row>
    <row r="7771" spans="23:23" x14ac:dyDescent="0.25">
      <c r="W7771" s="111"/>
    </row>
    <row r="7772" spans="23:23" x14ac:dyDescent="0.25">
      <c r="W7772" s="111"/>
    </row>
    <row r="7773" spans="23:23" x14ac:dyDescent="0.25">
      <c r="W7773" s="111"/>
    </row>
    <row r="7774" spans="23:23" x14ac:dyDescent="0.25">
      <c r="W7774" s="111"/>
    </row>
    <row r="7775" spans="23:23" x14ac:dyDescent="0.25">
      <c r="W7775" s="111"/>
    </row>
    <row r="7776" spans="23:23" x14ac:dyDescent="0.25">
      <c r="W7776" s="111"/>
    </row>
    <row r="7777" spans="23:23" x14ac:dyDescent="0.25">
      <c r="W7777" s="111"/>
    </row>
    <row r="7778" spans="23:23" x14ac:dyDescent="0.25">
      <c r="W7778" s="111"/>
    </row>
    <row r="7779" spans="23:23" x14ac:dyDescent="0.25">
      <c r="W7779" s="111"/>
    </row>
    <row r="7780" spans="23:23" x14ac:dyDescent="0.25">
      <c r="W7780" s="111"/>
    </row>
    <row r="7781" spans="23:23" x14ac:dyDescent="0.25">
      <c r="W7781" s="111"/>
    </row>
    <row r="7782" spans="23:23" x14ac:dyDescent="0.25">
      <c r="W7782" s="111"/>
    </row>
    <row r="7783" spans="23:23" x14ac:dyDescent="0.25">
      <c r="W7783" s="111"/>
    </row>
    <row r="7784" spans="23:23" x14ac:dyDescent="0.25">
      <c r="W7784" s="111"/>
    </row>
    <row r="7785" spans="23:23" x14ac:dyDescent="0.25">
      <c r="W7785" s="111"/>
    </row>
    <row r="7786" spans="23:23" x14ac:dyDescent="0.25">
      <c r="W7786" s="111"/>
    </row>
    <row r="7787" spans="23:23" x14ac:dyDescent="0.25">
      <c r="W7787" s="111"/>
    </row>
    <row r="7788" spans="23:23" x14ac:dyDescent="0.25">
      <c r="W7788" s="111"/>
    </row>
    <row r="7789" spans="23:23" x14ac:dyDescent="0.25">
      <c r="W7789" s="111"/>
    </row>
    <row r="7790" spans="23:23" x14ac:dyDescent="0.25">
      <c r="W7790" s="111"/>
    </row>
    <row r="7791" spans="23:23" x14ac:dyDescent="0.25">
      <c r="W7791" s="111"/>
    </row>
    <row r="7792" spans="23:23" x14ac:dyDescent="0.25">
      <c r="W7792" s="111"/>
    </row>
    <row r="7793" spans="23:23" x14ac:dyDescent="0.25">
      <c r="W7793" s="111"/>
    </row>
    <row r="7794" spans="23:23" x14ac:dyDescent="0.25">
      <c r="W7794" s="111"/>
    </row>
    <row r="7795" spans="23:23" x14ac:dyDescent="0.25">
      <c r="W7795" s="111"/>
    </row>
    <row r="7796" spans="23:23" x14ac:dyDescent="0.25">
      <c r="W7796" s="111"/>
    </row>
    <row r="7797" spans="23:23" x14ac:dyDescent="0.25">
      <c r="W7797" s="111"/>
    </row>
    <row r="7798" spans="23:23" x14ac:dyDescent="0.25">
      <c r="W7798" s="111"/>
    </row>
    <row r="7799" spans="23:23" x14ac:dyDescent="0.25">
      <c r="W7799" s="111"/>
    </row>
    <row r="7800" spans="23:23" x14ac:dyDescent="0.25">
      <c r="W7800" s="111"/>
    </row>
    <row r="7801" spans="23:23" x14ac:dyDescent="0.25">
      <c r="W7801" s="111"/>
    </row>
    <row r="7802" spans="23:23" x14ac:dyDescent="0.25">
      <c r="W7802" s="111"/>
    </row>
    <row r="7803" spans="23:23" x14ac:dyDescent="0.25">
      <c r="W7803" s="111"/>
    </row>
    <row r="7804" spans="23:23" x14ac:dyDescent="0.25">
      <c r="W7804" s="111"/>
    </row>
    <row r="7805" spans="23:23" x14ac:dyDescent="0.25">
      <c r="W7805" s="111"/>
    </row>
    <row r="7806" spans="23:23" x14ac:dyDescent="0.25">
      <c r="W7806" s="111"/>
    </row>
    <row r="7807" spans="23:23" x14ac:dyDescent="0.25">
      <c r="W7807" s="111"/>
    </row>
    <row r="7808" spans="23:23" x14ac:dyDescent="0.25">
      <c r="W7808" s="111"/>
    </row>
    <row r="7809" spans="23:23" x14ac:dyDescent="0.25">
      <c r="W7809" s="111"/>
    </row>
    <row r="7810" spans="23:23" x14ac:dyDescent="0.25">
      <c r="W7810" s="111"/>
    </row>
    <row r="7811" spans="23:23" x14ac:dyDescent="0.25">
      <c r="W7811" s="111"/>
    </row>
    <row r="7812" spans="23:23" x14ac:dyDescent="0.25">
      <c r="W7812" s="111"/>
    </row>
    <row r="7813" spans="23:23" x14ac:dyDescent="0.25">
      <c r="W7813" s="111"/>
    </row>
    <row r="7814" spans="23:23" x14ac:dyDescent="0.25">
      <c r="W7814" s="111"/>
    </row>
    <row r="7815" spans="23:23" x14ac:dyDescent="0.25">
      <c r="W7815" s="111"/>
    </row>
    <row r="7816" spans="23:23" x14ac:dyDescent="0.25">
      <c r="W7816" s="111"/>
    </row>
    <row r="7817" spans="23:23" x14ac:dyDescent="0.25">
      <c r="W7817" s="111"/>
    </row>
    <row r="7818" spans="23:23" x14ac:dyDescent="0.25">
      <c r="W7818" s="111"/>
    </row>
    <row r="7819" spans="23:23" x14ac:dyDescent="0.25">
      <c r="W7819" s="111"/>
    </row>
    <row r="7820" spans="23:23" x14ac:dyDescent="0.25">
      <c r="W7820" s="111"/>
    </row>
    <row r="7821" spans="23:23" x14ac:dyDescent="0.25">
      <c r="W7821" s="111"/>
    </row>
    <row r="7822" spans="23:23" x14ac:dyDescent="0.25">
      <c r="W7822" s="111"/>
    </row>
    <row r="7823" spans="23:23" x14ac:dyDescent="0.25">
      <c r="W7823" s="111"/>
    </row>
    <row r="7824" spans="23:23" x14ac:dyDescent="0.25">
      <c r="W7824" s="111"/>
    </row>
    <row r="7825" spans="23:23" x14ac:dyDescent="0.25">
      <c r="W7825" s="111"/>
    </row>
    <row r="7826" spans="23:23" x14ac:dyDescent="0.25">
      <c r="W7826" s="111"/>
    </row>
    <row r="7827" spans="23:23" x14ac:dyDescent="0.25">
      <c r="W7827" s="111"/>
    </row>
    <row r="7828" spans="23:23" x14ac:dyDescent="0.25">
      <c r="W7828" s="111"/>
    </row>
    <row r="7829" spans="23:23" x14ac:dyDescent="0.25">
      <c r="W7829" s="111"/>
    </row>
    <row r="7830" spans="23:23" x14ac:dyDescent="0.25">
      <c r="W7830" s="111"/>
    </row>
    <row r="7831" spans="23:23" x14ac:dyDescent="0.25">
      <c r="W7831" s="111"/>
    </row>
    <row r="7832" spans="23:23" x14ac:dyDescent="0.25">
      <c r="W7832" s="111"/>
    </row>
    <row r="7833" spans="23:23" x14ac:dyDescent="0.25">
      <c r="W7833" s="111"/>
    </row>
    <row r="7834" spans="23:23" x14ac:dyDescent="0.25">
      <c r="W7834" s="111"/>
    </row>
    <row r="7835" spans="23:23" x14ac:dyDescent="0.25">
      <c r="W7835" s="111"/>
    </row>
    <row r="7836" spans="23:23" x14ac:dyDescent="0.25">
      <c r="W7836" s="111"/>
    </row>
    <row r="7837" spans="23:23" x14ac:dyDescent="0.25">
      <c r="W7837" s="111"/>
    </row>
    <row r="7838" spans="23:23" x14ac:dyDescent="0.25">
      <c r="W7838" s="111"/>
    </row>
    <row r="7839" spans="23:23" x14ac:dyDescent="0.25">
      <c r="W7839" s="111"/>
    </row>
    <row r="7840" spans="23:23" x14ac:dyDescent="0.25">
      <c r="W7840" s="111"/>
    </row>
    <row r="7841" spans="23:23" x14ac:dyDescent="0.25">
      <c r="W7841" s="111"/>
    </row>
    <row r="7842" spans="23:23" x14ac:dyDescent="0.25">
      <c r="W7842" s="111"/>
    </row>
    <row r="7843" spans="23:23" x14ac:dyDescent="0.25">
      <c r="W7843" s="111"/>
    </row>
    <row r="7844" spans="23:23" x14ac:dyDescent="0.25">
      <c r="W7844" s="111"/>
    </row>
    <row r="7845" spans="23:23" x14ac:dyDescent="0.25">
      <c r="W7845" s="111"/>
    </row>
    <row r="7846" spans="23:23" x14ac:dyDescent="0.25">
      <c r="W7846" s="111"/>
    </row>
    <row r="7847" spans="23:23" x14ac:dyDescent="0.25">
      <c r="W7847" s="111"/>
    </row>
    <row r="7848" spans="23:23" x14ac:dyDescent="0.25">
      <c r="W7848" s="111"/>
    </row>
    <row r="7849" spans="23:23" x14ac:dyDescent="0.25">
      <c r="W7849" s="111"/>
    </row>
    <row r="7850" spans="23:23" x14ac:dyDescent="0.25">
      <c r="W7850" s="111"/>
    </row>
    <row r="7851" spans="23:23" x14ac:dyDescent="0.25">
      <c r="W7851" s="111"/>
    </row>
    <row r="7852" spans="23:23" x14ac:dyDescent="0.25">
      <c r="W7852" s="111"/>
    </row>
    <row r="7853" spans="23:23" x14ac:dyDescent="0.25">
      <c r="W7853" s="111"/>
    </row>
    <row r="7854" spans="23:23" x14ac:dyDescent="0.25">
      <c r="W7854" s="111"/>
    </row>
    <row r="7855" spans="23:23" x14ac:dyDescent="0.25">
      <c r="W7855" s="111"/>
    </row>
    <row r="7856" spans="23:23" x14ac:dyDescent="0.25">
      <c r="W7856" s="111"/>
    </row>
    <row r="7857" spans="23:23" x14ac:dyDescent="0.25">
      <c r="W7857" s="111"/>
    </row>
    <row r="7858" spans="23:23" x14ac:dyDescent="0.25">
      <c r="W7858" s="111"/>
    </row>
    <row r="7859" spans="23:23" x14ac:dyDescent="0.25">
      <c r="W7859" s="111"/>
    </row>
    <row r="7860" spans="23:23" x14ac:dyDescent="0.25">
      <c r="W7860" s="111"/>
    </row>
    <row r="7861" spans="23:23" x14ac:dyDescent="0.25">
      <c r="W7861" s="111"/>
    </row>
    <row r="7862" spans="23:23" x14ac:dyDescent="0.25">
      <c r="W7862" s="111"/>
    </row>
    <row r="7863" spans="23:23" x14ac:dyDescent="0.25">
      <c r="W7863" s="111"/>
    </row>
    <row r="7864" spans="23:23" x14ac:dyDescent="0.25">
      <c r="W7864" s="111"/>
    </row>
    <row r="7865" spans="23:23" x14ac:dyDescent="0.25">
      <c r="W7865" s="111"/>
    </row>
    <row r="7866" spans="23:23" x14ac:dyDescent="0.25">
      <c r="W7866" s="111"/>
    </row>
    <row r="7867" spans="23:23" x14ac:dyDescent="0.25">
      <c r="W7867" s="111"/>
    </row>
    <row r="7868" spans="23:23" x14ac:dyDescent="0.25">
      <c r="W7868" s="111"/>
    </row>
    <row r="7869" spans="23:23" x14ac:dyDescent="0.25">
      <c r="W7869" s="111"/>
    </row>
    <row r="7870" spans="23:23" x14ac:dyDescent="0.25">
      <c r="W7870" s="111"/>
    </row>
    <row r="7871" spans="23:23" x14ac:dyDescent="0.25">
      <c r="W7871" s="111"/>
    </row>
    <row r="7872" spans="23:23" x14ac:dyDescent="0.25">
      <c r="W7872" s="111"/>
    </row>
    <row r="7873" spans="23:23" x14ac:dyDescent="0.25">
      <c r="W7873" s="111"/>
    </row>
    <row r="7874" spans="23:23" x14ac:dyDescent="0.25">
      <c r="W7874" s="111"/>
    </row>
    <row r="7875" spans="23:23" x14ac:dyDescent="0.25">
      <c r="W7875" s="111"/>
    </row>
    <row r="7876" spans="23:23" x14ac:dyDescent="0.25">
      <c r="W7876" s="111"/>
    </row>
    <row r="7877" spans="23:23" x14ac:dyDescent="0.25">
      <c r="W7877" s="111"/>
    </row>
    <row r="7878" spans="23:23" x14ac:dyDescent="0.25">
      <c r="W7878" s="111"/>
    </row>
    <row r="7879" spans="23:23" x14ac:dyDescent="0.25">
      <c r="W7879" s="111"/>
    </row>
    <row r="7880" spans="23:23" x14ac:dyDescent="0.25">
      <c r="W7880" s="111"/>
    </row>
    <row r="7881" spans="23:23" x14ac:dyDescent="0.25">
      <c r="W7881" s="111"/>
    </row>
    <row r="7882" spans="23:23" x14ac:dyDescent="0.25">
      <c r="W7882" s="111"/>
    </row>
    <row r="7883" spans="23:23" x14ac:dyDescent="0.25">
      <c r="W7883" s="111"/>
    </row>
    <row r="7884" spans="23:23" x14ac:dyDescent="0.25">
      <c r="W7884" s="111"/>
    </row>
    <row r="7885" spans="23:23" x14ac:dyDescent="0.25">
      <c r="W7885" s="111"/>
    </row>
    <row r="7886" spans="23:23" x14ac:dyDescent="0.25">
      <c r="W7886" s="111"/>
    </row>
    <row r="7887" spans="23:23" x14ac:dyDescent="0.25">
      <c r="W7887" s="111"/>
    </row>
    <row r="7888" spans="23:23" x14ac:dyDescent="0.25">
      <c r="W7888" s="111"/>
    </row>
    <row r="7889" spans="23:23" x14ac:dyDescent="0.25">
      <c r="W7889" s="111"/>
    </row>
    <row r="7890" spans="23:23" x14ac:dyDescent="0.25">
      <c r="W7890" s="111"/>
    </row>
    <row r="7891" spans="23:23" x14ac:dyDescent="0.25">
      <c r="W7891" s="111"/>
    </row>
    <row r="7892" spans="23:23" x14ac:dyDescent="0.25">
      <c r="W7892" s="111"/>
    </row>
    <row r="7893" spans="23:23" x14ac:dyDescent="0.25">
      <c r="W7893" s="111"/>
    </row>
    <row r="7894" spans="23:23" x14ac:dyDescent="0.25">
      <c r="W7894" s="111"/>
    </row>
    <row r="7895" spans="23:23" x14ac:dyDescent="0.25">
      <c r="W7895" s="111"/>
    </row>
    <row r="7896" spans="23:23" x14ac:dyDescent="0.25">
      <c r="W7896" s="111"/>
    </row>
    <row r="7897" spans="23:23" x14ac:dyDescent="0.25">
      <c r="W7897" s="111"/>
    </row>
    <row r="7898" spans="23:23" x14ac:dyDescent="0.25">
      <c r="W7898" s="111"/>
    </row>
    <row r="7899" spans="23:23" x14ac:dyDescent="0.25">
      <c r="W7899" s="111"/>
    </row>
    <row r="7900" spans="23:23" x14ac:dyDescent="0.25">
      <c r="W7900" s="111"/>
    </row>
    <row r="7901" spans="23:23" x14ac:dyDescent="0.25">
      <c r="W7901" s="111"/>
    </row>
    <row r="7902" spans="23:23" x14ac:dyDescent="0.25">
      <c r="W7902" s="111"/>
    </row>
    <row r="7903" spans="23:23" x14ac:dyDescent="0.25">
      <c r="W7903" s="111"/>
    </row>
    <row r="7904" spans="23:23" x14ac:dyDescent="0.25">
      <c r="W7904" s="111"/>
    </row>
    <row r="7905" spans="23:23" x14ac:dyDescent="0.25">
      <c r="W7905" s="111"/>
    </row>
    <row r="7906" spans="23:23" x14ac:dyDescent="0.25">
      <c r="W7906" s="111"/>
    </row>
    <row r="7907" spans="23:23" x14ac:dyDescent="0.25">
      <c r="W7907" s="111"/>
    </row>
    <row r="7908" spans="23:23" x14ac:dyDescent="0.25">
      <c r="W7908" s="111"/>
    </row>
    <row r="7909" spans="23:23" x14ac:dyDescent="0.25">
      <c r="W7909" s="111"/>
    </row>
    <row r="7910" spans="23:23" x14ac:dyDescent="0.25">
      <c r="W7910" s="111"/>
    </row>
    <row r="7911" spans="23:23" x14ac:dyDescent="0.25">
      <c r="W7911" s="111"/>
    </row>
    <row r="7912" spans="23:23" x14ac:dyDescent="0.25">
      <c r="W7912" s="111"/>
    </row>
    <row r="7913" spans="23:23" x14ac:dyDescent="0.25">
      <c r="W7913" s="111"/>
    </row>
    <row r="7914" spans="23:23" x14ac:dyDescent="0.25">
      <c r="W7914" s="111"/>
    </row>
    <row r="7915" spans="23:23" x14ac:dyDescent="0.25">
      <c r="W7915" s="111"/>
    </row>
    <row r="7916" spans="23:23" x14ac:dyDescent="0.25">
      <c r="W7916" s="111"/>
    </row>
    <row r="7917" spans="23:23" x14ac:dyDescent="0.25">
      <c r="W7917" s="111"/>
    </row>
    <row r="7918" spans="23:23" x14ac:dyDescent="0.25">
      <c r="W7918" s="111"/>
    </row>
    <row r="7919" spans="23:23" x14ac:dyDescent="0.25">
      <c r="W7919" s="111"/>
    </row>
    <row r="7920" spans="23:23" x14ac:dyDescent="0.25">
      <c r="W7920" s="111"/>
    </row>
    <row r="7921" spans="23:23" x14ac:dyDescent="0.25">
      <c r="W7921" s="111"/>
    </row>
    <row r="7922" spans="23:23" x14ac:dyDescent="0.25">
      <c r="W7922" s="111"/>
    </row>
    <row r="7923" spans="23:23" x14ac:dyDescent="0.25">
      <c r="W7923" s="111"/>
    </row>
    <row r="7924" spans="23:23" x14ac:dyDescent="0.25">
      <c r="W7924" s="111"/>
    </row>
    <row r="7925" spans="23:23" x14ac:dyDescent="0.25">
      <c r="W7925" s="111"/>
    </row>
    <row r="7926" spans="23:23" x14ac:dyDescent="0.25">
      <c r="W7926" s="111"/>
    </row>
    <row r="7927" spans="23:23" x14ac:dyDescent="0.25">
      <c r="W7927" s="111"/>
    </row>
    <row r="7928" spans="23:23" x14ac:dyDescent="0.25">
      <c r="W7928" s="111"/>
    </row>
    <row r="7929" spans="23:23" x14ac:dyDescent="0.25">
      <c r="W7929" s="111"/>
    </row>
    <row r="7930" spans="23:23" x14ac:dyDescent="0.25">
      <c r="W7930" s="111"/>
    </row>
    <row r="7931" spans="23:23" x14ac:dyDescent="0.25">
      <c r="W7931" s="111"/>
    </row>
    <row r="7932" spans="23:23" x14ac:dyDescent="0.25">
      <c r="W7932" s="111"/>
    </row>
    <row r="7933" spans="23:23" x14ac:dyDescent="0.25">
      <c r="W7933" s="111"/>
    </row>
    <row r="7934" spans="23:23" x14ac:dyDescent="0.25">
      <c r="W7934" s="111"/>
    </row>
    <row r="7935" spans="23:23" x14ac:dyDescent="0.25">
      <c r="W7935" s="111"/>
    </row>
    <row r="7936" spans="23:23" x14ac:dyDescent="0.25">
      <c r="W7936" s="111"/>
    </row>
    <row r="7937" spans="23:23" x14ac:dyDescent="0.25">
      <c r="W7937" s="111"/>
    </row>
    <row r="7938" spans="23:23" x14ac:dyDescent="0.25">
      <c r="W7938" s="111"/>
    </row>
    <row r="7939" spans="23:23" x14ac:dyDescent="0.25">
      <c r="W7939" s="111"/>
    </row>
    <row r="7940" spans="23:23" x14ac:dyDescent="0.25">
      <c r="W7940" s="111"/>
    </row>
    <row r="7941" spans="23:23" x14ac:dyDescent="0.25">
      <c r="W7941" s="111"/>
    </row>
    <row r="7942" spans="23:23" x14ac:dyDescent="0.25">
      <c r="W7942" s="111"/>
    </row>
    <row r="7943" spans="23:23" x14ac:dyDescent="0.25">
      <c r="W7943" s="111"/>
    </row>
    <row r="7944" spans="23:23" x14ac:dyDescent="0.25">
      <c r="W7944" s="111"/>
    </row>
    <row r="7945" spans="23:23" x14ac:dyDescent="0.25">
      <c r="W7945" s="111"/>
    </row>
    <row r="7946" spans="23:23" x14ac:dyDescent="0.25">
      <c r="W7946" s="111"/>
    </row>
    <row r="7947" spans="23:23" x14ac:dyDescent="0.25">
      <c r="W7947" s="111"/>
    </row>
    <row r="7948" spans="23:23" x14ac:dyDescent="0.25">
      <c r="W7948" s="111"/>
    </row>
    <row r="7949" spans="23:23" x14ac:dyDescent="0.25">
      <c r="W7949" s="111"/>
    </row>
    <row r="7950" spans="23:23" x14ac:dyDescent="0.25">
      <c r="W7950" s="111"/>
    </row>
    <row r="7951" spans="23:23" x14ac:dyDescent="0.25">
      <c r="W7951" s="111"/>
    </row>
    <row r="7952" spans="23:23" x14ac:dyDescent="0.25">
      <c r="W7952" s="111"/>
    </row>
    <row r="7953" spans="23:23" x14ac:dyDescent="0.25">
      <c r="W7953" s="111"/>
    </row>
    <row r="7954" spans="23:23" x14ac:dyDescent="0.25">
      <c r="W7954" s="111"/>
    </row>
    <row r="7955" spans="23:23" x14ac:dyDescent="0.25">
      <c r="W7955" s="111"/>
    </row>
    <row r="7956" spans="23:23" x14ac:dyDescent="0.25">
      <c r="W7956" s="111"/>
    </row>
    <row r="7957" spans="23:23" x14ac:dyDescent="0.25">
      <c r="W7957" s="111"/>
    </row>
    <row r="7958" spans="23:23" x14ac:dyDescent="0.25">
      <c r="W7958" s="111"/>
    </row>
    <row r="7959" spans="23:23" x14ac:dyDescent="0.25">
      <c r="W7959" s="111"/>
    </row>
    <row r="7960" spans="23:23" x14ac:dyDescent="0.25">
      <c r="W7960" s="111"/>
    </row>
    <row r="7961" spans="23:23" x14ac:dyDescent="0.25">
      <c r="W7961" s="111"/>
    </row>
    <row r="7962" spans="23:23" x14ac:dyDescent="0.25">
      <c r="W7962" s="111"/>
    </row>
    <row r="7963" spans="23:23" x14ac:dyDescent="0.25">
      <c r="W7963" s="111"/>
    </row>
    <row r="7964" spans="23:23" x14ac:dyDescent="0.25">
      <c r="W7964" s="111"/>
    </row>
    <row r="7965" spans="23:23" x14ac:dyDescent="0.25">
      <c r="W7965" s="111"/>
    </row>
    <row r="7966" spans="23:23" x14ac:dyDescent="0.25">
      <c r="W7966" s="111"/>
    </row>
    <row r="7967" spans="23:23" x14ac:dyDescent="0.25">
      <c r="W7967" s="111"/>
    </row>
    <row r="7968" spans="23:23" x14ac:dyDescent="0.25">
      <c r="W7968" s="111"/>
    </row>
    <row r="7969" spans="23:23" x14ac:dyDescent="0.25">
      <c r="W7969" s="111"/>
    </row>
    <row r="7970" spans="23:23" x14ac:dyDescent="0.25">
      <c r="W7970" s="111"/>
    </row>
    <row r="7971" spans="23:23" x14ac:dyDescent="0.25">
      <c r="W7971" s="111"/>
    </row>
    <row r="7972" spans="23:23" x14ac:dyDescent="0.25">
      <c r="W7972" s="111"/>
    </row>
    <row r="7973" spans="23:23" x14ac:dyDescent="0.25">
      <c r="W7973" s="111"/>
    </row>
    <row r="7974" spans="23:23" x14ac:dyDescent="0.25">
      <c r="W7974" s="111"/>
    </row>
    <row r="7975" spans="23:23" x14ac:dyDescent="0.25">
      <c r="W7975" s="111"/>
    </row>
    <row r="7976" spans="23:23" x14ac:dyDescent="0.25">
      <c r="W7976" s="111"/>
    </row>
    <row r="7977" spans="23:23" x14ac:dyDescent="0.25">
      <c r="W7977" s="111"/>
    </row>
    <row r="7978" spans="23:23" x14ac:dyDescent="0.25">
      <c r="W7978" s="111"/>
    </row>
    <row r="7979" spans="23:23" x14ac:dyDescent="0.25">
      <c r="W7979" s="111"/>
    </row>
    <row r="7980" spans="23:23" x14ac:dyDescent="0.25">
      <c r="W7980" s="111"/>
    </row>
    <row r="7981" spans="23:23" x14ac:dyDescent="0.25">
      <c r="W7981" s="111"/>
    </row>
    <row r="7982" spans="23:23" x14ac:dyDescent="0.25">
      <c r="W7982" s="111"/>
    </row>
    <row r="7983" spans="23:23" x14ac:dyDescent="0.25">
      <c r="W7983" s="111"/>
    </row>
    <row r="7984" spans="23:23" x14ac:dyDescent="0.25">
      <c r="W7984" s="111"/>
    </row>
    <row r="7985" spans="23:23" x14ac:dyDescent="0.25">
      <c r="W7985" s="111"/>
    </row>
    <row r="7986" spans="23:23" x14ac:dyDescent="0.25">
      <c r="W7986" s="111"/>
    </row>
    <row r="7987" spans="23:23" x14ac:dyDescent="0.25">
      <c r="W7987" s="111"/>
    </row>
    <row r="7988" spans="23:23" x14ac:dyDescent="0.25">
      <c r="W7988" s="111"/>
    </row>
    <row r="7989" spans="23:23" x14ac:dyDescent="0.25">
      <c r="W7989" s="111"/>
    </row>
    <row r="7990" spans="23:23" x14ac:dyDescent="0.25">
      <c r="W7990" s="111"/>
    </row>
    <row r="7991" spans="23:23" x14ac:dyDescent="0.25">
      <c r="W7991" s="111"/>
    </row>
    <row r="7992" spans="23:23" x14ac:dyDescent="0.25">
      <c r="W7992" s="111"/>
    </row>
    <row r="7993" spans="23:23" x14ac:dyDescent="0.25">
      <c r="W7993" s="111"/>
    </row>
    <row r="7994" spans="23:23" x14ac:dyDescent="0.25">
      <c r="W7994" s="111"/>
    </row>
    <row r="7995" spans="23:23" x14ac:dyDescent="0.25">
      <c r="W7995" s="111"/>
    </row>
    <row r="7996" spans="23:23" x14ac:dyDescent="0.25">
      <c r="W7996" s="111"/>
    </row>
    <row r="7997" spans="23:23" x14ac:dyDescent="0.25">
      <c r="W7997" s="111"/>
    </row>
    <row r="7998" spans="23:23" x14ac:dyDescent="0.25">
      <c r="W7998" s="111"/>
    </row>
    <row r="7999" spans="23:23" x14ac:dyDescent="0.25">
      <c r="W7999" s="111"/>
    </row>
    <row r="8000" spans="23:23" x14ac:dyDescent="0.25">
      <c r="W8000" s="111"/>
    </row>
    <row r="8001" spans="23:23" x14ac:dyDescent="0.25">
      <c r="W8001" s="111"/>
    </row>
    <row r="8002" spans="23:23" x14ac:dyDescent="0.25">
      <c r="W8002" s="111"/>
    </row>
    <row r="8003" spans="23:23" x14ac:dyDescent="0.25">
      <c r="W8003" s="111"/>
    </row>
    <row r="8004" spans="23:23" x14ac:dyDescent="0.25">
      <c r="W8004" s="111"/>
    </row>
    <row r="8005" spans="23:23" x14ac:dyDescent="0.25">
      <c r="W8005" s="111"/>
    </row>
    <row r="8006" spans="23:23" x14ac:dyDescent="0.25">
      <c r="W8006" s="111"/>
    </row>
    <row r="8007" spans="23:23" x14ac:dyDescent="0.25">
      <c r="W8007" s="111"/>
    </row>
    <row r="8008" spans="23:23" x14ac:dyDescent="0.25">
      <c r="W8008" s="111"/>
    </row>
    <row r="8009" spans="23:23" x14ac:dyDescent="0.25">
      <c r="W8009" s="111"/>
    </row>
    <row r="8010" spans="23:23" x14ac:dyDescent="0.25">
      <c r="W8010" s="111"/>
    </row>
    <row r="8011" spans="23:23" x14ac:dyDescent="0.25">
      <c r="W8011" s="111"/>
    </row>
    <row r="8012" spans="23:23" x14ac:dyDescent="0.25">
      <c r="W8012" s="111"/>
    </row>
    <row r="8013" spans="23:23" x14ac:dyDescent="0.25">
      <c r="W8013" s="111"/>
    </row>
    <row r="8014" spans="23:23" x14ac:dyDescent="0.25">
      <c r="W8014" s="111"/>
    </row>
    <row r="8015" spans="23:23" x14ac:dyDescent="0.25">
      <c r="W8015" s="111"/>
    </row>
    <row r="8016" spans="23:23" x14ac:dyDescent="0.25">
      <c r="W8016" s="111"/>
    </row>
    <row r="8017" spans="23:23" x14ac:dyDescent="0.25">
      <c r="W8017" s="111"/>
    </row>
    <row r="8018" spans="23:23" x14ac:dyDescent="0.25">
      <c r="W8018" s="111"/>
    </row>
    <row r="8019" spans="23:23" x14ac:dyDescent="0.25">
      <c r="W8019" s="111"/>
    </row>
    <row r="8020" spans="23:23" x14ac:dyDescent="0.25">
      <c r="W8020" s="111"/>
    </row>
    <row r="8021" spans="23:23" x14ac:dyDescent="0.25">
      <c r="W8021" s="111"/>
    </row>
    <row r="8022" spans="23:23" x14ac:dyDescent="0.25">
      <c r="W8022" s="111"/>
    </row>
    <row r="8023" spans="23:23" x14ac:dyDescent="0.25">
      <c r="W8023" s="111"/>
    </row>
    <row r="8024" spans="23:23" x14ac:dyDescent="0.25">
      <c r="W8024" s="111"/>
    </row>
    <row r="8025" spans="23:23" x14ac:dyDescent="0.25">
      <c r="W8025" s="111"/>
    </row>
    <row r="8026" spans="23:23" x14ac:dyDescent="0.25">
      <c r="W8026" s="111"/>
    </row>
    <row r="8027" spans="23:23" x14ac:dyDescent="0.25">
      <c r="W8027" s="111"/>
    </row>
    <row r="8028" spans="23:23" x14ac:dyDescent="0.25">
      <c r="W8028" s="111"/>
    </row>
    <row r="8029" spans="23:23" x14ac:dyDescent="0.25">
      <c r="W8029" s="111"/>
    </row>
    <row r="8030" spans="23:23" x14ac:dyDescent="0.25">
      <c r="W8030" s="111"/>
    </row>
    <row r="8031" spans="23:23" x14ac:dyDescent="0.25">
      <c r="W8031" s="111"/>
    </row>
    <row r="8032" spans="23:23" x14ac:dyDescent="0.25">
      <c r="W8032" s="111"/>
    </row>
    <row r="8033" spans="23:23" x14ac:dyDescent="0.25">
      <c r="W8033" s="111"/>
    </row>
    <row r="8034" spans="23:23" x14ac:dyDescent="0.25">
      <c r="W8034" s="111"/>
    </row>
    <row r="8035" spans="23:23" x14ac:dyDescent="0.25">
      <c r="W8035" s="111"/>
    </row>
    <row r="8036" spans="23:23" x14ac:dyDescent="0.25">
      <c r="W8036" s="111"/>
    </row>
    <row r="8037" spans="23:23" x14ac:dyDescent="0.25">
      <c r="W8037" s="111"/>
    </row>
    <row r="8038" spans="23:23" x14ac:dyDescent="0.25">
      <c r="W8038" s="111"/>
    </row>
    <row r="8039" spans="23:23" x14ac:dyDescent="0.25">
      <c r="W8039" s="111"/>
    </row>
    <row r="8040" spans="23:23" x14ac:dyDescent="0.25">
      <c r="W8040" s="111"/>
    </row>
    <row r="8041" spans="23:23" x14ac:dyDescent="0.25">
      <c r="W8041" s="111"/>
    </row>
    <row r="8042" spans="23:23" x14ac:dyDescent="0.25">
      <c r="W8042" s="111"/>
    </row>
    <row r="8043" spans="23:23" x14ac:dyDescent="0.25">
      <c r="W8043" s="111"/>
    </row>
    <row r="8044" spans="23:23" x14ac:dyDescent="0.25">
      <c r="W8044" s="111"/>
    </row>
    <row r="8045" spans="23:23" x14ac:dyDescent="0.25">
      <c r="W8045" s="111"/>
    </row>
    <row r="8046" spans="23:23" x14ac:dyDescent="0.25">
      <c r="W8046" s="111"/>
    </row>
    <row r="8047" spans="23:23" x14ac:dyDescent="0.25">
      <c r="W8047" s="111"/>
    </row>
    <row r="8048" spans="23:23" x14ac:dyDescent="0.25">
      <c r="W8048" s="111"/>
    </row>
    <row r="8049" spans="23:23" x14ac:dyDescent="0.25">
      <c r="W8049" s="111"/>
    </row>
    <row r="8050" spans="23:23" x14ac:dyDescent="0.25">
      <c r="W8050" s="111"/>
    </row>
    <row r="8051" spans="23:23" x14ac:dyDescent="0.25">
      <c r="W8051" s="111"/>
    </row>
    <row r="8052" spans="23:23" x14ac:dyDescent="0.25">
      <c r="W8052" s="111"/>
    </row>
    <row r="8053" spans="23:23" x14ac:dyDescent="0.25">
      <c r="W8053" s="111"/>
    </row>
    <row r="8054" spans="23:23" x14ac:dyDescent="0.25">
      <c r="W8054" s="111"/>
    </row>
    <row r="8055" spans="23:23" x14ac:dyDescent="0.25">
      <c r="W8055" s="111"/>
    </row>
    <row r="8056" spans="23:23" x14ac:dyDescent="0.25">
      <c r="W8056" s="111"/>
    </row>
    <row r="8057" spans="23:23" x14ac:dyDescent="0.25">
      <c r="W8057" s="111"/>
    </row>
    <row r="8058" spans="23:23" x14ac:dyDescent="0.25">
      <c r="W8058" s="111"/>
    </row>
    <row r="8059" spans="23:23" x14ac:dyDescent="0.25">
      <c r="W8059" s="111"/>
    </row>
    <row r="8060" spans="23:23" x14ac:dyDescent="0.25">
      <c r="W8060" s="111"/>
    </row>
    <row r="8061" spans="23:23" x14ac:dyDescent="0.25">
      <c r="W8061" s="111"/>
    </row>
    <row r="8062" spans="23:23" x14ac:dyDescent="0.25">
      <c r="W8062" s="111"/>
    </row>
    <row r="8063" spans="23:23" x14ac:dyDescent="0.25">
      <c r="W8063" s="111"/>
    </row>
    <row r="8064" spans="23:23" x14ac:dyDescent="0.25">
      <c r="W8064" s="111"/>
    </row>
    <row r="8065" spans="23:23" x14ac:dyDescent="0.25">
      <c r="W8065" s="111"/>
    </row>
    <row r="8066" spans="23:23" x14ac:dyDescent="0.25">
      <c r="W8066" s="111"/>
    </row>
    <row r="8067" spans="23:23" x14ac:dyDescent="0.25">
      <c r="W8067" s="111"/>
    </row>
    <row r="8068" spans="23:23" x14ac:dyDescent="0.25">
      <c r="W8068" s="111"/>
    </row>
    <row r="8069" spans="23:23" x14ac:dyDescent="0.25">
      <c r="W8069" s="111"/>
    </row>
    <row r="8070" spans="23:23" x14ac:dyDescent="0.25">
      <c r="W8070" s="111"/>
    </row>
    <row r="8071" spans="23:23" x14ac:dyDescent="0.25">
      <c r="W8071" s="111"/>
    </row>
    <row r="8072" spans="23:23" x14ac:dyDescent="0.25">
      <c r="W8072" s="111"/>
    </row>
    <row r="8073" spans="23:23" x14ac:dyDescent="0.25">
      <c r="W8073" s="111"/>
    </row>
    <row r="8074" spans="23:23" x14ac:dyDescent="0.25">
      <c r="W8074" s="111"/>
    </row>
    <row r="8075" spans="23:23" x14ac:dyDescent="0.25">
      <c r="W8075" s="111"/>
    </row>
    <row r="8076" spans="23:23" x14ac:dyDescent="0.25">
      <c r="W8076" s="111"/>
    </row>
    <row r="8077" spans="23:23" x14ac:dyDescent="0.25">
      <c r="W8077" s="111"/>
    </row>
    <row r="8078" spans="23:23" x14ac:dyDescent="0.25">
      <c r="W8078" s="111"/>
    </row>
    <row r="8079" spans="23:23" x14ac:dyDescent="0.25">
      <c r="W8079" s="111"/>
    </row>
    <row r="8080" spans="23:23" x14ac:dyDescent="0.25">
      <c r="W8080" s="111"/>
    </row>
    <row r="8081" spans="23:23" x14ac:dyDescent="0.25">
      <c r="W8081" s="111"/>
    </row>
    <row r="8082" spans="23:23" x14ac:dyDescent="0.25">
      <c r="W8082" s="111"/>
    </row>
    <row r="8083" spans="23:23" x14ac:dyDescent="0.25">
      <c r="W8083" s="111"/>
    </row>
    <row r="8084" spans="23:23" x14ac:dyDescent="0.25">
      <c r="W8084" s="111"/>
    </row>
    <row r="8085" spans="23:23" x14ac:dyDescent="0.25">
      <c r="W8085" s="111"/>
    </row>
    <row r="8086" spans="23:23" x14ac:dyDescent="0.25">
      <c r="W8086" s="111"/>
    </row>
    <row r="8087" spans="23:23" x14ac:dyDescent="0.25">
      <c r="W8087" s="111"/>
    </row>
    <row r="8088" spans="23:23" x14ac:dyDescent="0.25">
      <c r="W8088" s="111"/>
    </row>
    <row r="8089" spans="23:23" x14ac:dyDescent="0.25">
      <c r="W8089" s="111"/>
    </row>
    <row r="8090" spans="23:23" x14ac:dyDescent="0.25">
      <c r="W8090" s="111"/>
    </row>
    <row r="8091" spans="23:23" x14ac:dyDescent="0.25">
      <c r="W8091" s="111"/>
    </row>
    <row r="8092" spans="23:23" x14ac:dyDescent="0.25">
      <c r="W8092" s="111"/>
    </row>
    <row r="8093" spans="23:23" x14ac:dyDescent="0.25">
      <c r="W8093" s="111"/>
    </row>
    <row r="8094" spans="23:23" x14ac:dyDescent="0.25">
      <c r="W8094" s="111"/>
    </row>
    <row r="8095" spans="23:23" x14ac:dyDescent="0.25">
      <c r="W8095" s="111"/>
    </row>
    <row r="8096" spans="23:23" x14ac:dyDescent="0.25">
      <c r="W8096" s="111"/>
    </row>
    <row r="8097" spans="23:23" x14ac:dyDescent="0.25">
      <c r="W8097" s="111"/>
    </row>
    <row r="8098" spans="23:23" x14ac:dyDescent="0.25">
      <c r="W8098" s="111"/>
    </row>
    <row r="8099" spans="23:23" x14ac:dyDescent="0.25">
      <c r="W8099" s="111"/>
    </row>
    <row r="8100" spans="23:23" x14ac:dyDescent="0.25">
      <c r="W8100" s="111"/>
    </row>
    <row r="8101" spans="23:23" x14ac:dyDescent="0.25">
      <c r="W8101" s="111"/>
    </row>
    <row r="8102" spans="23:23" x14ac:dyDescent="0.25">
      <c r="W8102" s="111"/>
    </row>
    <row r="8103" spans="23:23" x14ac:dyDescent="0.25">
      <c r="W8103" s="111"/>
    </row>
    <row r="8104" spans="23:23" x14ac:dyDescent="0.25">
      <c r="W8104" s="111"/>
    </row>
    <row r="8105" spans="23:23" x14ac:dyDescent="0.25">
      <c r="W8105" s="111"/>
    </row>
    <row r="8106" spans="23:23" x14ac:dyDescent="0.25">
      <c r="W8106" s="111"/>
    </row>
    <row r="8107" spans="23:23" x14ac:dyDescent="0.25">
      <c r="W8107" s="111"/>
    </row>
    <row r="8108" spans="23:23" x14ac:dyDescent="0.25">
      <c r="W8108" s="111"/>
    </row>
    <row r="8109" spans="23:23" x14ac:dyDescent="0.25">
      <c r="W8109" s="111"/>
    </row>
    <row r="8110" spans="23:23" x14ac:dyDescent="0.25">
      <c r="W8110" s="111"/>
    </row>
    <row r="8111" spans="23:23" x14ac:dyDescent="0.25">
      <c r="W8111" s="111"/>
    </row>
    <row r="8112" spans="23:23" x14ac:dyDescent="0.25">
      <c r="W8112" s="111"/>
    </row>
    <row r="8113" spans="23:23" x14ac:dyDescent="0.25">
      <c r="W8113" s="111"/>
    </row>
    <row r="8114" spans="23:23" x14ac:dyDescent="0.25">
      <c r="W8114" s="111"/>
    </row>
    <row r="8115" spans="23:23" x14ac:dyDescent="0.25">
      <c r="W8115" s="111"/>
    </row>
    <row r="8116" spans="23:23" x14ac:dyDescent="0.25">
      <c r="W8116" s="111"/>
    </row>
    <row r="8117" spans="23:23" x14ac:dyDescent="0.25">
      <c r="W8117" s="111"/>
    </row>
    <row r="8118" spans="23:23" x14ac:dyDescent="0.25">
      <c r="W8118" s="111"/>
    </row>
    <row r="8119" spans="23:23" x14ac:dyDescent="0.25">
      <c r="W8119" s="111"/>
    </row>
    <row r="8120" spans="23:23" x14ac:dyDescent="0.25">
      <c r="W8120" s="111"/>
    </row>
    <row r="8121" spans="23:23" x14ac:dyDescent="0.25">
      <c r="W8121" s="111"/>
    </row>
    <row r="8122" spans="23:23" x14ac:dyDescent="0.25">
      <c r="W8122" s="111"/>
    </row>
    <row r="8123" spans="23:23" x14ac:dyDescent="0.25">
      <c r="W8123" s="111"/>
    </row>
    <row r="8124" spans="23:23" x14ac:dyDescent="0.25">
      <c r="W8124" s="111"/>
    </row>
    <row r="8125" spans="23:23" x14ac:dyDescent="0.25">
      <c r="W8125" s="111"/>
    </row>
    <row r="8126" spans="23:23" x14ac:dyDescent="0.25">
      <c r="W8126" s="111"/>
    </row>
    <row r="8127" spans="23:23" x14ac:dyDescent="0.25">
      <c r="W8127" s="111"/>
    </row>
    <row r="8128" spans="23:23" x14ac:dyDescent="0.25">
      <c r="W8128" s="111"/>
    </row>
    <row r="8129" spans="23:23" x14ac:dyDescent="0.25">
      <c r="W8129" s="111"/>
    </row>
    <row r="8130" spans="23:23" x14ac:dyDescent="0.25">
      <c r="W8130" s="111"/>
    </row>
    <row r="8131" spans="23:23" x14ac:dyDescent="0.25">
      <c r="W8131" s="111"/>
    </row>
  </sheetData>
  <phoneticPr fontId="10" type="noConversion"/>
  <pageMargins left="0.75" right="0.75" top="1.5" bottom="1" header="0.75" footer="0.5"/>
  <pageSetup scale="58" orientation="landscape" r:id="rId1"/>
  <headerFooter alignWithMargins="0">
    <oddHeader>&amp;L&amp;"Arial,Bold"KENTUCKY UTILITIES COMPANY
&amp;"Arial,Regular"Electric Cost of Service Study
12 months Ended April 30, 2008
Jurisdictional Separation Study</oddHeader>
    <oddFooter>&amp;R&amp;"Arial,Regular"Seelye Exhibit 16
Page &amp;P of &amp;N</oddFooter>
  </headerFooter>
  <rowBreaks count="31" manualBreakCount="31">
    <brk id="65" max="15" man="1"/>
    <brk id="100" max="15" man="1"/>
    <brk id="148" max="15" man="1"/>
    <brk id="191" max="15" man="1"/>
    <brk id="234" max="15" man="1"/>
    <brk id="254" max="15" man="1"/>
    <brk id="297" max="15" man="1"/>
    <brk id="332" max="15" man="1"/>
    <brk id="379" max="15" man="1"/>
    <brk id="423" max="15" man="1"/>
    <brk id="466" max="15" man="1"/>
    <brk id="496" max="15" man="1"/>
    <brk id="549" max="15" man="1"/>
    <brk id="602" max="15" man="1"/>
    <brk id="636" max="15" man="1"/>
    <brk id="683" max="15" man="1"/>
    <brk id="729" max="15" man="1"/>
    <brk id="784" max="15" man="1"/>
    <brk id="828" max="15" man="1"/>
    <brk id="857" max="15" man="1"/>
    <brk id="918" max="15" man="1"/>
    <brk id="968" max="15" man="1"/>
    <brk id="1033" max="15" man="1"/>
    <brk id="1079" max="15" man="1"/>
    <brk id="1127" max="15" man="1"/>
    <brk id="1173" max="15" man="1"/>
    <brk id="1223" max="15" man="1"/>
    <brk id="1258" max="15" man="1"/>
    <brk id="1297" max="15" man="1"/>
    <brk id="1339" max="15" man="1"/>
    <brk id="138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617"/>
  <sheetViews>
    <sheetView view="pageBreakPreview" zoomScale="70" zoomScaleNormal="100" zoomScaleSheetLayoutView="70" workbookViewId="0"/>
  </sheetViews>
  <sheetFormatPr defaultColWidth="9.109375" defaultRowHeight="13.8" x14ac:dyDescent="0.25"/>
  <cols>
    <col min="1" max="1" width="7.6640625" style="29" customWidth="1"/>
    <col min="2" max="2" width="55.88671875" style="29" customWidth="1"/>
    <col min="3" max="3" width="12.88671875" style="29" customWidth="1"/>
    <col min="4" max="4" width="14.88671875" style="29" customWidth="1"/>
    <col min="5" max="5" width="2.6640625" style="29" customWidth="1"/>
    <col min="6" max="6" width="17.5546875" style="29" customWidth="1"/>
    <col min="7" max="7" width="2.109375" style="29" customWidth="1"/>
    <col min="8" max="8" width="18.5546875" style="29" customWidth="1"/>
    <col min="9" max="10" width="18.33203125" style="29" hidden="1" customWidth="1"/>
    <col min="11" max="11" width="18.5546875" style="29" customWidth="1"/>
    <col min="12" max="13" width="18.6640625" style="29" hidden="1" customWidth="1"/>
    <col min="14" max="14" width="2.6640625" style="29" customWidth="1"/>
    <col min="15" max="15" width="18.6640625" style="29" bestFit="1" customWidth="1"/>
    <col min="16" max="17" width="18.6640625" style="29" hidden="1" customWidth="1"/>
    <col min="18" max="18" width="2.6640625" style="29" customWidth="1"/>
    <col min="19" max="20" width="17.5546875" style="29" customWidth="1"/>
    <col min="21" max="21" width="16.33203125" style="29" customWidth="1"/>
    <col min="22" max="22" width="16.33203125" style="29" bestFit="1" customWidth="1"/>
    <col min="23" max="23" width="16.33203125" style="29" customWidth="1"/>
    <col min="24" max="24" width="16.6640625" style="29" customWidth="1"/>
    <col min="25" max="25" width="16.6640625" style="27" customWidth="1"/>
    <col min="26" max="27" width="16.88671875" style="29" customWidth="1"/>
    <col min="28" max="30" width="17.5546875" style="29" customWidth="1"/>
    <col min="31" max="31" width="1.88671875" style="29" customWidth="1"/>
    <col min="32" max="32" width="17.88671875" style="29" customWidth="1"/>
    <col min="33" max="33" width="1.88671875" style="29" customWidth="1"/>
    <col min="34" max="34" width="15" style="29" customWidth="1"/>
    <col min="35" max="35" width="1.88671875" style="29" customWidth="1"/>
    <col min="36" max="36" width="18.33203125" style="29" bestFit="1" customWidth="1"/>
    <col min="37" max="37" width="18.33203125" style="29" customWidth="1"/>
    <col min="38" max="38" width="14.6640625" style="29" customWidth="1"/>
    <col min="39" max="39" width="14.109375" style="29" customWidth="1"/>
    <col min="40" max="16384" width="9.109375" style="29"/>
  </cols>
  <sheetData>
    <row r="1" spans="1:38" ht="14.4" thickBot="1" x14ac:dyDescent="0.3">
      <c r="A1" s="27"/>
      <c r="B1" s="27"/>
      <c r="C1" s="27"/>
      <c r="D1" s="27"/>
      <c r="E1" s="27"/>
      <c r="F1" s="27"/>
      <c r="G1" s="27"/>
      <c r="H1" s="27"/>
      <c r="I1" s="27"/>
      <c r="J1" s="27"/>
      <c r="K1" s="27"/>
      <c r="L1" s="27"/>
      <c r="M1" s="27"/>
      <c r="N1" s="27"/>
      <c r="O1" s="27"/>
      <c r="P1" s="27"/>
      <c r="Q1" s="27"/>
      <c r="R1" s="27"/>
      <c r="S1" s="27"/>
      <c r="T1" s="27"/>
      <c r="U1" s="27"/>
      <c r="V1" s="27"/>
      <c r="W1" s="27"/>
      <c r="X1" s="27"/>
      <c r="Z1" s="28"/>
      <c r="AA1" s="28"/>
      <c r="AB1" s="28"/>
      <c r="AC1" s="28"/>
      <c r="AD1" s="28"/>
      <c r="AE1" s="28"/>
      <c r="AF1" s="28"/>
      <c r="AG1" s="28"/>
      <c r="AH1" s="28"/>
      <c r="AI1" s="28"/>
      <c r="AJ1" s="28"/>
    </row>
    <row r="2" spans="1:38" ht="48" customHeight="1" thickBot="1" x14ac:dyDescent="0.3">
      <c r="A2" s="4"/>
      <c r="B2" s="4"/>
      <c r="C2" s="11"/>
      <c r="D2" s="1" t="s">
        <v>61</v>
      </c>
      <c r="E2" s="11"/>
      <c r="F2" s="11" t="s">
        <v>62</v>
      </c>
      <c r="G2" s="11"/>
      <c r="H2" s="223" t="s">
        <v>1590</v>
      </c>
      <c r="I2" s="224"/>
      <c r="J2" s="225"/>
      <c r="K2" s="98" t="s">
        <v>1591</v>
      </c>
      <c r="L2" s="96"/>
      <c r="M2" s="97"/>
      <c r="N2" s="18"/>
      <c r="O2" s="20" t="s">
        <v>900</v>
      </c>
      <c r="P2" s="92"/>
      <c r="Q2" s="92"/>
      <c r="R2" s="19"/>
      <c r="S2" s="20" t="s">
        <v>1593</v>
      </c>
      <c r="T2" s="20" t="s">
        <v>1594</v>
      </c>
      <c r="U2" s="226" t="s">
        <v>130</v>
      </c>
      <c r="V2" s="227"/>
      <c r="W2" s="228"/>
      <c r="X2" s="221" t="s">
        <v>129</v>
      </c>
      <c r="Y2" s="222"/>
      <c r="Z2" s="221" t="s">
        <v>131</v>
      </c>
      <c r="AA2" s="222"/>
      <c r="AB2" s="20" t="s">
        <v>128</v>
      </c>
      <c r="AC2" s="20" t="s">
        <v>127</v>
      </c>
      <c r="AD2" s="20" t="s">
        <v>1597</v>
      </c>
      <c r="AE2" s="21"/>
      <c r="AF2" s="20" t="s">
        <v>279</v>
      </c>
      <c r="AG2" s="5"/>
      <c r="AH2" s="20" t="s">
        <v>1596</v>
      </c>
      <c r="AI2" s="5"/>
      <c r="AJ2" s="20" t="s">
        <v>1595</v>
      </c>
      <c r="AK2" s="4"/>
      <c r="AL2" s="4"/>
    </row>
    <row r="3" spans="1:38" ht="14.4" thickBot="1" x14ac:dyDescent="0.3">
      <c r="A3" s="6" t="s">
        <v>99</v>
      </c>
      <c r="B3" s="6"/>
      <c r="C3" s="8" t="s">
        <v>100</v>
      </c>
      <c r="D3" s="8" t="s">
        <v>101</v>
      </c>
      <c r="E3" s="2"/>
      <c r="F3" s="2" t="s">
        <v>102</v>
      </c>
      <c r="G3" s="22"/>
      <c r="H3" s="56" t="s">
        <v>2132</v>
      </c>
      <c r="I3" s="56" t="s">
        <v>2062</v>
      </c>
      <c r="J3" s="56" t="s">
        <v>2062</v>
      </c>
      <c r="K3" s="56" t="s">
        <v>104</v>
      </c>
      <c r="L3" s="56" t="s">
        <v>2062</v>
      </c>
      <c r="M3" s="56" t="s">
        <v>2062</v>
      </c>
      <c r="N3" s="2"/>
      <c r="O3" s="56" t="s">
        <v>103</v>
      </c>
      <c r="P3" s="2"/>
      <c r="Q3" s="2"/>
      <c r="R3" s="2"/>
      <c r="S3" s="2" t="s">
        <v>1592</v>
      </c>
      <c r="T3" s="2" t="s">
        <v>1449</v>
      </c>
      <c r="U3" s="2" t="s">
        <v>1592</v>
      </c>
      <c r="V3" s="2" t="s">
        <v>103</v>
      </c>
      <c r="W3" s="2" t="s">
        <v>105</v>
      </c>
      <c r="X3" s="2" t="s">
        <v>103</v>
      </c>
      <c r="Y3" s="2" t="s">
        <v>105</v>
      </c>
      <c r="Z3" s="2" t="s">
        <v>103</v>
      </c>
      <c r="AA3" s="2" t="s">
        <v>105</v>
      </c>
      <c r="AB3" s="2" t="s">
        <v>105</v>
      </c>
      <c r="AC3" s="2"/>
      <c r="AD3" s="2"/>
      <c r="AE3" s="2"/>
      <c r="AF3" s="2"/>
      <c r="AG3" s="2"/>
      <c r="AH3" s="2"/>
      <c r="AI3" s="2"/>
      <c r="AJ3" s="2"/>
      <c r="AK3" s="2" t="s">
        <v>106</v>
      </c>
      <c r="AL3" s="7" t="s">
        <v>107</v>
      </c>
    </row>
    <row r="4" spans="1:38" x14ac:dyDescent="0.25">
      <c r="F4" s="12"/>
      <c r="G4" s="12"/>
      <c r="H4" s="12"/>
      <c r="I4" s="12"/>
      <c r="J4" s="12"/>
      <c r="K4" s="12"/>
      <c r="L4" s="12"/>
      <c r="M4" s="12"/>
      <c r="N4" s="12"/>
      <c r="O4" s="12"/>
      <c r="P4" s="12"/>
      <c r="Q4" s="12"/>
      <c r="R4" s="12"/>
      <c r="S4" s="12"/>
      <c r="T4" s="12"/>
      <c r="U4" s="12"/>
      <c r="V4" s="12"/>
      <c r="W4" s="12"/>
      <c r="X4" s="12"/>
      <c r="Y4" s="23"/>
      <c r="Z4" s="12"/>
      <c r="AA4" s="12"/>
      <c r="AB4" s="12"/>
      <c r="AC4" s="12"/>
      <c r="AD4" s="12"/>
      <c r="AE4" s="12"/>
      <c r="AF4" s="12"/>
      <c r="AG4" s="12"/>
      <c r="AH4" s="12"/>
      <c r="AI4" s="12"/>
      <c r="AJ4" s="12"/>
      <c r="AL4" s="30"/>
    </row>
    <row r="5" spans="1:38" x14ac:dyDescent="0.25">
      <c r="A5" s="24" t="s">
        <v>108</v>
      </c>
      <c r="F5" s="12"/>
      <c r="G5" s="12"/>
      <c r="H5" s="12"/>
      <c r="I5" s="12"/>
      <c r="J5" s="12"/>
      <c r="K5" s="12"/>
      <c r="L5" s="12"/>
      <c r="M5" s="12"/>
      <c r="N5" s="12"/>
      <c r="O5" s="12"/>
      <c r="P5" s="12"/>
      <c r="Q5" s="12"/>
      <c r="R5" s="12"/>
      <c r="S5" s="12"/>
      <c r="T5" s="12"/>
      <c r="U5" s="12"/>
      <c r="V5" s="12"/>
      <c r="W5" s="12"/>
      <c r="X5" s="12"/>
      <c r="Y5" s="23"/>
      <c r="Z5" s="12"/>
      <c r="AA5" s="12"/>
      <c r="AB5" s="12"/>
      <c r="AC5" s="12"/>
      <c r="AD5" s="12"/>
      <c r="AE5" s="12"/>
      <c r="AF5" s="12"/>
      <c r="AG5" s="12"/>
      <c r="AH5" s="12"/>
      <c r="AI5" s="12"/>
      <c r="AJ5" s="12"/>
      <c r="AL5" s="30"/>
    </row>
    <row r="6" spans="1:38" x14ac:dyDescent="0.25">
      <c r="AL6" s="30"/>
    </row>
    <row r="7" spans="1:38" x14ac:dyDescent="0.25">
      <c r="A7" s="3" t="s">
        <v>427</v>
      </c>
      <c r="AL7" s="30"/>
    </row>
    <row r="8" spans="1:38" x14ac:dyDescent="0.25">
      <c r="A8" s="31">
        <v>301</v>
      </c>
      <c r="B8" s="29" t="s">
        <v>430</v>
      </c>
      <c r="C8" s="29" t="s">
        <v>431</v>
      </c>
      <c r="D8" s="29" t="s">
        <v>456</v>
      </c>
      <c r="F8" s="32">
        <f>'Jurisdictional Study'!F599</f>
        <v>41566.037714491024</v>
      </c>
      <c r="H8" s="33">
        <f>IF(VLOOKUP($D8,$C$5:$AJ$596,6,)=0,0,((VLOOKUP($D8,$C$5:$AJ$596,6,)/VLOOKUP($D8,$C$5:$AJ$596,4,))*$F8))</f>
        <v>24983.9534404648</v>
      </c>
      <c r="I8" s="33">
        <f>IF(VLOOKUP($D8,$C$5:$AJ$596,7,)=0,0,((VLOOKUP($D8,$C$5:$AJ$596,7,)/VLOOKUP($D8,$C$5:$AJ$596,4,))*$F8))</f>
        <v>0</v>
      </c>
      <c r="J8" s="33">
        <f>IF(VLOOKUP($D8,$C$5:$AJ$596,8,)=0,0,((VLOOKUP($D8,$C$5:$AJ$596,8,)/VLOOKUP($D8,$C$5:$AJ$596,4,))*$F8))</f>
        <v>0</v>
      </c>
      <c r="K8" s="33">
        <f>IF(VLOOKUP($D8,$C$5:$AJ$596,9,)=0,0,((VLOOKUP($D8,$C$5:$AJ$596,9,)/VLOOKUP($D8,$C$5:$AJ$596,4,))*$F8))</f>
        <v>0</v>
      </c>
      <c r="L8" s="33">
        <f>IF(VLOOKUP($D8,$C$5:$AJ$596,10,)=0,0,((VLOOKUP($D8,$C$5:$AJ$596,10,)/VLOOKUP($D8,$C$5:$AJ$596,4,))*$F8))</f>
        <v>0</v>
      </c>
      <c r="M8" s="33">
        <f>IF(VLOOKUP($D8,$C$5:$AJ$596,11,)=0,0,((VLOOKUP($D8,$C$5:$AJ$596,11,)/VLOOKUP($D8,$C$5:$AJ$596,4,))*$F8))</f>
        <v>0</v>
      </c>
      <c r="N8" s="33"/>
      <c r="O8" s="33">
        <f>IF(VLOOKUP($D8,$C$5:$AJ$596,13,)=0,0,((VLOOKUP($D8,$C$5:$AJ$596,13,)/VLOOKUP($D8,$C$5:$AJ$596,4,))*$F8))</f>
        <v>5787.2439784429553</v>
      </c>
      <c r="P8" s="33">
        <f>IF(VLOOKUP($D8,$C$5:$AJ$596,14,)=0,0,((VLOOKUP($D8,$C$5:$AJ$596,14,)/VLOOKUP($D8,$C$5:$AJ$596,4,))*$F8))</f>
        <v>0</v>
      </c>
      <c r="Q8" s="33">
        <f>IF(VLOOKUP($D8,$C$5:$AJ$596,15,)=0,0,((VLOOKUP($D8,$C$5:$AJ$596,15,)/VLOOKUP($D8,$C$5:$AJ$596,4,))*$F8))</f>
        <v>0</v>
      </c>
      <c r="R8" s="33"/>
      <c r="S8" s="33">
        <f>IF(VLOOKUP($D8,$C$5:$AJ$596,17,)=0,0,((VLOOKUP($D8,$C$5:$AJ$596,17,)/VLOOKUP($D8,$C$5:$AJ$596,4,))*$F8))</f>
        <v>0</v>
      </c>
      <c r="T8" s="33">
        <f>IF(VLOOKUP($D8,$C$5:$AJ$596,18,)=0,0,((VLOOKUP($D8,$C$5:$AJ$596,18,)/VLOOKUP($D8,$C$5:$AJ$596,4,))*$F8))</f>
        <v>1570.2176554115574</v>
      </c>
      <c r="U8" s="33">
        <f>IF(VLOOKUP($D8,$C$5:$AJ$596,19,)=0,0,((VLOOKUP($D8,$C$5:$AJ$596,19,)/VLOOKUP($D8,$C$5:$AJ$596,4,))*$F8))</f>
        <v>0</v>
      </c>
      <c r="V8" s="33">
        <f>IF(VLOOKUP($D8,$C$5:$AJ$596,20,)=0,0,((VLOOKUP($D8,$C$5:$AJ$596,20,)/VLOOKUP($D8,$C$5:$AJ$596,4,))*$F8))</f>
        <v>1284.6477152737805</v>
      </c>
      <c r="W8" s="33">
        <f>IF(VLOOKUP($D8,$C$5:$AJ$596,21,)=0,0,((VLOOKUP($D8,$C$5:$AJ$596,21,)/VLOOKUP($D8,$C$5:$AJ$596,4,))*$F8))</f>
        <v>2417.3998427065521</v>
      </c>
      <c r="X8" s="33">
        <f>IF(VLOOKUP($D8,$C$5:$AJ$596,22,)=0,0,((VLOOKUP($D8,$C$5:$AJ$596,22,)/VLOOKUP($D8,$C$5:$AJ$596,4,))*$F8))</f>
        <v>699.76851613477118</v>
      </c>
      <c r="Y8" s="33">
        <f>IF(VLOOKUP($D8,$C$5:$AJ$596,23,)=0,0,((VLOOKUP($D8,$C$5:$AJ$596,23,)/VLOOKUP($D8,$C$5:$AJ$596,4,))*$F8))</f>
        <v>1296.3056696446542</v>
      </c>
      <c r="Z8" s="33">
        <f>IF(VLOOKUP($D8,$C$5:$AJ$596,24,)=0,0,((VLOOKUP($D8,$C$5:$AJ$596,24,)/VLOOKUP($D8,$C$5:$AJ$596,4,))*$F8))</f>
        <v>947.91964715204074</v>
      </c>
      <c r="AA8" s="33">
        <f>IF(VLOOKUP($D8,$C$5:$AJ$596,25,)=0,0,((VLOOKUP($D8,$C$5:$AJ$596,25,)/VLOOKUP($D8,$C$5:$AJ$596,4,))*$F8))</f>
        <v>822.08515437549431</v>
      </c>
      <c r="AB8" s="33">
        <f>IF(VLOOKUP($D8,$C$5:$AJ$596,26,)=0,0,((VLOOKUP($D8,$C$5:$AJ$596,26,)/VLOOKUP($D8,$C$5:$AJ$596,4,))*$F8))</f>
        <v>608.75237899141757</v>
      </c>
      <c r="AC8" s="33">
        <f>IF(VLOOKUP($D8,$C$5:$AJ$596,27,)=0,0,((VLOOKUP($D8,$C$5:$AJ$596,27,)/VLOOKUP($D8,$C$5:$AJ$596,4,))*$F8))</f>
        <v>434.97373099630283</v>
      </c>
      <c r="AD8" s="33">
        <f>IF(VLOOKUP($D8,$C$5:$AJ$596,28,)=0,0,((VLOOKUP($D8,$C$5:$AJ$596,28,)/VLOOKUP($D8,$C$5:$AJ$596,4,))*$F8))</f>
        <v>712.76998489669529</v>
      </c>
      <c r="AE8" s="33"/>
      <c r="AF8" s="33">
        <f>IF(VLOOKUP($D8,$C$5:$AJ$596,30,)=0,0,((VLOOKUP($D8,$C$5:$AJ$596,30,)/VLOOKUP($D8,$C$5:$AJ$596,4,))*$F8))</f>
        <v>0</v>
      </c>
      <c r="AG8" s="33"/>
      <c r="AH8" s="33">
        <f>IF(VLOOKUP($D8,$C$5:$AJ$596,32,)=0,0,((VLOOKUP($D8,$C$5:$AJ$596,32,)/VLOOKUP($D8,$C$5:$AJ$596,4,))*$F8))</f>
        <v>0</v>
      </c>
      <c r="AI8" s="33"/>
      <c r="AJ8" s="33">
        <f>IF(VLOOKUP($D8,$C$5:$AJ$596,34,)=0,0,((VLOOKUP($D8,$C$5:$AJ$596,34,)/VLOOKUP($D8,$C$5:$AJ$596,4,))*$F8))</f>
        <v>0</v>
      </c>
      <c r="AK8" s="33">
        <f>SUM(H8:AJ8)</f>
        <v>41566.037714491024</v>
      </c>
      <c r="AL8" s="30" t="str">
        <f>IF(ABS(AK8-F8)&lt;1,"ok","err")</f>
        <v>ok</v>
      </c>
    </row>
    <row r="9" spans="1:38" x14ac:dyDescent="0.25">
      <c r="A9" s="31">
        <v>302</v>
      </c>
      <c r="B9" s="29" t="s">
        <v>429</v>
      </c>
      <c r="C9" s="29" t="s">
        <v>431</v>
      </c>
      <c r="D9" s="29" t="s">
        <v>456</v>
      </c>
      <c r="F9" s="33">
        <f>'Jurisdictional Study'!F600</f>
        <v>55918.829999999994</v>
      </c>
      <c r="H9" s="33">
        <f>IF(VLOOKUP($D9,$C$5:$AJ$596,6,)=0,0,((VLOOKUP($D9,$C$5:$AJ$596,6,)/VLOOKUP($D9,$C$5:$AJ$596,4,))*$F9))</f>
        <v>33610.936283161995</v>
      </c>
      <c r="I9" s="33">
        <f>IF(VLOOKUP($D9,$C$5:$AJ$596,7,)=0,0,((VLOOKUP($D9,$C$5:$AJ$596,7,)/VLOOKUP($D9,$C$5:$AJ$596,4,))*$F9))</f>
        <v>0</v>
      </c>
      <c r="J9" s="33">
        <f>IF(VLOOKUP($D9,$C$5:$AJ$596,8,)=0,0,((VLOOKUP($D9,$C$5:$AJ$596,8,)/VLOOKUP($D9,$C$5:$AJ$596,4,))*$F9))</f>
        <v>0</v>
      </c>
      <c r="K9" s="33">
        <f>IF(VLOOKUP($D9,$C$5:$AJ$596,9,)=0,0,((VLOOKUP($D9,$C$5:$AJ$596,9,)/VLOOKUP($D9,$C$5:$AJ$596,4,))*$F9))</f>
        <v>0</v>
      </c>
      <c r="L9" s="33">
        <f>IF(VLOOKUP($D9,$C$5:$AJ$596,10,)=0,0,((VLOOKUP($D9,$C$5:$AJ$596,10,)/VLOOKUP($D9,$C$5:$AJ$596,4,))*$F9))</f>
        <v>0</v>
      </c>
      <c r="M9" s="33">
        <f>IF(VLOOKUP($D9,$C$5:$AJ$596,11,)=0,0,((VLOOKUP($D9,$C$5:$AJ$596,11,)/VLOOKUP($D9,$C$5:$AJ$596,4,))*$F9))</f>
        <v>0</v>
      </c>
      <c r="N9" s="33"/>
      <c r="O9" s="33">
        <f>IF(VLOOKUP($D9,$C$5:$AJ$596,13,)=0,0,((VLOOKUP($D9,$C$5:$AJ$596,13,)/VLOOKUP($D9,$C$5:$AJ$596,4,))*$F9))</f>
        <v>7785.5848185946807</v>
      </c>
      <c r="P9" s="33">
        <f>IF(VLOOKUP($D9,$C$5:$AJ$596,14,)=0,0,((VLOOKUP($D9,$C$5:$AJ$596,14,)/VLOOKUP($D9,$C$5:$AJ$596,4,))*$F9))</f>
        <v>0</v>
      </c>
      <c r="Q9" s="33">
        <f>IF(VLOOKUP($D9,$C$5:$AJ$596,15,)=0,0,((VLOOKUP($D9,$C$5:$AJ$596,15,)/VLOOKUP($D9,$C$5:$AJ$596,4,))*$F9))</f>
        <v>0</v>
      </c>
      <c r="R9" s="33"/>
      <c r="S9" s="33">
        <f>IF(VLOOKUP($D9,$C$5:$AJ$596,17,)=0,0,((VLOOKUP($D9,$C$5:$AJ$596,17,)/VLOOKUP($D9,$C$5:$AJ$596,4,))*$F9))</f>
        <v>0</v>
      </c>
      <c r="T9" s="33">
        <f>IF(VLOOKUP($D9,$C$5:$AJ$596,18,)=0,0,((VLOOKUP($D9,$C$5:$AJ$596,18,)/VLOOKUP($D9,$C$5:$AJ$596,4,))*$F9))</f>
        <v>2112.4153025859955</v>
      </c>
      <c r="U9" s="33">
        <f>IF(VLOOKUP($D9,$C$5:$AJ$596,19,)=0,0,((VLOOKUP($D9,$C$5:$AJ$596,19,)/VLOOKUP($D9,$C$5:$AJ$596,4,))*$F9))</f>
        <v>0</v>
      </c>
      <c r="V9" s="33">
        <f>IF(VLOOKUP($D9,$C$5:$AJ$596,20,)=0,0,((VLOOKUP($D9,$C$5:$AJ$596,20,)/VLOOKUP($D9,$C$5:$AJ$596,4,))*$F9))</f>
        <v>1728.2377909992365</v>
      </c>
      <c r="W9" s="33">
        <f>IF(VLOOKUP($D9,$C$5:$AJ$596,21,)=0,0,((VLOOKUP($D9,$C$5:$AJ$596,21,)/VLOOKUP($D9,$C$5:$AJ$596,4,))*$F9))</f>
        <v>3252.1303034666621</v>
      </c>
      <c r="X9" s="33">
        <f>IF(VLOOKUP($D9,$C$5:$AJ$596,22,)=0,0,((VLOOKUP($D9,$C$5:$AJ$596,22,)/VLOOKUP($D9,$C$5:$AJ$596,4,))*$F9))</f>
        <v>941.39924911463675</v>
      </c>
      <c r="Y9" s="33">
        <f>IF(VLOOKUP($D9,$C$5:$AJ$596,23,)=0,0,((VLOOKUP($D9,$C$5:$AJ$596,23,)/VLOOKUP($D9,$C$5:$AJ$596,4,))*$F9))</f>
        <v>1743.9212480824067</v>
      </c>
      <c r="Z9" s="33">
        <f>IF(VLOOKUP($D9,$C$5:$AJ$596,24,)=0,0,((VLOOKUP($D9,$C$5:$AJ$596,24,)/VLOOKUP($D9,$C$5:$AJ$596,4,))*$F9))</f>
        <v>1275.2372012662504</v>
      </c>
      <c r="AA9" s="33">
        <f>IF(VLOOKUP($D9,$C$5:$AJ$596,25,)=0,0,((VLOOKUP($D9,$C$5:$AJ$596,25,)/VLOOKUP($D9,$C$5:$AJ$596,4,))*$F9))</f>
        <v>1105.9519386670008</v>
      </c>
      <c r="AB9" s="33">
        <f>IF(VLOOKUP($D9,$C$5:$AJ$596,26,)=0,0,((VLOOKUP($D9,$C$5:$AJ$596,26,)/VLOOKUP($D9,$C$5:$AJ$596,4,))*$F9))</f>
        <v>818.95515340518364</v>
      </c>
      <c r="AC9" s="33">
        <f>IF(VLOOKUP($D9,$C$5:$AJ$596,27,)=0,0,((VLOOKUP($D9,$C$5:$AJ$596,27,)/VLOOKUP($D9,$C$5:$AJ$596,4,))*$F9))</f>
        <v>585.17057327232965</v>
      </c>
      <c r="AD9" s="33">
        <f>IF(VLOOKUP($D9,$C$5:$AJ$596,28,)=0,0,((VLOOKUP($D9,$C$5:$AJ$596,28,)/VLOOKUP($D9,$C$5:$AJ$596,4,))*$F9))</f>
        <v>958.89013738361609</v>
      </c>
      <c r="AE9" s="33"/>
      <c r="AF9" s="33">
        <f>IF(VLOOKUP($D9,$C$5:$AJ$596,30,)=0,0,((VLOOKUP($D9,$C$5:$AJ$596,30,)/VLOOKUP($D9,$C$5:$AJ$596,4,))*$F9))</f>
        <v>0</v>
      </c>
      <c r="AG9" s="33"/>
      <c r="AH9" s="33">
        <f>IF(VLOOKUP($D9,$C$5:$AJ$596,32,)=0,0,((VLOOKUP($D9,$C$5:$AJ$596,32,)/VLOOKUP($D9,$C$5:$AJ$596,4,))*$F9))</f>
        <v>0</v>
      </c>
      <c r="AI9" s="33"/>
      <c r="AJ9" s="33">
        <f>IF(VLOOKUP($D9,$C$5:$AJ$596,34,)=0,0,((VLOOKUP($D9,$C$5:$AJ$596,34,)/VLOOKUP($D9,$C$5:$AJ$596,4,))*$F9))</f>
        <v>0</v>
      </c>
      <c r="AK9" s="33">
        <f>SUM(H9:AJ9)</f>
        <v>55918.829999999987</v>
      </c>
      <c r="AL9" s="30" t="str">
        <f>IF(ABS(AK9-F9)&lt;1,"ok","err")</f>
        <v>ok</v>
      </c>
    </row>
    <row r="10" spans="1:38" x14ac:dyDescent="0.25">
      <c r="A10" s="31">
        <v>303</v>
      </c>
      <c r="B10" s="29" t="s">
        <v>1542</v>
      </c>
      <c r="C10" s="29" t="s">
        <v>432</v>
      </c>
      <c r="D10" s="29" t="s">
        <v>456</v>
      </c>
      <c r="F10" s="33">
        <f>'Jurisdictional Study'!F601</f>
        <v>91539638.885438219</v>
      </c>
      <c r="H10" s="33">
        <f>IF(VLOOKUP($D10,$C$5:$AJ$596,6,)=0,0,((VLOOKUP($D10,$C$5:$AJ$596,6,)/VLOOKUP($D10,$C$5:$AJ$596,4,))*$F10))</f>
        <v>55021411.749175049</v>
      </c>
      <c r="I10" s="33">
        <f>IF(VLOOKUP($D10,$C$5:$AJ$596,7,)=0,0,((VLOOKUP($D10,$C$5:$AJ$596,7,)/VLOOKUP($D10,$C$5:$AJ$596,4,))*$F10))</f>
        <v>0</v>
      </c>
      <c r="J10" s="33">
        <f>IF(VLOOKUP($D10,$C$5:$AJ$596,8,)=0,0,((VLOOKUP($D10,$C$5:$AJ$596,8,)/VLOOKUP($D10,$C$5:$AJ$596,4,))*$F10))</f>
        <v>0</v>
      </c>
      <c r="K10" s="33">
        <f>IF(VLOOKUP($D10,$C$5:$AJ$596,9,)=0,0,((VLOOKUP($D10,$C$5:$AJ$596,9,)/VLOOKUP($D10,$C$5:$AJ$596,4,))*$F10))</f>
        <v>0</v>
      </c>
      <c r="L10" s="33">
        <f>IF(VLOOKUP($D10,$C$5:$AJ$596,10,)=0,0,((VLOOKUP($D10,$C$5:$AJ$596,10,)/VLOOKUP($D10,$C$5:$AJ$596,4,))*$F10))</f>
        <v>0</v>
      </c>
      <c r="M10" s="33">
        <f>IF(VLOOKUP($D10,$C$5:$AJ$596,11,)=0,0,((VLOOKUP($D10,$C$5:$AJ$596,11,)/VLOOKUP($D10,$C$5:$AJ$596,4,))*$F10))</f>
        <v>0</v>
      </c>
      <c r="N10" s="33"/>
      <c r="O10" s="33">
        <f>IF(VLOOKUP($D10,$C$5:$AJ$596,13,)=0,0,((VLOOKUP($D10,$C$5:$AJ$596,13,)/VLOOKUP($D10,$C$5:$AJ$596,4,))*$F10))</f>
        <v>12745073.93674201</v>
      </c>
      <c r="P10" s="33">
        <f>IF(VLOOKUP($D10,$C$5:$AJ$596,14,)=0,0,((VLOOKUP($D10,$C$5:$AJ$596,14,)/VLOOKUP($D10,$C$5:$AJ$596,4,))*$F10))</f>
        <v>0</v>
      </c>
      <c r="Q10" s="33">
        <f>IF(VLOOKUP($D10,$C$5:$AJ$596,15,)=0,0,((VLOOKUP($D10,$C$5:$AJ$596,15,)/VLOOKUP($D10,$C$5:$AJ$596,4,))*$F10))</f>
        <v>0</v>
      </c>
      <c r="R10" s="33"/>
      <c r="S10" s="33">
        <f>IF(VLOOKUP($D10,$C$5:$AJ$596,17,)=0,0,((VLOOKUP($D10,$C$5:$AJ$596,17,)/VLOOKUP($D10,$C$5:$AJ$596,4,))*$F10))</f>
        <v>0</v>
      </c>
      <c r="T10" s="33">
        <f>IF(VLOOKUP($D10,$C$5:$AJ$596,18,)=0,0,((VLOOKUP($D10,$C$5:$AJ$596,18,)/VLOOKUP($D10,$C$5:$AJ$596,4,))*$F10))</f>
        <v>3458043.2740598423</v>
      </c>
      <c r="U10" s="33">
        <f>IF(VLOOKUP($D10,$C$5:$AJ$596,19,)=0,0,((VLOOKUP($D10,$C$5:$AJ$596,19,)/VLOOKUP($D10,$C$5:$AJ$596,4,))*$F10))</f>
        <v>0</v>
      </c>
      <c r="V10" s="33">
        <f>IF(VLOOKUP($D10,$C$5:$AJ$596,20,)=0,0,((VLOOKUP($D10,$C$5:$AJ$596,20,)/VLOOKUP($D10,$C$5:$AJ$596,4,))*$F10))</f>
        <v>2829141.1550677577</v>
      </c>
      <c r="W10" s="33">
        <f>IF(VLOOKUP($D10,$C$5:$AJ$596,21,)=0,0,((VLOOKUP($D10,$C$5:$AJ$596,21,)/VLOOKUP($D10,$C$5:$AJ$596,4,))*$F10))</f>
        <v>5323767.2102175402</v>
      </c>
      <c r="X10" s="33">
        <f>IF(VLOOKUP($D10,$C$5:$AJ$596,22,)=0,0,((VLOOKUP($D10,$C$5:$AJ$596,22,)/VLOOKUP($D10,$C$5:$AJ$596,4,))*$F10))</f>
        <v>1541079.2269969981</v>
      </c>
      <c r="Y10" s="33">
        <f>IF(VLOOKUP($D10,$C$5:$AJ$596,23,)=0,0,((VLOOKUP($D10,$C$5:$AJ$596,23,)/VLOOKUP($D10,$C$5:$AJ$596,4,))*$F10))</f>
        <v>2854815.1185227991</v>
      </c>
      <c r="Z10" s="33">
        <f>IF(VLOOKUP($D10,$C$5:$AJ$596,24,)=0,0,((VLOOKUP($D10,$C$5:$AJ$596,24,)/VLOOKUP($D10,$C$5:$AJ$596,4,))*$F10))</f>
        <v>2087575.0243198841</v>
      </c>
      <c r="AA10" s="33">
        <f>IF(VLOOKUP($D10,$C$5:$AJ$596,25,)=0,0,((VLOOKUP($D10,$C$5:$AJ$596,25,)/VLOOKUP($D10,$C$5:$AJ$596,4,))*$F10))</f>
        <v>1810453.4928614846</v>
      </c>
      <c r="AB10" s="33">
        <f>IF(VLOOKUP($D10,$C$5:$AJ$596,26,)=0,0,((VLOOKUP($D10,$C$5:$AJ$596,26,)/VLOOKUP($D10,$C$5:$AJ$596,4,))*$F10))</f>
        <v>1340637.1164432298</v>
      </c>
      <c r="AC10" s="33">
        <f>IF(VLOOKUP($D10,$C$5:$AJ$596,27,)=0,0,((VLOOKUP($D10,$C$5:$AJ$596,27,)/VLOOKUP($D10,$C$5:$AJ$596,4,))*$F10))</f>
        <v>957929.60910902335</v>
      </c>
      <c r="AD10" s="33">
        <f>IF(VLOOKUP($D10,$C$5:$AJ$596,28,)=0,0,((VLOOKUP($D10,$C$5:$AJ$596,28,)/VLOOKUP($D10,$C$5:$AJ$596,4,))*$F10))</f>
        <v>1569711.9719225969</v>
      </c>
      <c r="AE10" s="33"/>
      <c r="AF10" s="33">
        <f>IF(VLOOKUP($D10,$C$5:$AJ$596,30,)=0,0,((VLOOKUP($D10,$C$5:$AJ$596,30,)/VLOOKUP($D10,$C$5:$AJ$596,4,))*$F10))</f>
        <v>0</v>
      </c>
      <c r="AG10" s="33"/>
      <c r="AH10" s="33">
        <f>IF(VLOOKUP($D10,$C$5:$AJ$596,32,)=0,0,((VLOOKUP($D10,$C$5:$AJ$596,32,)/VLOOKUP($D10,$C$5:$AJ$596,4,))*$F10))</f>
        <v>0</v>
      </c>
      <c r="AI10" s="33"/>
      <c r="AJ10" s="33">
        <f>IF(VLOOKUP($D10,$C$5:$AJ$596,34,)=0,0,((VLOOKUP($D10,$C$5:$AJ$596,34,)/VLOOKUP($D10,$C$5:$AJ$596,4,))*$F10))</f>
        <v>0</v>
      </c>
      <c r="AK10" s="33">
        <f>SUM(H10:AJ10)</f>
        <v>91539638.885438219</v>
      </c>
      <c r="AL10" s="30" t="str">
        <f>IF(ABS(AK10-F10)&lt;1,"ok","err")</f>
        <v>ok</v>
      </c>
    </row>
    <row r="11" spans="1:38" x14ac:dyDescent="0.25">
      <c r="AL11" s="30"/>
    </row>
    <row r="12" spans="1:38" x14ac:dyDescent="0.25">
      <c r="B12" s="29" t="s">
        <v>110</v>
      </c>
      <c r="C12" s="29" t="s">
        <v>111</v>
      </c>
      <c r="F12" s="34">
        <f t="shared" ref="F12:M12" si="0">SUM(F8:F10)</f>
        <v>91637123.753152713</v>
      </c>
      <c r="G12" s="34">
        <f t="shared" si="0"/>
        <v>0</v>
      </c>
      <c r="H12" s="34">
        <f t="shared" si="0"/>
        <v>55080006.638898678</v>
      </c>
      <c r="I12" s="34">
        <f t="shared" si="0"/>
        <v>0</v>
      </c>
      <c r="J12" s="34">
        <f t="shared" si="0"/>
        <v>0</v>
      </c>
      <c r="K12" s="34">
        <f t="shared" si="0"/>
        <v>0</v>
      </c>
      <c r="L12" s="34">
        <f t="shared" si="0"/>
        <v>0</v>
      </c>
      <c r="M12" s="34">
        <f t="shared" si="0"/>
        <v>0</v>
      </c>
      <c r="N12" s="34"/>
      <c r="O12" s="34">
        <f>SUM(O8:O10)</f>
        <v>12758646.765539046</v>
      </c>
      <c r="P12" s="34">
        <f>SUM(P8:P10)</f>
        <v>0</v>
      </c>
      <c r="Q12" s="34">
        <f>SUM(Q8:Q10)</f>
        <v>0</v>
      </c>
      <c r="R12" s="34"/>
      <c r="S12" s="34">
        <f t="shared" ref="S12:AD12" si="1">SUM(S8:S10)</f>
        <v>0</v>
      </c>
      <c r="T12" s="34">
        <f t="shared" si="1"/>
        <v>3461725.9070178401</v>
      </c>
      <c r="U12" s="34">
        <f t="shared" si="1"/>
        <v>0</v>
      </c>
      <c r="V12" s="34">
        <f t="shared" si="1"/>
        <v>2832154.040574031</v>
      </c>
      <c r="W12" s="34">
        <f t="shared" si="1"/>
        <v>5329436.7403637134</v>
      </c>
      <c r="X12" s="34">
        <f t="shared" si="1"/>
        <v>1542720.3947622476</v>
      </c>
      <c r="Y12" s="34">
        <f t="shared" si="1"/>
        <v>2857855.345440526</v>
      </c>
      <c r="Z12" s="34">
        <f t="shared" si="1"/>
        <v>2089798.1811683024</v>
      </c>
      <c r="AA12" s="34">
        <f t="shared" si="1"/>
        <v>1812381.529954527</v>
      </c>
      <c r="AB12" s="34">
        <f t="shared" si="1"/>
        <v>1342064.8239756264</v>
      </c>
      <c r="AC12" s="34">
        <f t="shared" si="1"/>
        <v>958949.753413292</v>
      </c>
      <c r="AD12" s="34">
        <f t="shared" si="1"/>
        <v>1571383.6320448772</v>
      </c>
      <c r="AE12" s="34"/>
      <c r="AF12" s="34">
        <f>SUM(AF8:AF10)</f>
        <v>0</v>
      </c>
      <c r="AG12" s="34"/>
      <c r="AH12" s="34">
        <f>SUM(AH8:AH10)</f>
        <v>0</v>
      </c>
      <c r="AI12" s="34"/>
      <c r="AJ12" s="34">
        <f>SUM(AJ8:AJ10)</f>
        <v>0</v>
      </c>
      <c r="AK12" s="33">
        <f>SUM(H12:AJ12)</f>
        <v>91637123.753152698</v>
      </c>
      <c r="AL12" s="30" t="str">
        <f>IF(ABS(AK12-F12)&lt;1,"ok","err")</f>
        <v>ok</v>
      </c>
    </row>
    <row r="13" spans="1:38" x14ac:dyDescent="0.25">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3"/>
      <c r="AL13" s="30"/>
    </row>
    <row r="14" spans="1:38" x14ac:dyDescent="0.25">
      <c r="A14" s="3" t="s">
        <v>1438</v>
      </c>
      <c r="Y14" s="29"/>
      <c r="AL14" s="30"/>
    </row>
    <row r="15" spans="1:38" x14ac:dyDescent="0.2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3"/>
      <c r="AL15" s="30"/>
    </row>
    <row r="16" spans="1:38" x14ac:dyDescent="0.25">
      <c r="B16" s="29" t="s">
        <v>1439</v>
      </c>
      <c r="C16" s="29" t="s">
        <v>1440</v>
      </c>
      <c r="D16" s="29" t="s">
        <v>682</v>
      </c>
      <c r="F16" s="34">
        <f>'Jurisdictional Study'!F615-1691788002</f>
        <v>3418275071.1431885</v>
      </c>
      <c r="G16" s="34"/>
      <c r="H16" s="33">
        <f>IF(VLOOKUP($D16,$C$5:$AJ$596,6,)=0,0,((VLOOKUP($D16,$C$5:$AJ$596,6,)/VLOOKUP($D16,$C$5:$AJ$596,4,))*$F16))</f>
        <v>3418275071.1431885</v>
      </c>
      <c r="I16" s="33">
        <f>IF(VLOOKUP($D16,$C$5:$AJ$596,7,)=0,0,((VLOOKUP($D16,$C$5:$AJ$596,7,)/VLOOKUP($D16,$C$5:$AJ$596,4,))*$F16))</f>
        <v>0</v>
      </c>
      <c r="J16" s="33">
        <f>IF(VLOOKUP($D16,$C$5:$AJ$596,8,)=0,0,((VLOOKUP($D16,$C$5:$AJ$596,8,)/VLOOKUP($D16,$C$5:$AJ$596,4,))*$F16))</f>
        <v>0</v>
      </c>
      <c r="K16" s="33">
        <f>IF(VLOOKUP($D16,$C$5:$AJ$596,9,)=0,0,((VLOOKUP($D16,$C$5:$AJ$596,9,)/VLOOKUP($D16,$C$5:$AJ$596,4,))*$F16))</f>
        <v>0</v>
      </c>
      <c r="L16" s="33">
        <f>IF(VLOOKUP($D16,$C$5:$AJ$596,10,)=0,0,((VLOOKUP($D16,$C$5:$AJ$596,10,)/VLOOKUP($D16,$C$5:$AJ$596,4,))*$F16))</f>
        <v>0</v>
      </c>
      <c r="M16" s="33">
        <f>IF(VLOOKUP($D16,$C$5:$AJ$596,11,)=0,0,((VLOOKUP($D16,$C$5:$AJ$596,11,)/VLOOKUP($D16,$C$5:$AJ$596,4,))*$F16))</f>
        <v>0</v>
      </c>
      <c r="N16" s="33"/>
      <c r="O16" s="33">
        <f>IF(VLOOKUP($D16,$C$5:$AJ$596,13,)=0,0,((VLOOKUP($D16,$C$5:$AJ$596,13,)/VLOOKUP($D16,$C$5:$AJ$596,4,))*$F16))</f>
        <v>0</v>
      </c>
      <c r="P16" s="33">
        <f>IF(VLOOKUP($D16,$C$5:$AJ$596,14,)=0,0,((VLOOKUP($D16,$C$5:$AJ$596,14,)/VLOOKUP($D16,$C$5:$AJ$596,4,))*$F16))</f>
        <v>0</v>
      </c>
      <c r="Q16" s="33">
        <f>IF(VLOOKUP($D16,$C$5:$AJ$596,15,)=0,0,((VLOOKUP($D16,$C$5:$AJ$596,15,)/VLOOKUP($D16,$C$5:$AJ$596,4,))*$F16))</f>
        <v>0</v>
      </c>
      <c r="R16" s="33"/>
      <c r="S16" s="33">
        <f>IF(VLOOKUP($D16,$C$5:$AJ$596,17,)=0,0,((VLOOKUP($D16,$C$5:$AJ$596,17,)/VLOOKUP($D16,$C$5:$AJ$596,4,))*$F16))</f>
        <v>0</v>
      </c>
      <c r="T16" s="33">
        <f>IF(VLOOKUP($D16,$C$5:$AJ$596,18,)=0,0,((VLOOKUP($D16,$C$5:$AJ$596,18,)/VLOOKUP($D16,$C$5:$AJ$596,4,))*$F16))</f>
        <v>0</v>
      </c>
      <c r="U16" s="33">
        <f>IF(VLOOKUP($D16,$C$5:$AJ$596,19,)=0,0,((VLOOKUP($D16,$C$5:$AJ$596,19,)/VLOOKUP($D16,$C$5:$AJ$596,4,))*$F16))</f>
        <v>0</v>
      </c>
      <c r="V16" s="33">
        <f>IF(VLOOKUP($D16,$C$5:$AJ$596,20,)=0,0,((VLOOKUP($D16,$C$5:$AJ$596,20,)/VLOOKUP($D16,$C$5:$AJ$596,4,))*$F16))</f>
        <v>0</v>
      </c>
      <c r="W16" s="33">
        <f>IF(VLOOKUP($D16,$C$5:$AJ$596,21,)=0,0,((VLOOKUP($D16,$C$5:$AJ$596,21,)/VLOOKUP($D16,$C$5:$AJ$596,4,))*$F16))</f>
        <v>0</v>
      </c>
      <c r="X16" s="33">
        <f>IF(VLOOKUP($D16,$C$5:$AJ$596,22,)=0,0,((VLOOKUP($D16,$C$5:$AJ$596,22,)/VLOOKUP($D16,$C$5:$AJ$596,4,))*$F16))</f>
        <v>0</v>
      </c>
      <c r="Y16" s="33">
        <f>IF(VLOOKUP($D16,$C$5:$AJ$596,23,)=0,0,((VLOOKUP($D16,$C$5:$AJ$596,23,)/VLOOKUP($D16,$C$5:$AJ$596,4,))*$F16))</f>
        <v>0</v>
      </c>
      <c r="Z16" s="33">
        <f>IF(VLOOKUP($D16,$C$5:$AJ$596,24,)=0,0,((VLOOKUP($D16,$C$5:$AJ$596,24,)/VLOOKUP($D16,$C$5:$AJ$596,4,))*$F16))</f>
        <v>0</v>
      </c>
      <c r="AA16" s="33">
        <f>IF(VLOOKUP($D16,$C$5:$AJ$596,25,)=0,0,((VLOOKUP($D16,$C$5:$AJ$596,25,)/VLOOKUP($D16,$C$5:$AJ$596,4,))*$F16))</f>
        <v>0</v>
      </c>
      <c r="AB16" s="33">
        <f>IF(VLOOKUP($D16,$C$5:$AJ$596,26,)=0,0,((VLOOKUP($D16,$C$5:$AJ$596,26,)/VLOOKUP($D16,$C$5:$AJ$596,4,))*$F16))</f>
        <v>0</v>
      </c>
      <c r="AC16" s="33">
        <f>IF(VLOOKUP($D16,$C$5:$AJ$596,27,)=0,0,((VLOOKUP($D16,$C$5:$AJ$596,27,)/VLOOKUP($D16,$C$5:$AJ$596,4,))*$F16))</f>
        <v>0</v>
      </c>
      <c r="AD16" s="33">
        <f>IF(VLOOKUP($D16,$C$5:$AJ$596,28,)=0,0,((VLOOKUP($D16,$C$5:$AJ$596,28,)/VLOOKUP($D16,$C$5:$AJ$596,4,))*$F16))</f>
        <v>0</v>
      </c>
      <c r="AE16" s="33"/>
      <c r="AF16" s="33">
        <f>IF(VLOOKUP($D16,$C$5:$AJ$596,30,)=0,0,((VLOOKUP($D16,$C$5:$AJ$596,30,)/VLOOKUP($D16,$C$5:$AJ$596,4,))*$F16))</f>
        <v>0</v>
      </c>
      <c r="AG16" s="33"/>
      <c r="AH16" s="33">
        <f>IF(VLOOKUP($D16,$C$5:$AJ$596,32,)=0,0,((VLOOKUP($D16,$C$5:$AJ$596,32,)/VLOOKUP($D16,$C$5:$AJ$596,4,))*$F16))</f>
        <v>0</v>
      </c>
      <c r="AI16" s="33"/>
      <c r="AJ16" s="33">
        <f>IF(VLOOKUP($D16,$C$5:$AJ$596,34,)=0,0,((VLOOKUP($D16,$C$5:$AJ$596,34,)/VLOOKUP($D16,$C$5:$AJ$596,4,))*$F16))</f>
        <v>0</v>
      </c>
      <c r="AK16" s="33">
        <f>SUM(H16:AJ16)</f>
        <v>3418275071.1431885</v>
      </c>
      <c r="AL16" s="30" t="str">
        <f>IF(ABS(AK16-F16)&lt;1,"ok","err")</f>
        <v>ok</v>
      </c>
    </row>
    <row r="17" spans="1:38" x14ac:dyDescent="0.25">
      <c r="AL17" s="30"/>
    </row>
    <row r="18" spans="1:38" x14ac:dyDescent="0.25">
      <c r="A18" s="3" t="s">
        <v>1543</v>
      </c>
      <c r="Y18" s="29"/>
      <c r="AL18" s="30"/>
    </row>
    <row r="19" spans="1:38" x14ac:dyDescent="0.25">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3"/>
      <c r="AL19" s="30"/>
    </row>
    <row r="20" spans="1:38" x14ac:dyDescent="0.25">
      <c r="B20" s="29" t="s">
        <v>1544</v>
      </c>
      <c r="C20" s="29" t="s">
        <v>1545</v>
      </c>
      <c r="D20" s="29" t="s">
        <v>682</v>
      </c>
      <c r="F20" s="34">
        <f>'Jurisdictional Study'!F628-605372</f>
        <v>40503711.073642947</v>
      </c>
      <c r="G20" s="34"/>
      <c r="H20" s="33">
        <f>IF(VLOOKUP($D20,$C$5:$AJ$596,6,)=0,0,((VLOOKUP($D20,$C$5:$AJ$596,6,)/VLOOKUP($D20,$C$5:$AJ$596,4,))*$F20))</f>
        <v>40503711.073642947</v>
      </c>
      <c r="I20" s="33">
        <f>IF(VLOOKUP($D20,$C$5:$AJ$596,7,)=0,0,((VLOOKUP($D20,$C$5:$AJ$596,7,)/VLOOKUP($D20,$C$5:$AJ$596,4,))*$F20))</f>
        <v>0</v>
      </c>
      <c r="J20" s="33">
        <f>IF(VLOOKUP($D20,$C$5:$AJ$596,8,)=0,0,((VLOOKUP($D20,$C$5:$AJ$596,8,)/VLOOKUP($D20,$C$5:$AJ$596,4,))*$F20))</f>
        <v>0</v>
      </c>
      <c r="K20" s="33">
        <f>IF(VLOOKUP($D20,$C$5:$AJ$596,9,)=0,0,((VLOOKUP($D20,$C$5:$AJ$596,9,)/VLOOKUP($D20,$C$5:$AJ$596,4,))*$F20))</f>
        <v>0</v>
      </c>
      <c r="L20" s="33">
        <f>IF(VLOOKUP($D20,$C$5:$AJ$596,10,)=0,0,((VLOOKUP($D20,$C$5:$AJ$596,10,)/VLOOKUP($D20,$C$5:$AJ$596,4,))*$F20))</f>
        <v>0</v>
      </c>
      <c r="M20" s="33">
        <f>IF(VLOOKUP($D20,$C$5:$AJ$596,11,)=0,0,((VLOOKUP($D20,$C$5:$AJ$596,11,)/VLOOKUP($D20,$C$5:$AJ$596,4,))*$F20))</f>
        <v>0</v>
      </c>
      <c r="N20" s="33"/>
      <c r="O20" s="33">
        <f>IF(VLOOKUP($D20,$C$5:$AJ$596,13,)=0,0,((VLOOKUP($D20,$C$5:$AJ$596,13,)/VLOOKUP($D20,$C$5:$AJ$596,4,))*$F20))</f>
        <v>0</v>
      </c>
      <c r="P20" s="33">
        <f>IF(VLOOKUP($D20,$C$5:$AJ$596,14,)=0,0,((VLOOKUP($D20,$C$5:$AJ$596,14,)/VLOOKUP($D20,$C$5:$AJ$596,4,))*$F20))</f>
        <v>0</v>
      </c>
      <c r="Q20" s="33">
        <f>IF(VLOOKUP($D20,$C$5:$AJ$596,15,)=0,0,((VLOOKUP($D20,$C$5:$AJ$596,15,)/VLOOKUP($D20,$C$5:$AJ$596,4,))*$F20))</f>
        <v>0</v>
      </c>
      <c r="R20" s="33"/>
      <c r="S20" s="33">
        <f>IF(VLOOKUP($D20,$C$5:$AJ$596,17,)=0,0,((VLOOKUP($D20,$C$5:$AJ$596,17,)/VLOOKUP($D20,$C$5:$AJ$596,4,))*$F20))</f>
        <v>0</v>
      </c>
      <c r="T20" s="33">
        <f>IF(VLOOKUP($D20,$C$5:$AJ$596,18,)=0,0,((VLOOKUP($D20,$C$5:$AJ$596,18,)/VLOOKUP($D20,$C$5:$AJ$596,4,))*$F20))</f>
        <v>0</v>
      </c>
      <c r="U20" s="33">
        <f>IF(VLOOKUP($D20,$C$5:$AJ$596,19,)=0,0,((VLOOKUP($D20,$C$5:$AJ$596,19,)/VLOOKUP($D20,$C$5:$AJ$596,4,))*$F20))</f>
        <v>0</v>
      </c>
      <c r="V20" s="33">
        <f>IF(VLOOKUP($D20,$C$5:$AJ$596,20,)=0,0,((VLOOKUP($D20,$C$5:$AJ$596,20,)/VLOOKUP($D20,$C$5:$AJ$596,4,))*$F20))</f>
        <v>0</v>
      </c>
      <c r="W20" s="33">
        <f>IF(VLOOKUP($D20,$C$5:$AJ$596,21,)=0,0,((VLOOKUP($D20,$C$5:$AJ$596,21,)/VLOOKUP($D20,$C$5:$AJ$596,4,))*$F20))</f>
        <v>0</v>
      </c>
      <c r="X20" s="33">
        <f>IF(VLOOKUP($D20,$C$5:$AJ$596,22,)=0,0,((VLOOKUP($D20,$C$5:$AJ$596,22,)/VLOOKUP($D20,$C$5:$AJ$596,4,))*$F20))</f>
        <v>0</v>
      </c>
      <c r="Y20" s="33">
        <f>IF(VLOOKUP($D20,$C$5:$AJ$596,23,)=0,0,((VLOOKUP($D20,$C$5:$AJ$596,23,)/VLOOKUP($D20,$C$5:$AJ$596,4,))*$F20))</f>
        <v>0</v>
      </c>
      <c r="Z20" s="33">
        <f>IF(VLOOKUP($D20,$C$5:$AJ$596,24,)=0,0,((VLOOKUP($D20,$C$5:$AJ$596,24,)/VLOOKUP($D20,$C$5:$AJ$596,4,))*$F20))</f>
        <v>0</v>
      </c>
      <c r="AA20" s="33">
        <f>IF(VLOOKUP($D20,$C$5:$AJ$596,25,)=0,0,((VLOOKUP($D20,$C$5:$AJ$596,25,)/VLOOKUP($D20,$C$5:$AJ$596,4,))*$F20))</f>
        <v>0</v>
      </c>
      <c r="AB20" s="33">
        <f>IF(VLOOKUP($D20,$C$5:$AJ$596,26,)=0,0,((VLOOKUP($D20,$C$5:$AJ$596,26,)/VLOOKUP($D20,$C$5:$AJ$596,4,))*$F20))</f>
        <v>0</v>
      </c>
      <c r="AC20" s="33">
        <f>IF(VLOOKUP($D20,$C$5:$AJ$596,27,)=0,0,((VLOOKUP($D20,$C$5:$AJ$596,27,)/VLOOKUP($D20,$C$5:$AJ$596,4,))*$F20))</f>
        <v>0</v>
      </c>
      <c r="AD20" s="33">
        <f>IF(VLOOKUP($D20,$C$5:$AJ$596,28,)=0,0,((VLOOKUP($D20,$C$5:$AJ$596,28,)/VLOOKUP($D20,$C$5:$AJ$596,4,))*$F20))</f>
        <v>0</v>
      </c>
      <c r="AE20" s="33"/>
      <c r="AF20" s="33">
        <f>IF(VLOOKUP($D20,$C$5:$AJ$596,30,)=0,0,((VLOOKUP($D20,$C$5:$AJ$596,30,)/VLOOKUP($D20,$C$5:$AJ$596,4,))*$F20))</f>
        <v>0</v>
      </c>
      <c r="AG20" s="33"/>
      <c r="AH20" s="33">
        <f>IF(VLOOKUP($D20,$C$5:$AJ$596,32,)=0,0,((VLOOKUP($D20,$C$5:$AJ$596,32,)/VLOOKUP($D20,$C$5:$AJ$596,4,))*$F20))</f>
        <v>0</v>
      </c>
      <c r="AI20" s="33"/>
      <c r="AJ20" s="33">
        <f>IF(VLOOKUP($D20,$C$5:$AJ$596,34,)=0,0,((VLOOKUP($D20,$C$5:$AJ$596,34,)/VLOOKUP($D20,$C$5:$AJ$596,4,))*$F20))</f>
        <v>0</v>
      </c>
      <c r="AK20" s="33">
        <f>SUM(H20:AJ20)</f>
        <v>40503711.073642947</v>
      </c>
      <c r="AL20" s="30" t="str">
        <f>IF(ABS(AK20-F20)&lt;1,"ok","err")</f>
        <v>ok</v>
      </c>
    </row>
    <row r="21" spans="1:38" x14ac:dyDescent="0.25">
      <c r="AL21" s="30"/>
    </row>
    <row r="22" spans="1:38" x14ac:dyDescent="0.25">
      <c r="A22" s="3" t="s">
        <v>1441</v>
      </c>
      <c r="Y22" s="29"/>
      <c r="AL22" s="30"/>
    </row>
    <row r="23" spans="1:38" x14ac:dyDescent="0.25">
      <c r="D23" s="13"/>
      <c r="E23" s="13"/>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3"/>
      <c r="AL23" s="30"/>
    </row>
    <row r="24" spans="1:38" x14ac:dyDescent="0.25">
      <c r="B24" s="29" t="s">
        <v>1442</v>
      </c>
      <c r="C24" s="29" t="s">
        <v>1443</v>
      </c>
      <c r="D24" s="13" t="s">
        <v>682</v>
      </c>
      <c r="E24" s="13"/>
      <c r="F24" s="34">
        <f>'Jurisdictional Study'!F641-381520</f>
        <v>1001258639.5740763</v>
      </c>
      <c r="G24" s="34"/>
      <c r="H24" s="33">
        <f>IF(VLOOKUP($D24,$C$5:$AJ$596,6,)=0,0,((VLOOKUP($D24,$C$5:$AJ$596,6,)/VLOOKUP($D24,$C$5:$AJ$596,4,))*$F24))</f>
        <v>1001258639.5740763</v>
      </c>
      <c r="I24" s="33">
        <f>IF(VLOOKUP($D24,$C$5:$AJ$596,7,)=0,0,((VLOOKUP($D24,$C$5:$AJ$596,7,)/VLOOKUP($D24,$C$5:$AJ$596,4,))*$F24))</f>
        <v>0</v>
      </c>
      <c r="J24" s="33">
        <f>IF(VLOOKUP($D24,$C$5:$AJ$596,8,)=0,0,((VLOOKUP($D24,$C$5:$AJ$596,8,)/VLOOKUP($D24,$C$5:$AJ$596,4,))*$F24))</f>
        <v>0</v>
      </c>
      <c r="K24" s="33">
        <f>IF(VLOOKUP($D24,$C$5:$AJ$596,9,)=0,0,((VLOOKUP($D24,$C$5:$AJ$596,9,)/VLOOKUP($D24,$C$5:$AJ$596,4,))*$F24))</f>
        <v>0</v>
      </c>
      <c r="L24" s="33">
        <f>IF(VLOOKUP($D24,$C$5:$AJ$596,10,)=0,0,((VLOOKUP($D24,$C$5:$AJ$596,10,)/VLOOKUP($D24,$C$5:$AJ$596,4,))*$F24))</f>
        <v>0</v>
      </c>
      <c r="M24" s="33">
        <f>IF(VLOOKUP($D24,$C$5:$AJ$596,11,)=0,0,((VLOOKUP($D24,$C$5:$AJ$596,11,)/VLOOKUP($D24,$C$5:$AJ$596,4,))*$F24))</f>
        <v>0</v>
      </c>
      <c r="N24" s="33"/>
      <c r="O24" s="33">
        <f>IF(VLOOKUP($D24,$C$5:$AJ$596,13,)=0,0,((VLOOKUP($D24,$C$5:$AJ$596,13,)/VLOOKUP($D24,$C$5:$AJ$596,4,))*$F24))</f>
        <v>0</v>
      </c>
      <c r="P24" s="33">
        <f>IF(VLOOKUP($D24,$C$5:$AJ$596,14,)=0,0,((VLOOKUP($D24,$C$5:$AJ$596,14,)/VLOOKUP($D24,$C$5:$AJ$596,4,))*$F24))</f>
        <v>0</v>
      </c>
      <c r="Q24" s="33">
        <f>IF(VLOOKUP($D24,$C$5:$AJ$596,15,)=0,0,((VLOOKUP($D24,$C$5:$AJ$596,15,)/VLOOKUP($D24,$C$5:$AJ$596,4,))*$F24))</f>
        <v>0</v>
      </c>
      <c r="R24" s="33"/>
      <c r="S24" s="33">
        <f>IF(VLOOKUP($D24,$C$5:$AJ$596,17,)=0,0,((VLOOKUP($D24,$C$5:$AJ$596,17,)/VLOOKUP($D24,$C$5:$AJ$596,4,))*$F24))</f>
        <v>0</v>
      </c>
      <c r="T24" s="33">
        <f>IF(VLOOKUP($D24,$C$5:$AJ$596,18,)=0,0,((VLOOKUP($D24,$C$5:$AJ$596,18,)/VLOOKUP($D24,$C$5:$AJ$596,4,))*$F24))</f>
        <v>0</v>
      </c>
      <c r="U24" s="33">
        <f>IF(VLOOKUP($D24,$C$5:$AJ$596,19,)=0,0,((VLOOKUP($D24,$C$5:$AJ$596,19,)/VLOOKUP($D24,$C$5:$AJ$596,4,))*$F24))</f>
        <v>0</v>
      </c>
      <c r="V24" s="33">
        <f>IF(VLOOKUP($D24,$C$5:$AJ$596,20,)=0,0,((VLOOKUP($D24,$C$5:$AJ$596,20,)/VLOOKUP($D24,$C$5:$AJ$596,4,))*$F24))</f>
        <v>0</v>
      </c>
      <c r="W24" s="33">
        <f>IF(VLOOKUP($D24,$C$5:$AJ$596,21,)=0,0,((VLOOKUP($D24,$C$5:$AJ$596,21,)/VLOOKUP($D24,$C$5:$AJ$596,4,))*$F24))</f>
        <v>0</v>
      </c>
      <c r="X24" s="33">
        <f>IF(VLOOKUP($D24,$C$5:$AJ$596,22,)=0,0,((VLOOKUP($D24,$C$5:$AJ$596,22,)/VLOOKUP($D24,$C$5:$AJ$596,4,))*$F24))</f>
        <v>0</v>
      </c>
      <c r="Y24" s="33">
        <f>IF(VLOOKUP($D24,$C$5:$AJ$596,23,)=0,0,((VLOOKUP($D24,$C$5:$AJ$596,23,)/VLOOKUP($D24,$C$5:$AJ$596,4,))*$F24))</f>
        <v>0</v>
      </c>
      <c r="Z24" s="33">
        <f>IF(VLOOKUP($D24,$C$5:$AJ$596,24,)=0,0,((VLOOKUP($D24,$C$5:$AJ$596,24,)/VLOOKUP($D24,$C$5:$AJ$596,4,))*$F24))</f>
        <v>0</v>
      </c>
      <c r="AA24" s="33">
        <f>IF(VLOOKUP($D24,$C$5:$AJ$596,25,)=0,0,((VLOOKUP($D24,$C$5:$AJ$596,25,)/VLOOKUP($D24,$C$5:$AJ$596,4,))*$F24))</f>
        <v>0</v>
      </c>
      <c r="AB24" s="33">
        <f>IF(VLOOKUP($D24,$C$5:$AJ$596,26,)=0,0,((VLOOKUP($D24,$C$5:$AJ$596,26,)/VLOOKUP($D24,$C$5:$AJ$596,4,))*$F24))</f>
        <v>0</v>
      </c>
      <c r="AC24" s="33">
        <f>IF(VLOOKUP($D24,$C$5:$AJ$596,27,)=0,0,((VLOOKUP($D24,$C$5:$AJ$596,27,)/VLOOKUP($D24,$C$5:$AJ$596,4,))*$F24))</f>
        <v>0</v>
      </c>
      <c r="AD24" s="33">
        <f>IF(VLOOKUP($D24,$C$5:$AJ$596,28,)=0,0,((VLOOKUP($D24,$C$5:$AJ$596,28,)/VLOOKUP($D24,$C$5:$AJ$596,4,))*$F24))</f>
        <v>0</v>
      </c>
      <c r="AE24" s="33"/>
      <c r="AF24" s="33">
        <f>IF(VLOOKUP($D24,$C$5:$AJ$596,30,)=0,0,((VLOOKUP($D24,$C$5:$AJ$596,30,)/VLOOKUP($D24,$C$5:$AJ$596,4,))*$F24))</f>
        <v>0</v>
      </c>
      <c r="AG24" s="33"/>
      <c r="AH24" s="33">
        <f>IF(VLOOKUP($D24,$C$5:$AJ$596,32,)=0,0,((VLOOKUP($D24,$C$5:$AJ$596,32,)/VLOOKUP($D24,$C$5:$AJ$596,4,))*$F24))</f>
        <v>0</v>
      </c>
      <c r="AI24" s="33"/>
      <c r="AJ24" s="33">
        <f>IF(VLOOKUP($D24,$C$5:$AJ$596,34,)=0,0,((VLOOKUP($D24,$C$5:$AJ$596,34,)/VLOOKUP($D24,$C$5:$AJ$596,4,))*$F24))</f>
        <v>0</v>
      </c>
      <c r="AK24" s="33">
        <f>SUM(H24:AJ24)</f>
        <v>1001258639.5740763</v>
      </c>
      <c r="AL24" s="30" t="str">
        <f>IF(ABS(AK24-F24)&lt;1,"ok","err")</f>
        <v>ok</v>
      </c>
    </row>
    <row r="25" spans="1:38" x14ac:dyDescent="0.25">
      <c r="D25" s="105"/>
      <c r="E25" s="13"/>
      <c r="AL25" s="30"/>
    </row>
    <row r="26" spans="1:38" x14ac:dyDescent="0.25">
      <c r="B26" s="4" t="s">
        <v>1444</v>
      </c>
      <c r="C26" s="29" t="s">
        <v>1445</v>
      </c>
      <c r="D26" s="13"/>
      <c r="E26" s="13"/>
      <c r="F26" s="34">
        <f>F16+F20+F24</f>
        <v>4460037421.7909079</v>
      </c>
      <c r="G26" s="34"/>
      <c r="H26" s="34">
        <f t="shared" ref="H26:AJ26" si="2">H16+H20+H24</f>
        <v>4460037421.7909079</v>
      </c>
      <c r="I26" s="34">
        <f t="shared" si="2"/>
        <v>0</v>
      </c>
      <c r="J26" s="34">
        <f t="shared" si="2"/>
        <v>0</v>
      </c>
      <c r="K26" s="34">
        <f t="shared" si="2"/>
        <v>0</v>
      </c>
      <c r="L26" s="34">
        <f t="shared" si="2"/>
        <v>0</v>
      </c>
      <c r="M26" s="34">
        <f t="shared" si="2"/>
        <v>0</v>
      </c>
      <c r="N26" s="34"/>
      <c r="O26" s="34">
        <f t="shared" si="2"/>
        <v>0</v>
      </c>
      <c r="P26" s="34">
        <f>P16+P20+P24</f>
        <v>0</v>
      </c>
      <c r="Q26" s="34">
        <f>Q16+Q20+Q24</f>
        <v>0</v>
      </c>
      <c r="R26" s="34"/>
      <c r="S26" s="34">
        <f t="shared" si="2"/>
        <v>0</v>
      </c>
      <c r="T26" s="34"/>
      <c r="U26" s="34">
        <f t="shared" si="2"/>
        <v>0</v>
      </c>
      <c r="V26" s="34">
        <f t="shared" si="2"/>
        <v>0</v>
      </c>
      <c r="W26" s="34"/>
      <c r="X26" s="34"/>
      <c r="Y26" s="34"/>
      <c r="Z26" s="34">
        <f t="shared" si="2"/>
        <v>0</v>
      </c>
      <c r="AA26" s="34">
        <f t="shared" si="2"/>
        <v>0</v>
      </c>
      <c r="AB26" s="34"/>
      <c r="AC26" s="34"/>
      <c r="AD26" s="34">
        <f t="shared" si="2"/>
        <v>0</v>
      </c>
      <c r="AE26" s="34"/>
      <c r="AF26" s="34">
        <f t="shared" si="2"/>
        <v>0</v>
      </c>
      <c r="AG26" s="34"/>
      <c r="AH26" s="34">
        <f t="shared" si="2"/>
        <v>0</v>
      </c>
      <c r="AI26" s="34"/>
      <c r="AJ26" s="34">
        <f t="shared" si="2"/>
        <v>0</v>
      </c>
      <c r="AK26" s="33">
        <f>SUM(H26:AJ26)</f>
        <v>4460037421.7909079</v>
      </c>
      <c r="AL26" s="30" t="str">
        <f>IF(ABS(AK26-F26)&lt;1,"ok","err")</f>
        <v>ok</v>
      </c>
    </row>
    <row r="27" spans="1:38" x14ac:dyDescent="0.25">
      <c r="D27" s="13"/>
      <c r="E27" s="13"/>
      <c r="AL27" s="30"/>
    </row>
    <row r="28" spans="1:38" x14ac:dyDescent="0.25">
      <c r="A28" s="3" t="s">
        <v>424</v>
      </c>
      <c r="D28" s="164"/>
      <c r="E28" s="17"/>
      <c r="Y28" s="29"/>
      <c r="AL28" s="30"/>
    </row>
    <row r="29" spans="1:38" x14ac:dyDescent="0.25">
      <c r="A29" s="35"/>
      <c r="B29" s="29" t="s">
        <v>1546</v>
      </c>
      <c r="C29" s="29" t="s">
        <v>425</v>
      </c>
      <c r="D29" s="139" t="s">
        <v>455</v>
      </c>
      <c r="E29" s="14"/>
      <c r="F29" s="32">
        <f>'Jurisdictional Study'!F660-527182</f>
        <v>1024885703.8886671</v>
      </c>
      <c r="G29" s="32"/>
      <c r="H29" s="33">
        <f>IF(VLOOKUP($D29,$C$5:$AJ$596,6,)=0,0,((VLOOKUP($D29,$C$5:$AJ$596,6,)/VLOOKUP($D29,$C$5:$AJ$596,4,))*$F29))</f>
        <v>0</v>
      </c>
      <c r="I29" s="33">
        <f>IF(VLOOKUP($D29,$C$5:$AJ$596,7,)=0,0,((VLOOKUP($D29,$C$5:$AJ$596,7,)/VLOOKUP($D29,$C$5:$AJ$596,4,))*$F29))</f>
        <v>0</v>
      </c>
      <c r="J29" s="33">
        <f>IF(VLOOKUP($D29,$C$5:$AJ$596,8,)=0,0,((VLOOKUP($D29,$C$5:$AJ$596,8,)/VLOOKUP($D29,$C$5:$AJ$596,4,))*$F29))</f>
        <v>0</v>
      </c>
      <c r="K29" s="33">
        <f>IF(VLOOKUP($D29,$C$5:$AJ$596,9,)=0,0,((VLOOKUP($D29,$C$5:$AJ$596,9,)/VLOOKUP($D29,$C$5:$AJ$596,4,))*$F29))</f>
        <v>0</v>
      </c>
      <c r="L29" s="33">
        <f>IF(VLOOKUP($D29,$C$5:$AJ$596,10,)=0,0,((VLOOKUP($D29,$C$5:$AJ$596,10,)/VLOOKUP($D29,$C$5:$AJ$596,4,))*$F29))</f>
        <v>0</v>
      </c>
      <c r="M29" s="33">
        <f>IF(VLOOKUP($D29,$C$5:$AJ$596,11,)=0,0,((VLOOKUP($D29,$C$5:$AJ$596,11,)/VLOOKUP($D29,$C$5:$AJ$596,4,))*$F29))</f>
        <v>0</v>
      </c>
      <c r="N29" s="33"/>
      <c r="O29" s="33">
        <f>IF(VLOOKUP($D29,$C$5:$AJ$596,13,)=0,0,((VLOOKUP($D29,$C$5:$AJ$596,13,)/VLOOKUP($D29,$C$5:$AJ$596,4,))*$F29))</f>
        <v>1024885703.8886671</v>
      </c>
      <c r="P29" s="33">
        <f>IF(VLOOKUP($D29,$C$5:$AJ$596,14,)=0,0,((VLOOKUP($D29,$C$5:$AJ$596,14,)/VLOOKUP($D29,$C$5:$AJ$596,4,))*$F29))</f>
        <v>0</v>
      </c>
      <c r="Q29" s="33">
        <f>IF(VLOOKUP($D29,$C$5:$AJ$596,15,)=0,0,((VLOOKUP($D29,$C$5:$AJ$596,15,)/VLOOKUP($D29,$C$5:$AJ$596,4,))*$F29))</f>
        <v>0</v>
      </c>
      <c r="R29" s="33"/>
      <c r="S29" s="33">
        <f>IF(VLOOKUP($D29,$C$5:$AJ$596,17,)=0,0,((VLOOKUP($D29,$C$5:$AJ$596,17,)/VLOOKUP($D29,$C$5:$AJ$596,4,))*$F29))</f>
        <v>0</v>
      </c>
      <c r="T29" s="33">
        <f>IF(VLOOKUP($D29,$C$5:$AJ$596,18,)=0,0,((VLOOKUP($D29,$C$5:$AJ$596,18,)/VLOOKUP($D29,$C$5:$AJ$596,4,))*$F29))</f>
        <v>0</v>
      </c>
      <c r="U29" s="33">
        <f>IF(VLOOKUP($D29,$C$5:$AJ$596,19,)=0,0,((VLOOKUP($D29,$C$5:$AJ$596,19,)/VLOOKUP($D29,$C$5:$AJ$596,4,))*$F29))</f>
        <v>0</v>
      </c>
      <c r="V29" s="33">
        <f>IF(VLOOKUP($D29,$C$5:$AJ$596,20,)=0,0,((VLOOKUP($D29,$C$5:$AJ$596,20,)/VLOOKUP($D29,$C$5:$AJ$596,4,))*$F29))</f>
        <v>0</v>
      </c>
      <c r="W29" s="33">
        <f>IF(VLOOKUP($D29,$C$5:$AJ$596,21,)=0,0,((VLOOKUP($D29,$C$5:$AJ$596,21,)/VLOOKUP($D29,$C$5:$AJ$596,4,))*$F29))</f>
        <v>0</v>
      </c>
      <c r="X29" s="33">
        <f>IF(VLOOKUP($D29,$C$5:$AJ$596,22,)=0,0,((VLOOKUP($D29,$C$5:$AJ$596,22,)/VLOOKUP($D29,$C$5:$AJ$596,4,))*$F29))</f>
        <v>0</v>
      </c>
      <c r="Y29" s="33">
        <f>IF(VLOOKUP($D29,$C$5:$AJ$596,23,)=0,0,((VLOOKUP($D29,$C$5:$AJ$596,23,)/VLOOKUP($D29,$C$5:$AJ$596,4,))*$F29))</f>
        <v>0</v>
      </c>
      <c r="Z29" s="33">
        <f>IF(VLOOKUP($D29,$C$5:$AJ$596,24,)=0,0,((VLOOKUP($D29,$C$5:$AJ$596,24,)/VLOOKUP($D29,$C$5:$AJ$596,4,))*$F29))</f>
        <v>0</v>
      </c>
      <c r="AA29" s="33">
        <f>IF(VLOOKUP($D29,$C$5:$AJ$596,25,)=0,0,((VLOOKUP($D29,$C$5:$AJ$596,25,)/VLOOKUP($D29,$C$5:$AJ$596,4,))*$F29))</f>
        <v>0</v>
      </c>
      <c r="AB29" s="33">
        <f>IF(VLOOKUP($D29,$C$5:$AJ$596,26,)=0,0,((VLOOKUP($D29,$C$5:$AJ$596,26,)/VLOOKUP($D29,$C$5:$AJ$596,4,))*$F29))</f>
        <v>0</v>
      </c>
      <c r="AC29" s="33">
        <f>IF(VLOOKUP($D29,$C$5:$AJ$596,27,)=0,0,((VLOOKUP($D29,$C$5:$AJ$596,27,)/VLOOKUP($D29,$C$5:$AJ$596,4,))*$F29))</f>
        <v>0</v>
      </c>
      <c r="AD29" s="33">
        <f>IF(VLOOKUP($D29,$C$5:$AJ$596,28,)=0,0,((VLOOKUP($D29,$C$5:$AJ$596,28,)/VLOOKUP($D29,$C$5:$AJ$596,4,))*$F29))</f>
        <v>0</v>
      </c>
      <c r="AE29" s="33"/>
      <c r="AF29" s="33">
        <f>IF(VLOOKUP($D29,$C$5:$AJ$596,30,)=0,0,((VLOOKUP($D29,$C$5:$AJ$596,30,)/VLOOKUP($D29,$C$5:$AJ$596,4,))*$F29))</f>
        <v>0</v>
      </c>
      <c r="AG29" s="33"/>
      <c r="AH29" s="33">
        <f>IF(VLOOKUP($D29,$C$5:$AJ$596,32,)=0,0,((VLOOKUP($D29,$C$5:$AJ$596,32,)/VLOOKUP($D29,$C$5:$AJ$596,4,))*$F29))</f>
        <v>0</v>
      </c>
      <c r="AI29" s="33"/>
      <c r="AJ29" s="33">
        <f>IF(VLOOKUP($D29,$C$5:$AJ$596,34,)=0,0,((VLOOKUP($D29,$C$5:$AJ$596,34,)/VLOOKUP($D29,$C$5:$AJ$596,4,))*$F29))</f>
        <v>0</v>
      </c>
      <c r="AK29" s="33">
        <f>SUM(H29:AJ29)</f>
        <v>1024885703.8886671</v>
      </c>
      <c r="AL29" s="30" t="str">
        <f>IF(ABS(AK29-F29)&lt;1,"ok","err")</f>
        <v>ok</v>
      </c>
    </row>
    <row r="30" spans="1:38" x14ac:dyDescent="0.25">
      <c r="A30" s="35"/>
      <c r="B30" s="29" t="s">
        <v>1547</v>
      </c>
      <c r="C30" s="29" t="s">
        <v>1263</v>
      </c>
      <c r="D30" s="139" t="s">
        <v>455</v>
      </c>
      <c r="E30" s="14"/>
      <c r="F30" s="33">
        <f>'Jurisdictional Study'!F680</f>
        <v>8230402.9915529564</v>
      </c>
      <c r="G30" s="32"/>
      <c r="H30" s="33">
        <f>IF(VLOOKUP($D30,$C$5:$AJ$596,6,)=0,0,((VLOOKUP($D30,$C$5:$AJ$596,6,)/VLOOKUP($D30,$C$5:$AJ$596,4,))*$F30))</f>
        <v>0</v>
      </c>
      <c r="I30" s="33">
        <f>IF(VLOOKUP($D30,$C$5:$AJ$596,7,)=0,0,((VLOOKUP($D30,$C$5:$AJ$596,7,)/VLOOKUP($D30,$C$5:$AJ$596,4,))*$F30))</f>
        <v>0</v>
      </c>
      <c r="J30" s="33">
        <f>IF(VLOOKUP($D30,$C$5:$AJ$596,8,)=0,0,((VLOOKUP($D30,$C$5:$AJ$596,8,)/VLOOKUP($D30,$C$5:$AJ$596,4,))*$F30))</f>
        <v>0</v>
      </c>
      <c r="K30" s="33">
        <f>IF(VLOOKUP($D30,$C$5:$AJ$596,9,)=0,0,((VLOOKUP($D30,$C$5:$AJ$596,9,)/VLOOKUP($D30,$C$5:$AJ$596,4,))*$F30))</f>
        <v>0</v>
      </c>
      <c r="L30" s="33">
        <f>IF(VLOOKUP($D30,$C$5:$AJ$596,10,)=0,0,((VLOOKUP($D30,$C$5:$AJ$596,10,)/VLOOKUP($D30,$C$5:$AJ$596,4,))*$F30))</f>
        <v>0</v>
      </c>
      <c r="M30" s="33">
        <f>IF(VLOOKUP($D30,$C$5:$AJ$596,11,)=0,0,((VLOOKUP($D30,$C$5:$AJ$596,11,)/VLOOKUP($D30,$C$5:$AJ$596,4,))*$F30))</f>
        <v>0</v>
      </c>
      <c r="N30" s="33"/>
      <c r="O30" s="33">
        <f>IF(VLOOKUP($D30,$C$5:$AJ$596,13,)=0,0,((VLOOKUP($D30,$C$5:$AJ$596,13,)/VLOOKUP($D30,$C$5:$AJ$596,4,))*$F30))</f>
        <v>8230402.9915529564</v>
      </c>
      <c r="P30" s="33">
        <f>IF(VLOOKUP($D30,$C$5:$AJ$596,14,)=0,0,((VLOOKUP($D30,$C$5:$AJ$596,14,)/VLOOKUP($D30,$C$5:$AJ$596,4,))*$F30))</f>
        <v>0</v>
      </c>
      <c r="Q30" s="33">
        <f>IF(VLOOKUP($D30,$C$5:$AJ$596,15,)=0,0,((VLOOKUP($D30,$C$5:$AJ$596,15,)/VLOOKUP($D30,$C$5:$AJ$596,4,))*$F30))</f>
        <v>0</v>
      </c>
      <c r="R30" s="33"/>
      <c r="S30" s="33">
        <f>IF(VLOOKUP($D30,$C$5:$AJ$596,17,)=0,0,((VLOOKUP($D30,$C$5:$AJ$596,17,)/VLOOKUP($D30,$C$5:$AJ$596,4,))*$F30))</f>
        <v>0</v>
      </c>
      <c r="T30" s="33">
        <f>IF(VLOOKUP($D30,$C$5:$AJ$596,18,)=0,0,((VLOOKUP($D30,$C$5:$AJ$596,18,)/VLOOKUP($D30,$C$5:$AJ$596,4,))*$F30))</f>
        <v>0</v>
      </c>
      <c r="U30" s="33">
        <f>IF(VLOOKUP($D30,$C$5:$AJ$596,19,)=0,0,((VLOOKUP($D30,$C$5:$AJ$596,19,)/VLOOKUP($D30,$C$5:$AJ$596,4,))*$F30))</f>
        <v>0</v>
      </c>
      <c r="V30" s="33">
        <f>IF(VLOOKUP($D30,$C$5:$AJ$596,20,)=0,0,((VLOOKUP($D30,$C$5:$AJ$596,20,)/VLOOKUP($D30,$C$5:$AJ$596,4,))*$F30))</f>
        <v>0</v>
      </c>
      <c r="W30" s="33">
        <f>IF(VLOOKUP($D30,$C$5:$AJ$596,21,)=0,0,((VLOOKUP($D30,$C$5:$AJ$596,21,)/VLOOKUP($D30,$C$5:$AJ$596,4,))*$F30))</f>
        <v>0</v>
      </c>
      <c r="X30" s="33">
        <f>IF(VLOOKUP($D30,$C$5:$AJ$596,22,)=0,0,((VLOOKUP($D30,$C$5:$AJ$596,22,)/VLOOKUP($D30,$C$5:$AJ$596,4,))*$F30))</f>
        <v>0</v>
      </c>
      <c r="Y30" s="33">
        <f>IF(VLOOKUP($D30,$C$5:$AJ$596,23,)=0,0,((VLOOKUP($D30,$C$5:$AJ$596,23,)/VLOOKUP($D30,$C$5:$AJ$596,4,))*$F30))</f>
        <v>0</v>
      </c>
      <c r="Z30" s="33">
        <f>IF(VLOOKUP($D30,$C$5:$AJ$596,24,)=0,0,((VLOOKUP($D30,$C$5:$AJ$596,24,)/VLOOKUP($D30,$C$5:$AJ$596,4,))*$F30))</f>
        <v>0</v>
      </c>
      <c r="AA30" s="33">
        <f>IF(VLOOKUP($D30,$C$5:$AJ$596,25,)=0,0,((VLOOKUP($D30,$C$5:$AJ$596,25,)/VLOOKUP($D30,$C$5:$AJ$596,4,))*$F30))</f>
        <v>0</v>
      </c>
      <c r="AB30" s="33">
        <f>IF(VLOOKUP($D30,$C$5:$AJ$596,26,)=0,0,((VLOOKUP($D30,$C$5:$AJ$596,26,)/VLOOKUP($D30,$C$5:$AJ$596,4,))*$F30))</f>
        <v>0</v>
      </c>
      <c r="AC30" s="33">
        <f>IF(VLOOKUP($D30,$C$5:$AJ$596,27,)=0,0,((VLOOKUP($D30,$C$5:$AJ$596,27,)/VLOOKUP($D30,$C$5:$AJ$596,4,))*$F30))</f>
        <v>0</v>
      </c>
      <c r="AD30" s="33">
        <f>IF(VLOOKUP($D30,$C$5:$AJ$596,28,)=0,0,((VLOOKUP($D30,$C$5:$AJ$596,28,)/VLOOKUP($D30,$C$5:$AJ$596,4,))*$F30))</f>
        <v>0</v>
      </c>
      <c r="AE30" s="33"/>
      <c r="AF30" s="33">
        <f>IF(VLOOKUP($D30,$C$5:$AJ$596,30,)=0,0,((VLOOKUP($D30,$C$5:$AJ$596,30,)/VLOOKUP($D30,$C$5:$AJ$596,4,))*$F30))</f>
        <v>0</v>
      </c>
      <c r="AG30" s="33"/>
      <c r="AH30" s="33">
        <f>IF(VLOOKUP($D30,$C$5:$AJ$596,32,)=0,0,((VLOOKUP($D30,$C$5:$AJ$596,32,)/VLOOKUP($D30,$C$5:$AJ$596,4,))*$F30))</f>
        <v>0</v>
      </c>
      <c r="AI30" s="33"/>
      <c r="AJ30" s="33">
        <f>IF(VLOOKUP($D30,$C$5:$AJ$596,34,)=0,0,((VLOOKUP($D30,$C$5:$AJ$596,34,)/VLOOKUP($D30,$C$5:$AJ$596,4,))*$F30))</f>
        <v>0</v>
      </c>
      <c r="AK30" s="33">
        <f>SUM(H30:AJ30)</f>
        <v>8230402.9915529564</v>
      </c>
      <c r="AL30" s="30" t="str">
        <f>IF(ABS(AK30-F30)&lt;1,"ok","err")</f>
        <v>ok</v>
      </c>
    </row>
    <row r="31" spans="1:38" x14ac:dyDescent="0.25">
      <c r="D31" s="139"/>
      <c r="E31" s="14"/>
      <c r="Y31" s="29"/>
      <c r="AK31" s="33"/>
      <c r="AL31" s="30"/>
    </row>
    <row r="32" spans="1:38" x14ac:dyDescent="0.25">
      <c r="B32" s="29" t="s">
        <v>428</v>
      </c>
      <c r="C32" s="29" t="s">
        <v>454</v>
      </c>
      <c r="D32" s="139"/>
      <c r="E32" s="14"/>
      <c r="F32" s="34">
        <f>SUM(F29:F31)</f>
        <v>1033116106.8802201</v>
      </c>
      <c r="G32" s="34"/>
      <c r="H32" s="34">
        <f t="shared" ref="H32:M32" si="3">SUM(H29:H31)</f>
        <v>0</v>
      </c>
      <c r="I32" s="34">
        <f t="shared" si="3"/>
        <v>0</v>
      </c>
      <c r="J32" s="34">
        <f t="shared" si="3"/>
        <v>0</v>
      </c>
      <c r="K32" s="34">
        <f t="shared" si="3"/>
        <v>0</v>
      </c>
      <c r="L32" s="34">
        <f t="shared" si="3"/>
        <v>0</v>
      </c>
      <c r="M32" s="34">
        <f t="shared" si="3"/>
        <v>0</v>
      </c>
      <c r="N32" s="34"/>
      <c r="O32" s="34">
        <f>SUM(O29:O31)</f>
        <v>1033116106.8802201</v>
      </c>
      <c r="P32" s="34">
        <f>SUM(P29:P31)</f>
        <v>0</v>
      </c>
      <c r="Q32" s="34">
        <f>SUM(Q29:Q31)</f>
        <v>0</v>
      </c>
      <c r="R32" s="34"/>
      <c r="S32" s="34">
        <f t="shared" ref="S32:AD32" si="4">SUM(S29:S31)</f>
        <v>0</v>
      </c>
      <c r="T32" s="34">
        <f t="shared" si="4"/>
        <v>0</v>
      </c>
      <c r="U32" s="34">
        <f t="shared" si="4"/>
        <v>0</v>
      </c>
      <c r="V32" s="34">
        <f t="shared" si="4"/>
        <v>0</v>
      </c>
      <c r="W32" s="34">
        <f t="shared" si="4"/>
        <v>0</v>
      </c>
      <c r="X32" s="34">
        <f t="shared" si="4"/>
        <v>0</v>
      </c>
      <c r="Y32" s="34">
        <f t="shared" si="4"/>
        <v>0</v>
      </c>
      <c r="Z32" s="34">
        <f t="shared" si="4"/>
        <v>0</v>
      </c>
      <c r="AA32" s="34">
        <f t="shared" si="4"/>
        <v>0</v>
      </c>
      <c r="AB32" s="34">
        <f t="shared" si="4"/>
        <v>0</v>
      </c>
      <c r="AC32" s="34">
        <f t="shared" si="4"/>
        <v>0</v>
      </c>
      <c r="AD32" s="34">
        <f t="shared" si="4"/>
        <v>0</v>
      </c>
      <c r="AE32" s="34"/>
      <c r="AF32" s="34">
        <f>SUM(AF29:AF31)</f>
        <v>0</v>
      </c>
      <c r="AG32" s="34"/>
      <c r="AH32" s="34">
        <f>SUM(AH29:AH31)</f>
        <v>0</v>
      </c>
      <c r="AI32" s="34"/>
      <c r="AJ32" s="34">
        <f>SUM(AJ29:AJ31)</f>
        <v>0</v>
      </c>
      <c r="AK32" s="33">
        <f>SUM(H32:AJ32)</f>
        <v>1033116106.8802201</v>
      </c>
      <c r="AL32" s="30" t="str">
        <f>IF(ABS(AK32-F32)&lt;1,"ok","err")</f>
        <v>ok</v>
      </c>
    </row>
    <row r="33" spans="1:38" x14ac:dyDescent="0.25">
      <c r="D33" s="139"/>
      <c r="E33" s="14"/>
      <c r="Y33" s="29"/>
      <c r="AL33" s="30"/>
    </row>
    <row r="34" spans="1:38" x14ac:dyDescent="0.25">
      <c r="A34" s="3" t="s">
        <v>112</v>
      </c>
      <c r="D34" s="14"/>
      <c r="E34" s="14"/>
      <c r="Y34" s="29"/>
      <c r="AL34" s="30"/>
    </row>
    <row r="35" spans="1:38" x14ac:dyDescent="0.25">
      <c r="A35" s="35"/>
      <c r="B35" s="36" t="s">
        <v>1548</v>
      </c>
      <c r="C35" s="29" t="s">
        <v>113</v>
      </c>
      <c r="D35" s="139" t="s">
        <v>114</v>
      </c>
      <c r="E35" s="14"/>
      <c r="F35" s="32">
        <f>'Jurisdictional Study'!F688+'Jurisdictional Study'!F689+'Jurisdictional Study'!F690</f>
        <v>280309100.00615335</v>
      </c>
      <c r="H35" s="33">
        <f t="shared" ref="H35:H43" si="5">IF(VLOOKUP($D35,$C$5:$AJ$596,6,)=0,0,((VLOOKUP($D35,$C$5:$AJ$596,6,)/VLOOKUP($D35,$C$5:$AJ$596,4,))*$F35))</f>
        <v>0</v>
      </c>
      <c r="I35" s="33">
        <f t="shared" ref="I35:I43" si="6">IF(VLOOKUP($D35,$C$5:$AJ$596,7,)=0,0,((VLOOKUP($D35,$C$5:$AJ$596,7,)/VLOOKUP($D35,$C$5:$AJ$596,4,))*$F35))</f>
        <v>0</v>
      </c>
      <c r="J35" s="33">
        <f t="shared" ref="J35:J43" si="7">IF(VLOOKUP($D35,$C$5:$AJ$596,8,)=0,0,((VLOOKUP($D35,$C$5:$AJ$596,8,)/VLOOKUP($D35,$C$5:$AJ$596,4,))*$F35))</f>
        <v>0</v>
      </c>
      <c r="K35" s="33">
        <f t="shared" ref="K35:K43" si="8">IF(VLOOKUP($D35,$C$5:$AJ$596,9,)=0,0,((VLOOKUP($D35,$C$5:$AJ$596,9,)/VLOOKUP($D35,$C$5:$AJ$596,4,))*$F35))</f>
        <v>0</v>
      </c>
      <c r="L35" s="33">
        <f t="shared" ref="L35:L43" si="9">IF(VLOOKUP($D35,$C$5:$AJ$596,10,)=0,0,((VLOOKUP($D35,$C$5:$AJ$596,10,)/VLOOKUP($D35,$C$5:$AJ$596,4,))*$F35))</f>
        <v>0</v>
      </c>
      <c r="M35" s="33">
        <f t="shared" ref="M35:M43" si="10">IF(VLOOKUP($D35,$C$5:$AJ$596,11,)=0,0,((VLOOKUP($D35,$C$5:$AJ$596,11,)/VLOOKUP($D35,$C$5:$AJ$596,4,))*$F35))</f>
        <v>0</v>
      </c>
      <c r="N35" s="33"/>
      <c r="O35" s="33">
        <f t="shared" ref="O35:O43" si="11">IF(VLOOKUP($D35,$C$5:$AJ$596,13,)=0,0,((VLOOKUP($D35,$C$5:$AJ$596,13,)/VLOOKUP($D35,$C$5:$AJ$596,4,))*$F35))</f>
        <v>0</v>
      </c>
      <c r="P35" s="33">
        <f t="shared" ref="P35:P43" si="12">IF(VLOOKUP($D35,$C$5:$AJ$596,14,)=0,0,((VLOOKUP($D35,$C$5:$AJ$596,14,)/VLOOKUP($D35,$C$5:$AJ$596,4,))*$F35))</f>
        <v>0</v>
      </c>
      <c r="Q35" s="33">
        <f t="shared" ref="Q35:Q43" si="13">IF(VLOOKUP($D35,$C$5:$AJ$596,15,)=0,0,((VLOOKUP($D35,$C$5:$AJ$596,15,)/VLOOKUP($D35,$C$5:$AJ$596,4,))*$F35))</f>
        <v>0</v>
      </c>
      <c r="R35" s="33"/>
      <c r="S35" s="33">
        <f t="shared" ref="S35:S43" si="14">IF(VLOOKUP($D35,$C$5:$AJ$596,17,)=0,0,((VLOOKUP($D35,$C$5:$AJ$596,17,)/VLOOKUP($D35,$C$5:$AJ$596,4,))*$F35))</f>
        <v>0</v>
      </c>
      <c r="T35" s="33">
        <f t="shared" ref="T35:T43" si="15">IF(VLOOKUP($D35,$C$5:$AJ$596,18,)=0,0,((VLOOKUP($D35,$C$5:$AJ$596,18,)/VLOOKUP($D35,$C$5:$AJ$596,4,))*$F35))</f>
        <v>280309100.00615335</v>
      </c>
      <c r="U35" s="33">
        <f t="shared" ref="U35:U43" si="16">IF(VLOOKUP($D35,$C$5:$AJ$596,19,)=0,0,((VLOOKUP($D35,$C$5:$AJ$596,19,)/VLOOKUP($D35,$C$5:$AJ$596,4,))*$F35))</f>
        <v>0</v>
      </c>
      <c r="V35" s="33">
        <f t="shared" ref="V35:V43" si="17">IF(VLOOKUP($D35,$C$5:$AJ$596,20,)=0,0,((VLOOKUP($D35,$C$5:$AJ$596,20,)/VLOOKUP($D35,$C$5:$AJ$596,4,))*$F35))</f>
        <v>0</v>
      </c>
      <c r="W35" s="33">
        <f t="shared" ref="W35:W43" si="18">IF(VLOOKUP($D35,$C$5:$AJ$596,21,)=0,0,((VLOOKUP($D35,$C$5:$AJ$596,21,)/VLOOKUP($D35,$C$5:$AJ$596,4,))*$F35))</f>
        <v>0</v>
      </c>
      <c r="X35" s="33">
        <f t="shared" ref="X35:X43" si="19">IF(VLOOKUP($D35,$C$5:$AJ$596,22,)=0,0,((VLOOKUP($D35,$C$5:$AJ$596,22,)/VLOOKUP($D35,$C$5:$AJ$596,4,))*$F35))</f>
        <v>0</v>
      </c>
      <c r="Y35" s="33">
        <f t="shared" ref="Y35:Y43" si="20">IF(VLOOKUP($D35,$C$5:$AJ$596,23,)=0,0,((VLOOKUP($D35,$C$5:$AJ$596,23,)/VLOOKUP($D35,$C$5:$AJ$596,4,))*$F35))</f>
        <v>0</v>
      </c>
      <c r="Z35" s="33">
        <f t="shared" ref="Z35:Z43" si="21">IF(VLOOKUP($D35,$C$5:$AJ$596,24,)=0,0,((VLOOKUP($D35,$C$5:$AJ$596,24,)/VLOOKUP($D35,$C$5:$AJ$596,4,))*$F35))</f>
        <v>0</v>
      </c>
      <c r="AA35" s="33">
        <f t="shared" ref="AA35:AA43" si="22">IF(VLOOKUP($D35,$C$5:$AJ$596,25,)=0,0,((VLOOKUP($D35,$C$5:$AJ$596,25,)/VLOOKUP($D35,$C$5:$AJ$596,4,))*$F35))</f>
        <v>0</v>
      </c>
      <c r="AB35" s="33">
        <f t="shared" ref="AB35:AB43" si="23">IF(VLOOKUP($D35,$C$5:$AJ$596,26,)=0,0,((VLOOKUP($D35,$C$5:$AJ$596,26,)/VLOOKUP($D35,$C$5:$AJ$596,4,))*$F35))</f>
        <v>0</v>
      </c>
      <c r="AC35" s="33">
        <f t="shared" ref="AC35:AC43" si="24">IF(VLOOKUP($D35,$C$5:$AJ$596,27,)=0,0,((VLOOKUP($D35,$C$5:$AJ$596,27,)/VLOOKUP($D35,$C$5:$AJ$596,4,))*$F35))</f>
        <v>0</v>
      </c>
      <c r="AD35" s="33">
        <f t="shared" ref="AD35:AD43" si="25">IF(VLOOKUP($D35,$C$5:$AJ$596,28,)=0,0,((VLOOKUP($D35,$C$5:$AJ$596,28,)/VLOOKUP($D35,$C$5:$AJ$596,4,))*$F35))</f>
        <v>0</v>
      </c>
      <c r="AE35" s="33"/>
      <c r="AF35" s="33">
        <f t="shared" ref="AF35:AF43" si="26">IF(VLOOKUP($D35,$C$5:$AJ$596,30,)=0,0,((VLOOKUP($D35,$C$5:$AJ$596,30,)/VLOOKUP($D35,$C$5:$AJ$596,4,))*$F35))</f>
        <v>0</v>
      </c>
      <c r="AG35" s="33"/>
      <c r="AH35" s="33">
        <f t="shared" ref="AH35:AH43" si="27">IF(VLOOKUP($D35,$C$5:$AJ$596,32,)=0,0,((VLOOKUP($D35,$C$5:$AJ$596,32,)/VLOOKUP($D35,$C$5:$AJ$596,4,))*$F35))</f>
        <v>0</v>
      </c>
      <c r="AI35" s="33"/>
      <c r="AJ35" s="33">
        <f t="shared" ref="AJ35:AJ43" si="28">IF(VLOOKUP($D35,$C$5:$AJ$596,34,)=0,0,((VLOOKUP($D35,$C$5:$AJ$596,34,)/VLOOKUP($D35,$C$5:$AJ$596,4,))*$F35))</f>
        <v>0</v>
      </c>
      <c r="AK35" s="33">
        <f t="shared" ref="AK35:AK42" si="29">SUM(H35:AJ35)</f>
        <v>280309100.00615335</v>
      </c>
      <c r="AL35" s="30" t="str">
        <f t="shared" ref="AL35:AL42" si="30">IF(ABS(AK35-F35)&lt;1,"ok","err")</f>
        <v>ok</v>
      </c>
    </row>
    <row r="36" spans="1:38" x14ac:dyDescent="0.25">
      <c r="A36" s="35"/>
      <c r="B36" s="36" t="s">
        <v>1549</v>
      </c>
      <c r="C36" s="29" t="s">
        <v>116</v>
      </c>
      <c r="D36" s="139" t="s">
        <v>117</v>
      </c>
      <c r="E36" s="14"/>
      <c r="F36" s="33">
        <f>'Jurisdictional Study'!F691+'Jurisdictional Study'!F692-24628.42-21985.25</f>
        <v>798878552.42846096</v>
      </c>
      <c r="H36" s="33">
        <f t="shared" si="5"/>
        <v>0</v>
      </c>
      <c r="I36" s="33">
        <f t="shared" si="6"/>
        <v>0</v>
      </c>
      <c r="J36" s="33">
        <f t="shared" si="7"/>
        <v>0</v>
      </c>
      <c r="K36" s="33">
        <f t="shared" si="8"/>
        <v>0</v>
      </c>
      <c r="L36" s="33">
        <f t="shared" si="9"/>
        <v>0</v>
      </c>
      <c r="M36" s="33">
        <f t="shared" si="10"/>
        <v>0</v>
      </c>
      <c r="N36" s="33"/>
      <c r="O36" s="33">
        <f t="shared" si="11"/>
        <v>0</v>
      </c>
      <c r="P36" s="33">
        <f t="shared" si="12"/>
        <v>0</v>
      </c>
      <c r="Q36" s="33">
        <f t="shared" si="13"/>
        <v>0</v>
      </c>
      <c r="R36" s="33"/>
      <c r="S36" s="33">
        <f t="shared" si="14"/>
        <v>0</v>
      </c>
      <c r="T36" s="33">
        <f t="shared" si="15"/>
        <v>0</v>
      </c>
      <c r="U36" s="33">
        <f t="shared" si="16"/>
        <v>0</v>
      </c>
      <c r="V36" s="33">
        <f t="shared" si="17"/>
        <v>196779421.51640096</v>
      </c>
      <c r="W36" s="33">
        <f t="shared" si="18"/>
        <v>317139151.26082796</v>
      </c>
      <c r="X36" s="33">
        <f t="shared" si="19"/>
        <v>109111176.20845674</v>
      </c>
      <c r="Y36" s="33">
        <f t="shared" si="20"/>
        <v>175848803.44277528</v>
      </c>
      <c r="Z36" s="33">
        <f t="shared" si="21"/>
        <v>0</v>
      </c>
      <c r="AA36" s="33">
        <f t="shared" si="22"/>
        <v>0</v>
      </c>
      <c r="AB36" s="33">
        <f t="shared" si="23"/>
        <v>0</v>
      </c>
      <c r="AC36" s="33">
        <f t="shared" si="24"/>
        <v>0</v>
      </c>
      <c r="AD36" s="33">
        <f t="shared" si="25"/>
        <v>0</v>
      </c>
      <c r="AE36" s="33"/>
      <c r="AF36" s="33">
        <f t="shared" si="26"/>
        <v>0</v>
      </c>
      <c r="AG36" s="33"/>
      <c r="AH36" s="33">
        <f t="shared" si="27"/>
        <v>0</v>
      </c>
      <c r="AI36" s="33"/>
      <c r="AJ36" s="33">
        <f t="shared" si="28"/>
        <v>0</v>
      </c>
      <c r="AK36" s="33">
        <f t="shared" si="29"/>
        <v>798878552.42846096</v>
      </c>
      <c r="AL36" s="30" t="str">
        <f t="shared" si="30"/>
        <v>ok</v>
      </c>
    </row>
    <row r="37" spans="1:38" x14ac:dyDescent="0.25">
      <c r="A37" s="35"/>
      <c r="B37" s="36" t="s">
        <v>1550</v>
      </c>
      <c r="C37" s="29" t="s">
        <v>119</v>
      </c>
      <c r="D37" s="139" t="s">
        <v>118</v>
      </c>
      <c r="E37" s="14"/>
      <c r="F37" s="33">
        <f>'Jurisdictional Study'!F693+'Jurisdictional Study'!F694-171003-1295436</f>
        <v>218327802.50846145</v>
      </c>
      <c r="H37" s="33">
        <f t="shared" si="5"/>
        <v>0</v>
      </c>
      <c r="I37" s="33">
        <f t="shared" si="6"/>
        <v>0</v>
      </c>
      <c r="J37" s="33">
        <f t="shared" si="7"/>
        <v>0</v>
      </c>
      <c r="K37" s="33">
        <f t="shared" si="8"/>
        <v>0</v>
      </c>
      <c r="L37" s="33">
        <f t="shared" si="9"/>
        <v>0</v>
      </c>
      <c r="M37" s="33">
        <f t="shared" si="10"/>
        <v>0</v>
      </c>
      <c r="N37" s="33"/>
      <c r="O37" s="33">
        <f t="shared" si="11"/>
        <v>0</v>
      </c>
      <c r="P37" s="33">
        <f t="shared" si="12"/>
        <v>0</v>
      </c>
      <c r="Q37" s="33">
        <f t="shared" si="13"/>
        <v>0</v>
      </c>
      <c r="R37" s="33"/>
      <c r="S37" s="33">
        <f t="shared" si="14"/>
        <v>0</v>
      </c>
      <c r="T37" s="33">
        <f t="shared" si="15"/>
        <v>0</v>
      </c>
      <c r="U37" s="33">
        <f t="shared" si="16"/>
        <v>0</v>
      </c>
      <c r="V37" s="33">
        <f t="shared" si="17"/>
        <v>32550852.316860661</v>
      </c>
      <c r="W37" s="33">
        <f t="shared" si="18"/>
        <v>114405591.55158475</v>
      </c>
      <c r="X37" s="33">
        <f t="shared" si="19"/>
        <v>15808755.938763557</v>
      </c>
      <c r="Y37" s="33">
        <f t="shared" si="20"/>
        <v>55562602.701252498</v>
      </c>
      <c r="Z37" s="33">
        <f t="shared" si="21"/>
        <v>0</v>
      </c>
      <c r="AA37" s="33">
        <f t="shared" si="22"/>
        <v>0</v>
      </c>
      <c r="AB37" s="33">
        <f t="shared" si="23"/>
        <v>0</v>
      </c>
      <c r="AC37" s="33">
        <f t="shared" si="24"/>
        <v>0</v>
      </c>
      <c r="AD37" s="33">
        <f t="shared" si="25"/>
        <v>0</v>
      </c>
      <c r="AE37" s="33"/>
      <c r="AF37" s="33">
        <f t="shared" si="26"/>
        <v>0</v>
      </c>
      <c r="AG37" s="33"/>
      <c r="AH37" s="33">
        <f t="shared" si="27"/>
        <v>0</v>
      </c>
      <c r="AI37" s="33"/>
      <c r="AJ37" s="33">
        <f t="shared" si="28"/>
        <v>0</v>
      </c>
      <c r="AK37" s="33">
        <f t="shared" si="29"/>
        <v>218327802.50846145</v>
      </c>
      <c r="AL37" s="30" t="str">
        <f t="shared" si="30"/>
        <v>ok</v>
      </c>
    </row>
    <row r="38" spans="1:38" x14ac:dyDescent="0.25">
      <c r="A38" s="35"/>
      <c r="B38" s="36" t="s">
        <v>1551</v>
      </c>
      <c r="C38" s="29" t="s">
        <v>120</v>
      </c>
      <c r="D38" s="139" t="s">
        <v>121</v>
      </c>
      <c r="E38" s="14"/>
      <c r="F38" s="33">
        <f>'Jurisdictional Study'!F696</f>
        <v>5932112.0200000023</v>
      </c>
      <c r="H38" s="33">
        <f t="shared" si="5"/>
        <v>0</v>
      </c>
      <c r="I38" s="33">
        <f t="shared" si="6"/>
        <v>0</v>
      </c>
      <c r="J38" s="33">
        <f t="shared" si="7"/>
        <v>0</v>
      </c>
      <c r="K38" s="33">
        <f t="shared" si="8"/>
        <v>0</v>
      </c>
      <c r="L38" s="33">
        <f t="shared" si="9"/>
        <v>0</v>
      </c>
      <c r="M38" s="33">
        <f t="shared" si="10"/>
        <v>0</v>
      </c>
      <c r="N38" s="33"/>
      <c r="O38" s="33">
        <f t="shared" si="11"/>
        <v>0</v>
      </c>
      <c r="P38" s="33">
        <f t="shared" si="12"/>
        <v>0</v>
      </c>
      <c r="Q38" s="33">
        <f t="shared" si="13"/>
        <v>0</v>
      </c>
      <c r="R38" s="33"/>
      <c r="S38" s="33">
        <f t="shared" si="14"/>
        <v>0</v>
      </c>
      <c r="T38" s="33">
        <f t="shared" si="15"/>
        <v>0</v>
      </c>
      <c r="U38" s="33">
        <f t="shared" si="16"/>
        <v>0</v>
      </c>
      <c r="V38" s="33">
        <f t="shared" si="17"/>
        <v>0</v>
      </c>
      <c r="W38" s="33">
        <f t="shared" si="18"/>
        <v>0</v>
      </c>
      <c r="X38" s="33">
        <f t="shared" si="19"/>
        <v>0</v>
      </c>
      <c r="Y38" s="33">
        <f t="shared" si="20"/>
        <v>0</v>
      </c>
      <c r="Z38" s="33">
        <f t="shared" si="21"/>
        <v>3176921.0614637453</v>
      </c>
      <c r="AA38" s="33">
        <f t="shared" si="22"/>
        <v>2755190.9585362575</v>
      </c>
      <c r="AB38" s="33">
        <f t="shared" si="23"/>
        <v>0</v>
      </c>
      <c r="AC38" s="33">
        <f t="shared" si="24"/>
        <v>0</v>
      </c>
      <c r="AD38" s="33">
        <f t="shared" si="25"/>
        <v>0</v>
      </c>
      <c r="AE38" s="33"/>
      <c r="AF38" s="33">
        <f t="shared" si="26"/>
        <v>0</v>
      </c>
      <c r="AG38" s="33"/>
      <c r="AH38" s="33">
        <f t="shared" si="27"/>
        <v>0</v>
      </c>
      <c r="AI38" s="33"/>
      <c r="AJ38" s="33">
        <f t="shared" si="28"/>
        <v>0</v>
      </c>
      <c r="AK38" s="33">
        <f t="shared" si="29"/>
        <v>5932112.0200000033</v>
      </c>
      <c r="AL38" s="30" t="str">
        <f t="shared" si="30"/>
        <v>ok</v>
      </c>
    </row>
    <row r="39" spans="1:38" x14ac:dyDescent="0.25">
      <c r="A39" s="35"/>
      <c r="B39" s="36" t="s">
        <v>1552</v>
      </c>
      <c r="C39" s="29" t="s">
        <v>1586</v>
      </c>
      <c r="D39" s="139" t="s">
        <v>121</v>
      </c>
      <c r="E39" s="14"/>
      <c r="F39" s="33">
        <f>'Jurisdictional Study'!F697</f>
        <v>310042206.07076925</v>
      </c>
      <c r="H39" s="33">
        <f t="shared" si="5"/>
        <v>0</v>
      </c>
      <c r="I39" s="33">
        <f t="shared" si="6"/>
        <v>0</v>
      </c>
      <c r="J39" s="33">
        <f t="shared" si="7"/>
        <v>0</v>
      </c>
      <c r="K39" s="33">
        <f t="shared" si="8"/>
        <v>0</v>
      </c>
      <c r="L39" s="33">
        <f t="shared" si="9"/>
        <v>0</v>
      </c>
      <c r="M39" s="33">
        <f t="shared" si="10"/>
        <v>0</v>
      </c>
      <c r="N39" s="33"/>
      <c r="O39" s="33">
        <f t="shared" si="11"/>
        <v>0</v>
      </c>
      <c r="P39" s="33">
        <f t="shared" si="12"/>
        <v>0</v>
      </c>
      <c r="Q39" s="33">
        <f t="shared" si="13"/>
        <v>0</v>
      </c>
      <c r="R39" s="33"/>
      <c r="S39" s="33">
        <f t="shared" si="14"/>
        <v>0</v>
      </c>
      <c r="T39" s="33">
        <f t="shared" si="15"/>
        <v>0</v>
      </c>
      <c r="U39" s="33">
        <f t="shared" si="16"/>
        <v>0</v>
      </c>
      <c r="V39" s="33">
        <f t="shared" si="17"/>
        <v>0</v>
      </c>
      <c r="W39" s="33">
        <f t="shared" si="18"/>
        <v>0</v>
      </c>
      <c r="X39" s="33">
        <f t="shared" si="19"/>
        <v>0</v>
      </c>
      <c r="Y39" s="33">
        <f t="shared" si="20"/>
        <v>0</v>
      </c>
      <c r="Z39" s="33">
        <f t="shared" si="21"/>
        <v>166041978.15012082</v>
      </c>
      <c r="AA39" s="33">
        <f t="shared" si="22"/>
        <v>144000227.92064846</v>
      </c>
      <c r="AB39" s="33">
        <f t="shared" si="23"/>
        <v>0</v>
      </c>
      <c r="AC39" s="33">
        <f t="shared" si="24"/>
        <v>0</v>
      </c>
      <c r="AD39" s="33">
        <f t="shared" si="25"/>
        <v>0</v>
      </c>
      <c r="AE39" s="33"/>
      <c r="AF39" s="33">
        <f t="shared" si="26"/>
        <v>0</v>
      </c>
      <c r="AG39" s="33"/>
      <c r="AH39" s="33">
        <f t="shared" si="27"/>
        <v>0</v>
      </c>
      <c r="AI39" s="33"/>
      <c r="AJ39" s="33">
        <f t="shared" si="28"/>
        <v>0</v>
      </c>
      <c r="AK39" s="33">
        <f t="shared" si="29"/>
        <v>310042206.07076931</v>
      </c>
      <c r="AL39" s="30" t="str">
        <f t="shared" si="30"/>
        <v>ok</v>
      </c>
    </row>
    <row r="40" spans="1:38" x14ac:dyDescent="0.25">
      <c r="A40" s="35"/>
      <c r="B40" s="36" t="s">
        <v>1553</v>
      </c>
      <c r="C40" s="29" t="s">
        <v>122</v>
      </c>
      <c r="D40" s="13" t="s">
        <v>165</v>
      </c>
      <c r="E40" s="13"/>
      <c r="F40" s="33">
        <f>'Jurisdictional Study'!F699</f>
        <v>108672088.16153848</v>
      </c>
      <c r="H40" s="33">
        <f t="shared" si="5"/>
        <v>0</v>
      </c>
      <c r="I40" s="33">
        <f t="shared" si="6"/>
        <v>0</v>
      </c>
      <c r="J40" s="33">
        <f t="shared" si="7"/>
        <v>0</v>
      </c>
      <c r="K40" s="33">
        <f t="shared" si="8"/>
        <v>0</v>
      </c>
      <c r="L40" s="33">
        <f t="shared" si="9"/>
        <v>0</v>
      </c>
      <c r="M40" s="33">
        <f t="shared" si="10"/>
        <v>0</v>
      </c>
      <c r="N40" s="33"/>
      <c r="O40" s="33">
        <f t="shared" si="11"/>
        <v>0</v>
      </c>
      <c r="P40" s="33">
        <f t="shared" si="12"/>
        <v>0</v>
      </c>
      <c r="Q40" s="33">
        <f t="shared" si="13"/>
        <v>0</v>
      </c>
      <c r="R40" s="33"/>
      <c r="S40" s="33">
        <f t="shared" si="14"/>
        <v>0</v>
      </c>
      <c r="T40" s="33">
        <f t="shared" si="15"/>
        <v>0</v>
      </c>
      <c r="U40" s="33">
        <f t="shared" si="16"/>
        <v>0</v>
      </c>
      <c r="V40" s="33">
        <f t="shared" si="17"/>
        <v>0</v>
      </c>
      <c r="W40" s="33">
        <f t="shared" si="18"/>
        <v>0</v>
      </c>
      <c r="X40" s="33">
        <f t="shared" si="19"/>
        <v>0</v>
      </c>
      <c r="Y40" s="33">
        <f t="shared" si="20"/>
        <v>0</v>
      </c>
      <c r="Z40" s="33">
        <f t="shared" si="21"/>
        <v>0</v>
      </c>
      <c r="AA40" s="33">
        <f t="shared" si="22"/>
        <v>0</v>
      </c>
      <c r="AB40" s="33">
        <f t="shared" si="23"/>
        <v>108672088.16153848</v>
      </c>
      <c r="AC40" s="33">
        <f t="shared" si="24"/>
        <v>0</v>
      </c>
      <c r="AD40" s="33">
        <f t="shared" si="25"/>
        <v>0</v>
      </c>
      <c r="AE40" s="33"/>
      <c r="AF40" s="33">
        <f t="shared" si="26"/>
        <v>0</v>
      </c>
      <c r="AG40" s="33"/>
      <c r="AH40" s="33">
        <f t="shared" si="27"/>
        <v>0</v>
      </c>
      <c r="AI40" s="33"/>
      <c r="AJ40" s="33">
        <f t="shared" si="28"/>
        <v>0</v>
      </c>
      <c r="AK40" s="33">
        <f t="shared" si="29"/>
        <v>108672088.16153848</v>
      </c>
      <c r="AL40" s="30" t="str">
        <f t="shared" si="30"/>
        <v>ok</v>
      </c>
    </row>
    <row r="41" spans="1:38" x14ac:dyDescent="0.25">
      <c r="A41" s="35"/>
      <c r="B41" s="36" t="s">
        <v>1554</v>
      </c>
      <c r="C41" s="29" t="s">
        <v>166</v>
      </c>
      <c r="D41" s="13" t="s">
        <v>167</v>
      </c>
      <c r="E41" s="13"/>
      <c r="F41" s="33">
        <f>'Jurisdictional Study'!F700-1331334</f>
        <v>77500986.828461438</v>
      </c>
      <c r="H41" s="33">
        <f t="shared" si="5"/>
        <v>0</v>
      </c>
      <c r="I41" s="33">
        <f t="shared" si="6"/>
        <v>0</v>
      </c>
      <c r="J41" s="33">
        <f t="shared" si="7"/>
        <v>0</v>
      </c>
      <c r="K41" s="33">
        <f t="shared" si="8"/>
        <v>0</v>
      </c>
      <c r="L41" s="33">
        <f t="shared" si="9"/>
        <v>0</v>
      </c>
      <c r="M41" s="33">
        <f t="shared" si="10"/>
        <v>0</v>
      </c>
      <c r="N41" s="33"/>
      <c r="O41" s="33">
        <f t="shared" si="11"/>
        <v>0</v>
      </c>
      <c r="P41" s="33">
        <f t="shared" si="12"/>
        <v>0</v>
      </c>
      <c r="Q41" s="33">
        <f t="shared" si="13"/>
        <v>0</v>
      </c>
      <c r="R41" s="33"/>
      <c r="S41" s="33">
        <f t="shared" si="14"/>
        <v>0</v>
      </c>
      <c r="T41" s="33">
        <f t="shared" si="15"/>
        <v>0</v>
      </c>
      <c r="U41" s="33">
        <f t="shared" si="16"/>
        <v>0</v>
      </c>
      <c r="V41" s="33">
        <f t="shared" si="17"/>
        <v>0</v>
      </c>
      <c r="W41" s="33">
        <f t="shared" si="18"/>
        <v>0</v>
      </c>
      <c r="X41" s="33">
        <f t="shared" si="19"/>
        <v>0</v>
      </c>
      <c r="Y41" s="33">
        <f t="shared" si="20"/>
        <v>0</v>
      </c>
      <c r="Z41" s="33">
        <f t="shared" si="21"/>
        <v>0</v>
      </c>
      <c r="AA41" s="33">
        <f t="shared" si="22"/>
        <v>0</v>
      </c>
      <c r="AB41" s="33">
        <f t="shared" si="23"/>
        <v>0</v>
      </c>
      <c r="AC41" s="33">
        <f t="shared" si="24"/>
        <v>77500986.828461438</v>
      </c>
      <c r="AD41" s="33">
        <f t="shared" si="25"/>
        <v>0</v>
      </c>
      <c r="AE41" s="33"/>
      <c r="AF41" s="33">
        <f t="shared" si="26"/>
        <v>0</v>
      </c>
      <c r="AG41" s="33"/>
      <c r="AH41" s="33">
        <f t="shared" si="27"/>
        <v>0</v>
      </c>
      <c r="AI41" s="33"/>
      <c r="AJ41" s="33">
        <f t="shared" si="28"/>
        <v>0</v>
      </c>
      <c r="AK41" s="33">
        <f t="shared" si="29"/>
        <v>77500986.828461438</v>
      </c>
      <c r="AL41" s="30" t="str">
        <f t="shared" si="30"/>
        <v>ok</v>
      </c>
    </row>
    <row r="42" spans="1:38" x14ac:dyDescent="0.25">
      <c r="A42" s="35"/>
      <c r="B42" s="36" t="s">
        <v>1555</v>
      </c>
      <c r="C42" s="29" t="s">
        <v>168</v>
      </c>
      <c r="D42" s="164" t="s">
        <v>167</v>
      </c>
      <c r="E42" s="17"/>
      <c r="F42" s="33">
        <f>'Jurisdictional Study'!F701</f>
        <v>148818.36999999903</v>
      </c>
      <c r="H42" s="33">
        <f t="shared" si="5"/>
        <v>0</v>
      </c>
      <c r="I42" s="33">
        <f t="shared" si="6"/>
        <v>0</v>
      </c>
      <c r="J42" s="33">
        <f t="shared" si="7"/>
        <v>0</v>
      </c>
      <c r="K42" s="33">
        <f t="shared" si="8"/>
        <v>0</v>
      </c>
      <c r="L42" s="33">
        <f t="shared" si="9"/>
        <v>0</v>
      </c>
      <c r="M42" s="33">
        <f t="shared" si="10"/>
        <v>0</v>
      </c>
      <c r="N42" s="33"/>
      <c r="O42" s="33">
        <f t="shared" si="11"/>
        <v>0</v>
      </c>
      <c r="P42" s="33">
        <f t="shared" si="12"/>
        <v>0</v>
      </c>
      <c r="Q42" s="33">
        <f t="shared" si="13"/>
        <v>0</v>
      </c>
      <c r="R42" s="33"/>
      <c r="S42" s="33">
        <f t="shared" si="14"/>
        <v>0</v>
      </c>
      <c r="T42" s="33">
        <f t="shared" si="15"/>
        <v>0</v>
      </c>
      <c r="U42" s="33">
        <f t="shared" si="16"/>
        <v>0</v>
      </c>
      <c r="V42" s="33">
        <f t="shared" si="17"/>
        <v>0</v>
      </c>
      <c r="W42" s="33">
        <f t="shared" si="18"/>
        <v>0</v>
      </c>
      <c r="X42" s="33">
        <f t="shared" si="19"/>
        <v>0</v>
      </c>
      <c r="Y42" s="33">
        <f t="shared" si="20"/>
        <v>0</v>
      </c>
      <c r="Z42" s="33">
        <f t="shared" si="21"/>
        <v>0</v>
      </c>
      <c r="AA42" s="33">
        <f t="shared" si="22"/>
        <v>0</v>
      </c>
      <c r="AB42" s="33">
        <f t="shared" si="23"/>
        <v>0</v>
      </c>
      <c r="AC42" s="33">
        <f t="shared" si="24"/>
        <v>148818.36999999903</v>
      </c>
      <c r="AD42" s="33">
        <f t="shared" si="25"/>
        <v>0</v>
      </c>
      <c r="AE42" s="33"/>
      <c r="AF42" s="33">
        <f t="shared" si="26"/>
        <v>0</v>
      </c>
      <c r="AG42" s="33"/>
      <c r="AH42" s="33">
        <f t="shared" si="27"/>
        <v>0</v>
      </c>
      <c r="AI42" s="33"/>
      <c r="AJ42" s="33">
        <f t="shared" si="28"/>
        <v>0</v>
      </c>
      <c r="AK42" s="33">
        <f t="shared" si="29"/>
        <v>148818.36999999903</v>
      </c>
      <c r="AL42" s="30" t="str">
        <f t="shared" si="30"/>
        <v>ok</v>
      </c>
    </row>
    <row r="43" spans="1:38" x14ac:dyDescent="0.25">
      <c r="A43" s="35"/>
      <c r="B43" s="36" t="s">
        <v>1556</v>
      </c>
      <c r="C43" s="29" t="s">
        <v>169</v>
      </c>
      <c r="D43" s="164" t="s">
        <v>170</v>
      </c>
      <c r="E43" s="17"/>
      <c r="F43" s="33">
        <f>'Jurisdictional Study'!F702</f>
        <v>127240903.38000001</v>
      </c>
      <c r="H43" s="33">
        <f t="shared" si="5"/>
        <v>0</v>
      </c>
      <c r="I43" s="33">
        <f t="shared" si="6"/>
        <v>0</v>
      </c>
      <c r="J43" s="33">
        <f t="shared" si="7"/>
        <v>0</v>
      </c>
      <c r="K43" s="33">
        <f t="shared" si="8"/>
        <v>0</v>
      </c>
      <c r="L43" s="33">
        <f t="shared" si="9"/>
        <v>0</v>
      </c>
      <c r="M43" s="33">
        <f t="shared" si="10"/>
        <v>0</v>
      </c>
      <c r="N43" s="33"/>
      <c r="O43" s="33">
        <f t="shared" si="11"/>
        <v>0</v>
      </c>
      <c r="P43" s="33">
        <f t="shared" si="12"/>
        <v>0</v>
      </c>
      <c r="Q43" s="33">
        <f t="shared" si="13"/>
        <v>0</v>
      </c>
      <c r="R43" s="33"/>
      <c r="S43" s="33">
        <f t="shared" si="14"/>
        <v>0</v>
      </c>
      <c r="T43" s="33">
        <f t="shared" si="15"/>
        <v>0</v>
      </c>
      <c r="U43" s="33">
        <f t="shared" si="16"/>
        <v>0</v>
      </c>
      <c r="V43" s="33">
        <f t="shared" si="17"/>
        <v>0</v>
      </c>
      <c r="W43" s="33">
        <f t="shared" si="18"/>
        <v>0</v>
      </c>
      <c r="X43" s="33">
        <f t="shared" si="19"/>
        <v>0</v>
      </c>
      <c r="Y43" s="33">
        <f t="shared" si="20"/>
        <v>0</v>
      </c>
      <c r="Z43" s="33">
        <f t="shared" si="21"/>
        <v>0</v>
      </c>
      <c r="AA43" s="33">
        <f t="shared" si="22"/>
        <v>0</v>
      </c>
      <c r="AB43" s="33">
        <f t="shared" si="23"/>
        <v>0</v>
      </c>
      <c r="AC43" s="33">
        <f t="shared" si="24"/>
        <v>0</v>
      </c>
      <c r="AD43" s="33">
        <f t="shared" si="25"/>
        <v>127240903.38000001</v>
      </c>
      <c r="AE43" s="33"/>
      <c r="AF43" s="33">
        <f t="shared" si="26"/>
        <v>0</v>
      </c>
      <c r="AG43" s="33"/>
      <c r="AH43" s="33">
        <f t="shared" si="27"/>
        <v>0</v>
      </c>
      <c r="AI43" s="33"/>
      <c r="AJ43" s="33">
        <f t="shared" si="28"/>
        <v>0</v>
      </c>
      <c r="AK43" s="33">
        <f>SUM(H43:AJ43)</f>
        <v>127240903.38000001</v>
      </c>
      <c r="AL43" s="30" t="str">
        <f>IF(ABS(AK43-F43)&lt;1,"ok","err")</f>
        <v>ok</v>
      </c>
    </row>
    <row r="44" spans="1:38" x14ac:dyDescent="0.25">
      <c r="D44" s="164"/>
      <c r="E44" s="17"/>
      <c r="Y44" s="29"/>
      <c r="AK44" s="33"/>
      <c r="AL44" s="30"/>
    </row>
    <row r="45" spans="1:38" x14ac:dyDescent="0.25">
      <c r="B45" s="29" t="s">
        <v>171</v>
      </c>
      <c r="C45" s="29" t="s">
        <v>109</v>
      </c>
      <c r="D45" s="164"/>
      <c r="E45" s="17"/>
      <c r="F45" s="32">
        <f>SUM(F35:F44)</f>
        <v>1927052569.773845</v>
      </c>
      <c r="G45" s="37"/>
      <c r="H45" s="32">
        <f t="shared" ref="H45:M45" si="31">SUM(H35:H44)</f>
        <v>0</v>
      </c>
      <c r="I45" s="32">
        <f t="shared" si="31"/>
        <v>0</v>
      </c>
      <c r="J45" s="32">
        <f t="shared" si="31"/>
        <v>0</v>
      </c>
      <c r="K45" s="32">
        <f t="shared" si="31"/>
        <v>0</v>
      </c>
      <c r="L45" s="32">
        <f t="shared" si="31"/>
        <v>0</v>
      </c>
      <c r="M45" s="32">
        <f t="shared" si="31"/>
        <v>0</v>
      </c>
      <c r="N45" s="32"/>
      <c r="O45" s="32">
        <f>SUM(O35:O44)</f>
        <v>0</v>
      </c>
      <c r="P45" s="32">
        <f>SUM(P35:P44)</f>
        <v>0</v>
      </c>
      <c r="Q45" s="32">
        <f>SUM(Q35:Q44)</f>
        <v>0</v>
      </c>
      <c r="R45" s="32"/>
      <c r="S45" s="32">
        <f t="shared" ref="S45:AD45" si="32">SUM(S35:S44)</f>
        <v>0</v>
      </c>
      <c r="T45" s="32">
        <f t="shared" si="32"/>
        <v>280309100.00615335</v>
      </c>
      <c r="U45" s="32">
        <f t="shared" si="32"/>
        <v>0</v>
      </c>
      <c r="V45" s="32">
        <f t="shared" si="32"/>
        <v>229330273.83326161</v>
      </c>
      <c r="W45" s="32">
        <f t="shared" si="32"/>
        <v>431544742.81241274</v>
      </c>
      <c r="X45" s="32">
        <f t="shared" si="32"/>
        <v>124919932.1472203</v>
      </c>
      <c r="Y45" s="32">
        <f t="shared" si="32"/>
        <v>231411406.14402777</v>
      </c>
      <c r="Z45" s="32">
        <f t="shared" si="32"/>
        <v>169218899.21158457</v>
      </c>
      <c r="AA45" s="32">
        <f t="shared" si="32"/>
        <v>146755418.87918472</v>
      </c>
      <c r="AB45" s="32">
        <f t="shared" si="32"/>
        <v>108672088.16153848</v>
      </c>
      <c r="AC45" s="32">
        <f t="shared" si="32"/>
        <v>77649805.198461443</v>
      </c>
      <c r="AD45" s="32">
        <f t="shared" si="32"/>
        <v>127240903.38000001</v>
      </c>
      <c r="AE45" s="32"/>
      <c r="AF45" s="32">
        <f>SUM(AF35:AF44)</f>
        <v>0</v>
      </c>
      <c r="AG45" s="32"/>
      <c r="AH45" s="32">
        <f>SUM(AH35:AH44)</f>
        <v>0</v>
      </c>
      <c r="AI45" s="32"/>
      <c r="AJ45" s="32">
        <f>SUM(AJ35:AJ44)</f>
        <v>0</v>
      </c>
      <c r="AK45" s="33">
        <f>SUM(H45:AJ45)</f>
        <v>1927052569.7738452</v>
      </c>
      <c r="AL45" s="30" t="str">
        <f>IF(ABS(AK45-F45)&lt;1,"ok","err")</f>
        <v>ok</v>
      </c>
    </row>
    <row r="46" spans="1:38" x14ac:dyDescent="0.25">
      <c r="D46" s="164"/>
      <c r="E46" s="17"/>
      <c r="Y46" s="29"/>
      <c r="AL46" s="30"/>
    </row>
    <row r="47" spans="1:38" x14ac:dyDescent="0.25">
      <c r="B47" s="4" t="s">
        <v>192</v>
      </c>
      <c r="C47" s="29" t="s">
        <v>456</v>
      </c>
      <c r="D47" s="164"/>
      <c r="E47" s="17"/>
      <c r="F47" s="34">
        <f>F26+F32+F45</f>
        <v>7420206098.444973</v>
      </c>
      <c r="G47" s="34"/>
      <c r="H47" s="34">
        <f t="shared" ref="H47:M47" si="33">H26+H32+H45</f>
        <v>4460037421.7909079</v>
      </c>
      <c r="I47" s="34">
        <f t="shared" si="33"/>
        <v>0</v>
      </c>
      <c r="J47" s="34">
        <f t="shared" si="33"/>
        <v>0</v>
      </c>
      <c r="K47" s="34">
        <f t="shared" si="33"/>
        <v>0</v>
      </c>
      <c r="L47" s="34">
        <f t="shared" si="33"/>
        <v>0</v>
      </c>
      <c r="M47" s="34">
        <f t="shared" si="33"/>
        <v>0</v>
      </c>
      <c r="N47" s="34"/>
      <c r="O47" s="34">
        <f>O26+O32+O45</f>
        <v>1033116106.8802201</v>
      </c>
      <c r="P47" s="34">
        <f>P26+P32+P45</f>
        <v>0</v>
      </c>
      <c r="Q47" s="34">
        <f>Q26+Q32+Q45</f>
        <v>0</v>
      </c>
      <c r="R47" s="34"/>
      <c r="S47" s="34">
        <f t="shared" ref="S47:AD47" si="34">S26+S32+S45</f>
        <v>0</v>
      </c>
      <c r="T47" s="34">
        <f t="shared" si="34"/>
        <v>280309100.00615335</v>
      </c>
      <c r="U47" s="34">
        <f t="shared" si="34"/>
        <v>0</v>
      </c>
      <c r="V47" s="34">
        <f t="shared" si="34"/>
        <v>229330273.83326161</v>
      </c>
      <c r="W47" s="34">
        <f t="shared" si="34"/>
        <v>431544742.81241274</v>
      </c>
      <c r="X47" s="34">
        <f t="shared" si="34"/>
        <v>124919932.1472203</v>
      </c>
      <c r="Y47" s="34">
        <f t="shared" si="34"/>
        <v>231411406.14402777</v>
      </c>
      <c r="Z47" s="34">
        <f t="shared" si="34"/>
        <v>169218899.21158457</v>
      </c>
      <c r="AA47" s="34">
        <f t="shared" si="34"/>
        <v>146755418.87918472</v>
      </c>
      <c r="AB47" s="34">
        <f t="shared" si="34"/>
        <v>108672088.16153848</v>
      </c>
      <c r="AC47" s="34">
        <f t="shared" si="34"/>
        <v>77649805.198461443</v>
      </c>
      <c r="AD47" s="34">
        <f t="shared" si="34"/>
        <v>127240903.38000001</v>
      </c>
      <c r="AE47" s="34"/>
      <c r="AF47" s="34">
        <f>AF26+AF32+AF45</f>
        <v>0</v>
      </c>
      <c r="AG47" s="34"/>
      <c r="AH47" s="34">
        <f>AH26+AH32+AH45</f>
        <v>0</v>
      </c>
      <c r="AI47" s="34"/>
      <c r="AJ47" s="34">
        <f>AJ26+AJ32+AJ45</f>
        <v>0</v>
      </c>
      <c r="AK47" s="33">
        <f>SUM(H47:AJ47)</f>
        <v>7420206098.444973</v>
      </c>
      <c r="AL47" s="30" t="str">
        <f>IF(ABS(AK47-F47)&lt;1,"ok","err")</f>
        <v>ok</v>
      </c>
    </row>
    <row r="48" spans="1:38" x14ac:dyDescent="0.25">
      <c r="D48" s="164"/>
      <c r="E48" s="17"/>
      <c r="Y48" s="29"/>
      <c r="AL48" s="30"/>
    </row>
    <row r="49" spans="1:38" x14ac:dyDescent="0.25">
      <c r="D49" s="164"/>
      <c r="E49" s="17"/>
      <c r="Y49" s="29"/>
      <c r="AL49" s="30"/>
    </row>
    <row r="50" spans="1:38" x14ac:dyDescent="0.25">
      <c r="D50" s="164"/>
      <c r="E50" s="17"/>
      <c r="Y50" s="29"/>
      <c r="AL50" s="30"/>
    </row>
    <row r="51" spans="1:38" x14ac:dyDescent="0.25">
      <c r="D51" s="164"/>
      <c r="E51" s="17"/>
      <c r="Y51" s="29"/>
      <c r="AL51" s="30"/>
    </row>
    <row r="52" spans="1:38" x14ac:dyDescent="0.25">
      <c r="D52" s="164"/>
      <c r="E52" s="17"/>
      <c r="Y52" s="29"/>
      <c r="AL52" s="30"/>
    </row>
    <row r="53" spans="1:38" x14ac:dyDescent="0.25">
      <c r="A53" s="3" t="s">
        <v>433</v>
      </c>
      <c r="D53" s="164"/>
      <c r="E53" s="17"/>
      <c r="Y53" s="29"/>
      <c r="AL53" s="30"/>
    </row>
    <row r="54" spans="1:38" x14ac:dyDescent="0.25">
      <c r="D54" s="164"/>
      <c r="E54" s="17"/>
      <c r="Y54" s="29"/>
      <c r="AL54" s="30"/>
    </row>
    <row r="55" spans="1:38" x14ac:dyDescent="0.25">
      <c r="A55" s="3" t="s">
        <v>172</v>
      </c>
      <c r="D55" s="164"/>
      <c r="E55" s="17"/>
      <c r="Y55" s="29"/>
      <c r="AL55" s="30"/>
    </row>
    <row r="56" spans="1:38" x14ac:dyDescent="0.25">
      <c r="D56" s="164"/>
      <c r="E56" s="17"/>
      <c r="Y56" s="29"/>
      <c r="AK56" s="33"/>
      <c r="AL56" s="30"/>
    </row>
    <row r="57" spans="1:38" x14ac:dyDescent="0.25">
      <c r="B57" s="29" t="s">
        <v>173</v>
      </c>
      <c r="C57" s="29" t="s">
        <v>174</v>
      </c>
      <c r="D57" s="164" t="s">
        <v>456</v>
      </c>
      <c r="E57" s="17"/>
      <c r="F57" s="32">
        <f>'Jurisdictional Study'!F753-18253-7971453</f>
        <v>207270158.1241774</v>
      </c>
      <c r="G57" s="32"/>
      <c r="H57" s="33">
        <f>IF(VLOOKUP($D57,$C$5:$AJ$596,6,)=0,0,((VLOOKUP($D57,$C$5:$AJ$596,6,)/VLOOKUP($D57,$C$5:$AJ$596,4,))*$F57))</f>
        <v>124583151.6523618</v>
      </c>
      <c r="I57" s="33">
        <f>IF(VLOOKUP($D57,$C$5:$AJ$596,7,)=0,0,((VLOOKUP($D57,$C$5:$AJ$596,7,)/VLOOKUP($D57,$C$5:$AJ$596,4,))*$F57))</f>
        <v>0</v>
      </c>
      <c r="J57" s="33">
        <f>IF(VLOOKUP($D57,$C$5:$AJ$596,8,)=0,0,((VLOOKUP($D57,$C$5:$AJ$596,8,)/VLOOKUP($D57,$C$5:$AJ$596,4,))*$F57))</f>
        <v>0</v>
      </c>
      <c r="K57" s="33">
        <f>IF(VLOOKUP($D57,$C$5:$AJ$596,9,)=0,0,((VLOOKUP($D57,$C$5:$AJ$596,9,)/VLOOKUP($D57,$C$5:$AJ$596,4,))*$F57))</f>
        <v>0</v>
      </c>
      <c r="L57" s="33">
        <f>IF(VLOOKUP($D57,$C$5:$AJ$596,10,)=0,0,((VLOOKUP($D57,$C$5:$AJ$596,10,)/VLOOKUP($D57,$C$5:$AJ$596,4,))*$F57))</f>
        <v>0</v>
      </c>
      <c r="M57" s="33">
        <f>IF(VLOOKUP($D57,$C$5:$AJ$596,11,)=0,0,((VLOOKUP($D57,$C$5:$AJ$596,11,)/VLOOKUP($D57,$C$5:$AJ$596,4,))*$F57))</f>
        <v>0</v>
      </c>
      <c r="N57" s="33"/>
      <c r="O57" s="33">
        <f>IF(VLOOKUP($D57,$C$5:$AJ$596,13,)=0,0,((VLOOKUP($D57,$C$5:$AJ$596,13,)/VLOOKUP($D57,$C$5:$AJ$596,4,))*$F57))</f>
        <v>28858246.791631989</v>
      </c>
      <c r="P57" s="33">
        <f>IF(VLOOKUP($D57,$C$5:$AJ$596,14,)=0,0,((VLOOKUP($D57,$C$5:$AJ$596,14,)/VLOOKUP($D57,$C$5:$AJ$596,4,))*$F57))</f>
        <v>0</v>
      </c>
      <c r="Q57" s="33">
        <f>IF(VLOOKUP($D57,$C$5:$AJ$596,15,)=0,0,((VLOOKUP($D57,$C$5:$AJ$596,15,)/VLOOKUP($D57,$C$5:$AJ$596,4,))*$F57))</f>
        <v>0</v>
      </c>
      <c r="R57" s="33"/>
      <c r="S57" s="33">
        <f>IF(VLOOKUP($D57,$C$5:$AJ$596,17,)=0,0,((VLOOKUP($D57,$C$5:$AJ$596,17,)/VLOOKUP($D57,$C$5:$AJ$596,4,))*$F57))</f>
        <v>0</v>
      </c>
      <c r="T57" s="33">
        <f>IF(VLOOKUP($D57,$C$5:$AJ$596,18,)=0,0,((VLOOKUP($D57,$C$5:$AJ$596,18,)/VLOOKUP($D57,$C$5:$AJ$596,4,))*$F57))</f>
        <v>7829932.310653341</v>
      </c>
      <c r="U57" s="33">
        <f>IF(VLOOKUP($D57,$C$5:$AJ$596,19,)=0,0,((VLOOKUP($D57,$C$5:$AJ$596,19,)/VLOOKUP($D57,$C$5:$AJ$596,4,))*$F57))</f>
        <v>0</v>
      </c>
      <c r="V57" s="33">
        <f>IF(VLOOKUP($D57,$C$5:$AJ$596,20,)=0,0,((VLOOKUP($D57,$C$5:$AJ$596,20,)/VLOOKUP($D57,$C$5:$AJ$596,4,))*$F57))</f>
        <v>6405930.1708671451</v>
      </c>
      <c r="W57" s="33">
        <f>IF(VLOOKUP($D57,$C$5:$AJ$596,21,)=0,0,((VLOOKUP($D57,$C$5:$AJ$596,21,)/VLOOKUP($D57,$C$5:$AJ$596,4,))*$F57))</f>
        <v>12054428.932793554</v>
      </c>
      <c r="X57" s="33">
        <f>IF(VLOOKUP($D57,$C$5:$AJ$596,22,)=0,0,((VLOOKUP($D57,$C$5:$AJ$596,22,)/VLOOKUP($D57,$C$5:$AJ$596,4,))*$F57))</f>
        <v>3489414.4105299171</v>
      </c>
      <c r="Y57" s="33">
        <f>IF(VLOOKUP($D57,$C$5:$AJ$596,23,)=0,0,((VLOOKUP($D57,$C$5:$AJ$596,23,)/VLOOKUP($D57,$C$5:$AJ$596,4,))*$F57))</f>
        <v>6464062.8719548192</v>
      </c>
      <c r="Z57" s="33">
        <f>IF(VLOOKUP($D57,$C$5:$AJ$596,24,)=0,0,((VLOOKUP($D57,$C$5:$AJ$596,24,)/VLOOKUP($D57,$C$5:$AJ$596,4,))*$F57))</f>
        <v>4726826.6584313223</v>
      </c>
      <c r="AA57" s="33">
        <f>IF(VLOOKUP($D57,$C$5:$AJ$596,25,)=0,0,((VLOOKUP($D57,$C$5:$AJ$596,25,)/VLOOKUP($D57,$C$5:$AJ$596,4,))*$F57))</f>
        <v>4099349.5966430237</v>
      </c>
      <c r="AB57" s="33">
        <f>IF(VLOOKUP($D57,$C$5:$AJ$596,26,)=0,0,((VLOOKUP($D57,$C$5:$AJ$596,26,)/VLOOKUP($D57,$C$5:$AJ$596,4,))*$F57))</f>
        <v>3035560.0098017501</v>
      </c>
      <c r="AC57" s="33">
        <f>IF(VLOOKUP($D57,$C$5:$AJ$596,27,)=0,0,((VLOOKUP($D57,$C$5:$AJ$596,27,)/VLOOKUP($D57,$C$5:$AJ$596,4,))*$F57))</f>
        <v>2169008.1364680077</v>
      </c>
      <c r="AD57" s="33">
        <f>IF(VLOOKUP($D57,$C$5:$AJ$596,28,)=0,0,((VLOOKUP($D57,$C$5:$AJ$596,28,)/VLOOKUP($D57,$C$5:$AJ$596,4,))*$F57))</f>
        <v>3554246.5820407243</v>
      </c>
      <c r="AE57" s="33"/>
      <c r="AF57" s="33">
        <f>IF(VLOOKUP($D57,$C$5:$AJ$596,30,)=0,0,((VLOOKUP($D57,$C$5:$AJ$596,30,)/VLOOKUP($D57,$C$5:$AJ$596,4,))*$F57))</f>
        <v>0</v>
      </c>
      <c r="AG57" s="33"/>
      <c r="AH57" s="33">
        <f>IF(VLOOKUP($D57,$C$5:$AJ$596,32,)=0,0,((VLOOKUP($D57,$C$5:$AJ$596,32,)/VLOOKUP($D57,$C$5:$AJ$596,4,))*$F57))</f>
        <v>0</v>
      </c>
      <c r="AI57" s="33"/>
      <c r="AJ57" s="33">
        <f>IF(VLOOKUP($D57,$C$5:$AJ$596,34,)=0,0,((VLOOKUP($D57,$C$5:$AJ$596,34,)/VLOOKUP($D57,$C$5:$AJ$596,4,))*$F57))</f>
        <v>0</v>
      </c>
      <c r="AK57" s="33">
        <f>SUM(H57:AJ57)</f>
        <v>207270158.12417737</v>
      </c>
      <c r="AL57" s="30" t="str">
        <f>IF(ABS(AK57-F57)&lt;1,"ok","err")</f>
        <v>ok</v>
      </c>
    </row>
    <row r="58" spans="1:38" x14ac:dyDescent="0.25">
      <c r="D58" s="164"/>
      <c r="E58" s="17"/>
      <c r="P58" s="33"/>
      <c r="Q58" s="33"/>
      <c r="Y58" s="29"/>
      <c r="AK58" s="33"/>
      <c r="AL58" s="30"/>
    </row>
    <row r="59" spans="1:38" x14ac:dyDescent="0.25">
      <c r="B59" s="29" t="s">
        <v>1446</v>
      </c>
      <c r="C59" s="29" t="s">
        <v>1447</v>
      </c>
      <c r="D59" s="164" t="s">
        <v>456</v>
      </c>
      <c r="E59" s="17"/>
      <c r="F59" s="32">
        <v>0</v>
      </c>
      <c r="H59" s="33">
        <f>IF(VLOOKUP($D59,$C$5:$AJ$596,6,)=0,0,((VLOOKUP($D59,$C$5:$AJ$596,6,)/VLOOKUP($D59,$C$5:$AJ$596,4,))*$F59))</f>
        <v>0</v>
      </c>
      <c r="I59" s="33">
        <f>IF(VLOOKUP($D59,$C$5:$AJ$596,7,)=0,0,((VLOOKUP($D59,$C$5:$AJ$596,7,)/VLOOKUP($D59,$C$5:$AJ$596,4,))*$F59))</f>
        <v>0</v>
      </c>
      <c r="J59" s="33">
        <f>IF(VLOOKUP($D59,$C$5:$AJ$596,8,)=0,0,((VLOOKUP($D59,$C$5:$AJ$596,8,)/VLOOKUP($D59,$C$5:$AJ$596,4,))*$F59))</f>
        <v>0</v>
      </c>
      <c r="K59" s="33">
        <f>IF(VLOOKUP($D59,$C$5:$AJ$596,9,)=0,0,((VLOOKUP($D59,$C$5:$AJ$596,9,)/VLOOKUP($D59,$C$5:$AJ$596,4,))*$F59))</f>
        <v>0</v>
      </c>
      <c r="L59" s="33">
        <f>IF(VLOOKUP($D59,$C$5:$AJ$596,10,)=0,0,((VLOOKUP($D59,$C$5:$AJ$596,10,)/VLOOKUP($D59,$C$5:$AJ$596,4,))*$F59))</f>
        <v>0</v>
      </c>
      <c r="M59" s="33">
        <f>IF(VLOOKUP($D59,$C$5:$AJ$596,11,)=0,0,((VLOOKUP($D59,$C$5:$AJ$596,11,)/VLOOKUP($D59,$C$5:$AJ$596,4,))*$F59))</f>
        <v>0</v>
      </c>
      <c r="N59" s="33"/>
      <c r="O59" s="33">
        <f>IF(VLOOKUP($D59,$C$5:$AJ$596,13,)=0,0,((VLOOKUP($D59,$C$5:$AJ$596,13,)/VLOOKUP($D59,$C$5:$AJ$596,4,))*$F59))</f>
        <v>0</v>
      </c>
      <c r="P59" s="33">
        <f>IF(VLOOKUP($D59,$C$5:$AJ$596,14,)=0,0,((VLOOKUP($D59,$C$5:$AJ$596,14,)/VLOOKUP($D59,$C$5:$AJ$596,4,))*$F59))</f>
        <v>0</v>
      </c>
      <c r="Q59" s="33">
        <f>IF(VLOOKUP($D59,$C$5:$AJ$596,15,)=0,0,((VLOOKUP($D59,$C$5:$AJ$596,15,)/VLOOKUP($D59,$C$5:$AJ$596,4,))*$F59))</f>
        <v>0</v>
      </c>
      <c r="R59" s="33"/>
      <c r="S59" s="33">
        <f>IF(VLOOKUP($D59,$C$5:$AJ$596,17,)=0,0,((VLOOKUP($D59,$C$5:$AJ$596,17,)/VLOOKUP($D59,$C$5:$AJ$596,4,))*$F59))</f>
        <v>0</v>
      </c>
      <c r="T59" s="33">
        <f>IF(VLOOKUP($D59,$C$5:$AJ$596,18,)=0,0,((VLOOKUP($D59,$C$5:$AJ$596,18,)/VLOOKUP($D59,$C$5:$AJ$596,4,))*$F59))</f>
        <v>0</v>
      </c>
      <c r="U59" s="33">
        <f>IF(VLOOKUP($D59,$C$5:$AJ$596,19,)=0,0,((VLOOKUP($D59,$C$5:$AJ$596,19,)/VLOOKUP($D59,$C$5:$AJ$596,4,))*$F59))</f>
        <v>0</v>
      </c>
      <c r="V59" s="33">
        <f>IF(VLOOKUP($D59,$C$5:$AJ$596,20,)=0,0,((VLOOKUP($D59,$C$5:$AJ$596,20,)/VLOOKUP($D59,$C$5:$AJ$596,4,))*$F59))</f>
        <v>0</v>
      </c>
      <c r="W59" s="33">
        <f>IF(VLOOKUP($D59,$C$5:$AJ$596,21,)=0,0,((VLOOKUP($D59,$C$5:$AJ$596,21,)/VLOOKUP($D59,$C$5:$AJ$596,4,))*$F59))</f>
        <v>0</v>
      </c>
      <c r="X59" s="33">
        <f>IF(VLOOKUP($D59,$C$5:$AJ$596,22,)=0,0,((VLOOKUP($D59,$C$5:$AJ$596,22,)/VLOOKUP($D59,$C$5:$AJ$596,4,))*$F59))</f>
        <v>0</v>
      </c>
      <c r="Y59" s="33">
        <f>IF(VLOOKUP($D59,$C$5:$AJ$596,23,)=0,0,((VLOOKUP($D59,$C$5:$AJ$596,23,)/VLOOKUP($D59,$C$5:$AJ$596,4,))*$F59))</f>
        <v>0</v>
      </c>
      <c r="Z59" s="33">
        <f>IF(VLOOKUP($D59,$C$5:$AJ$596,24,)=0,0,((VLOOKUP($D59,$C$5:$AJ$596,24,)/VLOOKUP($D59,$C$5:$AJ$596,4,))*$F59))</f>
        <v>0</v>
      </c>
      <c r="AA59" s="33">
        <f>IF(VLOOKUP($D59,$C$5:$AJ$596,25,)=0,0,((VLOOKUP($D59,$C$5:$AJ$596,25,)/VLOOKUP($D59,$C$5:$AJ$596,4,))*$F59))</f>
        <v>0</v>
      </c>
      <c r="AB59" s="33">
        <f>IF(VLOOKUP($D59,$C$5:$AJ$596,26,)=0,0,((VLOOKUP($D59,$C$5:$AJ$596,26,)/VLOOKUP($D59,$C$5:$AJ$596,4,))*$F59))</f>
        <v>0</v>
      </c>
      <c r="AC59" s="33">
        <f>IF(VLOOKUP($D59,$C$5:$AJ$596,27,)=0,0,((VLOOKUP($D59,$C$5:$AJ$596,27,)/VLOOKUP($D59,$C$5:$AJ$596,4,))*$F59))</f>
        <v>0</v>
      </c>
      <c r="AD59" s="33">
        <f>IF(VLOOKUP($D59,$C$5:$AJ$596,28,)=0,0,((VLOOKUP($D59,$C$5:$AJ$596,28,)/VLOOKUP($D59,$C$5:$AJ$596,4,))*$F59))</f>
        <v>0</v>
      </c>
      <c r="AE59" s="33"/>
      <c r="AF59" s="33">
        <f>IF(VLOOKUP($D59,$C$5:$AJ$596,30,)=0,0,((VLOOKUP($D59,$C$5:$AJ$596,30,)/VLOOKUP($D59,$C$5:$AJ$596,4,))*$F59))</f>
        <v>0</v>
      </c>
      <c r="AG59" s="33"/>
      <c r="AH59" s="33">
        <f>IF(VLOOKUP($D59,$C$5:$AJ$596,32,)=0,0,((VLOOKUP($D59,$C$5:$AJ$596,32,)/VLOOKUP($D59,$C$5:$AJ$596,4,))*$F59))</f>
        <v>0</v>
      </c>
      <c r="AI59" s="33"/>
      <c r="AJ59" s="33">
        <f>IF(VLOOKUP($D59,$C$5:$AJ$596,34,)=0,0,((VLOOKUP($D59,$C$5:$AJ$596,34,)/VLOOKUP($D59,$C$5:$AJ$596,4,))*$F59))</f>
        <v>0</v>
      </c>
      <c r="AK59" s="33">
        <f>SUM(H59:AJ59)</f>
        <v>0</v>
      </c>
      <c r="AL59" s="30" t="str">
        <f>IF(ABS(AK59-F59)&lt;1,"ok","err")</f>
        <v>ok</v>
      </c>
    </row>
    <row r="60" spans="1:38" x14ac:dyDescent="0.25">
      <c r="A60" s="31">
        <v>105</v>
      </c>
      <c r="B60" s="29" t="s">
        <v>2094</v>
      </c>
      <c r="C60" s="29" t="s">
        <v>488</v>
      </c>
      <c r="D60" s="164" t="s">
        <v>1445</v>
      </c>
      <c r="E60" s="17"/>
      <c r="F60" s="32">
        <f>'Jurisdictional Study'!F756</f>
        <v>290168.5549759267</v>
      </c>
      <c r="H60" s="33">
        <f>IF(VLOOKUP($D60,$C$5:$AJ$596,6,)=0,0,((VLOOKUP($D60,$C$5:$AJ$596,6,)/VLOOKUP($D60,$C$5:$AJ$596,4,))*$F60))</f>
        <v>290168.5549759267</v>
      </c>
      <c r="I60" s="33">
        <f>IF(VLOOKUP($D60,$C$5:$AJ$596,7,)=0,0,((VLOOKUP($D60,$C$5:$AJ$596,7,)/VLOOKUP($D60,$C$5:$AJ$596,4,))*$F60))</f>
        <v>0</v>
      </c>
      <c r="J60" s="33">
        <f>IF(VLOOKUP($D60,$C$5:$AJ$596,8,)=0,0,((VLOOKUP($D60,$C$5:$AJ$596,8,)/VLOOKUP($D60,$C$5:$AJ$596,4,))*$F60))</f>
        <v>0</v>
      </c>
      <c r="K60" s="33">
        <f>IF(VLOOKUP($D60,$C$5:$AJ$596,9,)=0,0,((VLOOKUP($D60,$C$5:$AJ$596,9,)/VLOOKUP($D60,$C$5:$AJ$596,4,))*$F60))</f>
        <v>0</v>
      </c>
      <c r="L60" s="33">
        <f>IF(VLOOKUP($D60,$C$5:$AJ$596,10,)=0,0,((VLOOKUP($D60,$C$5:$AJ$596,10,)/VLOOKUP($D60,$C$5:$AJ$596,4,))*$F60))</f>
        <v>0</v>
      </c>
      <c r="M60" s="33">
        <f>IF(VLOOKUP($D60,$C$5:$AJ$596,11,)=0,0,((VLOOKUP($D60,$C$5:$AJ$596,11,)/VLOOKUP($D60,$C$5:$AJ$596,4,))*$F60))</f>
        <v>0</v>
      </c>
      <c r="N60" s="33"/>
      <c r="O60" s="33">
        <f>IF(VLOOKUP($D60,$C$5:$AJ$596,13,)=0,0,((VLOOKUP($D60,$C$5:$AJ$596,13,)/VLOOKUP($D60,$C$5:$AJ$596,4,))*$F60))</f>
        <v>0</v>
      </c>
      <c r="P60" s="33">
        <f>IF(VLOOKUP($D60,$C$5:$AJ$596,14,)=0,0,((VLOOKUP($D60,$C$5:$AJ$596,14,)/VLOOKUP($D60,$C$5:$AJ$596,4,))*$F60))</f>
        <v>0</v>
      </c>
      <c r="Q60" s="33">
        <f>IF(VLOOKUP($D60,$C$5:$AJ$596,15,)=0,0,((VLOOKUP($D60,$C$5:$AJ$596,15,)/VLOOKUP($D60,$C$5:$AJ$596,4,))*$F60))</f>
        <v>0</v>
      </c>
      <c r="R60" s="33"/>
      <c r="S60" s="33">
        <f>IF(VLOOKUP($D60,$C$5:$AJ$596,17,)=0,0,((VLOOKUP($D60,$C$5:$AJ$596,17,)/VLOOKUP($D60,$C$5:$AJ$596,4,))*$F60))</f>
        <v>0</v>
      </c>
      <c r="T60" s="33">
        <f>IF(VLOOKUP($D60,$C$5:$AJ$596,18,)=0,0,((VLOOKUP($D60,$C$5:$AJ$596,18,)/VLOOKUP($D60,$C$5:$AJ$596,4,))*$F60))</f>
        <v>0</v>
      </c>
      <c r="U60" s="33">
        <f>IF(VLOOKUP($D60,$C$5:$AJ$596,19,)=0,0,((VLOOKUP($D60,$C$5:$AJ$596,19,)/VLOOKUP($D60,$C$5:$AJ$596,4,))*$F60))</f>
        <v>0</v>
      </c>
      <c r="V60" s="33">
        <f>IF(VLOOKUP($D60,$C$5:$AJ$596,20,)=0,0,((VLOOKUP($D60,$C$5:$AJ$596,20,)/VLOOKUP($D60,$C$5:$AJ$596,4,))*$F60))</f>
        <v>0</v>
      </c>
      <c r="W60" s="33">
        <f>IF(VLOOKUP($D60,$C$5:$AJ$596,21,)=0,0,((VLOOKUP($D60,$C$5:$AJ$596,21,)/VLOOKUP($D60,$C$5:$AJ$596,4,))*$F60))</f>
        <v>0</v>
      </c>
      <c r="X60" s="33">
        <f>IF(VLOOKUP($D60,$C$5:$AJ$596,22,)=0,0,((VLOOKUP($D60,$C$5:$AJ$596,22,)/VLOOKUP($D60,$C$5:$AJ$596,4,))*$F60))</f>
        <v>0</v>
      </c>
      <c r="Y60" s="33">
        <f>IF(VLOOKUP($D60,$C$5:$AJ$596,23,)=0,0,((VLOOKUP($D60,$C$5:$AJ$596,23,)/VLOOKUP($D60,$C$5:$AJ$596,4,))*$F60))</f>
        <v>0</v>
      </c>
      <c r="Z60" s="33">
        <f>IF(VLOOKUP($D60,$C$5:$AJ$596,24,)=0,0,((VLOOKUP($D60,$C$5:$AJ$596,24,)/VLOOKUP($D60,$C$5:$AJ$596,4,))*$F60))</f>
        <v>0</v>
      </c>
      <c r="AA60" s="33">
        <f>IF(VLOOKUP($D60,$C$5:$AJ$596,25,)=0,0,((VLOOKUP($D60,$C$5:$AJ$596,25,)/VLOOKUP($D60,$C$5:$AJ$596,4,))*$F60))</f>
        <v>0</v>
      </c>
      <c r="AB60" s="33">
        <f>IF(VLOOKUP($D60,$C$5:$AJ$596,26,)=0,0,((VLOOKUP($D60,$C$5:$AJ$596,26,)/VLOOKUP($D60,$C$5:$AJ$596,4,))*$F60))</f>
        <v>0</v>
      </c>
      <c r="AC60" s="33">
        <f>IF(VLOOKUP($D60,$C$5:$AJ$596,27,)=0,0,((VLOOKUP($D60,$C$5:$AJ$596,27,)/VLOOKUP($D60,$C$5:$AJ$596,4,))*$F60))</f>
        <v>0</v>
      </c>
      <c r="AD60" s="33">
        <f>IF(VLOOKUP($D60,$C$5:$AJ$596,28,)=0,0,((VLOOKUP($D60,$C$5:$AJ$596,28,)/VLOOKUP($D60,$C$5:$AJ$596,4,))*$F60))</f>
        <v>0</v>
      </c>
      <c r="AE60" s="33"/>
      <c r="AF60" s="33">
        <f>IF(VLOOKUP($D60,$C$5:$AJ$596,30,)=0,0,((VLOOKUP($D60,$C$5:$AJ$596,30,)/VLOOKUP($D60,$C$5:$AJ$596,4,))*$F60))</f>
        <v>0</v>
      </c>
      <c r="AG60" s="33"/>
      <c r="AH60" s="33">
        <f>IF(VLOOKUP($D60,$C$5:$AJ$596,32,)=0,0,((VLOOKUP($D60,$C$5:$AJ$596,32,)/VLOOKUP($D60,$C$5:$AJ$596,4,))*$F60))</f>
        <v>0</v>
      </c>
      <c r="AI60" s="33"/>
      <c r="AJ60" s="33">
        <f>IF(VLOOKUP($D60,$C$5:$AJ$596,34,)=0,0,((VLOOKUP($D60,$C$5:$AJ$596,34,)/VLOOKUP($D60,$C$5:$AJ$596,4,))*$F60))</f>
        <v>0</v>
      </c>
      <c r="AK60" s="33">
        <f>SUM(H60:AJ60)</f>
        <v>290168.5549759267</v>
      </c>
      <c r="AL60" s="30" t="str">
        <f>IF(ABS(AK60-F60)&lt;1,"ok","err")</f>
        <v>ok</v>
      </c>
    </row>
    <row r="61" spans="1:38" x14ac:dyDescent="0.25">
      <c r="A61" s="31">
        <v>105</v>
      </c>
      <c r="B61" s="29" t="s">
        <v>2095</v>
      </c>
      <c r="C61" s="29" t="s">
        <v>488</v>
      </c>
      <c r="D61" s="164" t="s">
        <v>109</v>
      </c>
      <c r="E61" s="17"/>
      <c r="F61" s="32">
        <f>'Jurisdictional Study'!F758</f>
        <v>1147334.75</v>
      </c>
      <c r="H61" s="33">
        <f>IF(VLOOKUP($D61,$C$5:$AJ$596,6,)=0,0,((VLOOKUP($D61,$C$5:$AJ$596,6,)/VLOOKUP($D61,$C$5:$AJ$596,4,))*$F61))</f>
        <v>0</v>
      </c>
      <c r="I61" s="33">
        <f>IF(VLOOKUP($D61,$C$5:$AJ$596,7,)=0,0,((VLOOKUP($D61,$C$5:$AJ$596,7,)/VLOOKUP($D61,$C$5:$AJ$596,4,))*$F61))</f>
        <v>0</v>
      </c>
      <c r="J61" s="33">
        <f>IF(VLOOKUP($D61,$C$5:$AJ$596,8,)=0,0,((VLOOKUP($D61,$C$5:$AJ$596,8,)/VLOOKUP($D61,$C$5:$AJ$596,4,))*$F61))</f>
        <v>0</v>
      </c>
      <c r="K61" s="33">
        <f>IF(VLOOKUP($D61,$C$5:$AJ$596,9,)=0,0,((VLOOKUP($D61,$C$5:$AJ$596,9,)/VLOOKUP($D61,$C$5:$AJ$596,4,))*$F61))</f>
        <v>0</v>
      </c>
      <c r="L61" s="33">
        <f>IF(VLOOKUP($D61,$C$5:$AJ$596,10,)=0,0,((VLOOKUP($D61,$C$5:$AJ$596,10,)/VLOOKUP($D61,$C$5:$AJ$596,4,))*$F61))</f>
        <v>0</v>
      </c>
      <c r="M61" s="33">
        <f>IF(VLOOKUP($D61,$C$5:$AJ$596,11,)=0,0,((VLOOKUP($D61,$C$5:$AJ$596,11,)/VLOOKUP($D61,$C$5:$AJ$596,4,))*$F61))</f>
        <v>0</v>
      </c>
      <c r="N61" s="33"/>
      <c r="O61" s="33">
        <f>IF(VLOOKUP($D61,$C$5:$AJ$596,13,)=0,0,((VLOOKUP($D61,$C$5:$AJ$596,13,)/VLOOKUP($D61,$C$5:$AJ$596,4,))*$F61))</f>
        <v>0</v>
      </c>
      <c r="P61" s="33">
        <f>IF(VLOOKUP($D61,$C$5:$AJ$596,14,)=0,0,((VLOOKUP($D61,$C$5:$AJ$596,14,)/VLOOKUP($D61,$C$5:$AJ$596,4,))*$F61))</f>
        <v>0</v>
      </c>
      <c r="Q61" s="33">
        <f>IF(VLOOKUP($D61,$C$5:$AJ$596,15,)=0,0,((VLOOKUP($D61,$C$5:$AJ$596,15,)/VLOOKUP($D61,$C$5:$AJ$596,4,))*$F61))</f>
        <v>0</v>
      </c>
      <c r="R61" s="33"/>
      <c r="S61" s="33">
        <f>IF(VLOOKUP($D61,$C$5:$AJ$596,17,)=0,0,((VLOOKUP($D61,$C$5:$AJ$596,17,)/VLOOKUP($D61,$C$5:$AJ$596,4,))*$F61))</f>
        <v>0</v>
      </c>
      <c r="T61" s="33">
        <f>IF(VLOOKUP($D61,$C$5:$AJ$596,18,)=0,0,((VLOOKUP($D61,$C$5:$AJ$596,18,)/VLOOKUP($D61,$C$5:$AJ$596,4,))*$F61))</f>
        <v>166891.33250580097</v>
      </c>
      <c r="U61" s="33">
        <f>IF(VLOOKUP($D61,$C$5:$AJ$596,19,)=0,0,((VLOOKUP($D61,$C$5:$AJ$596,19,)/VLOOKUP($D61,$C$5:$AJ$596,4,))*$F61))</f>
        <v>0</v>
      </c>
      <c r="V61" s="33">
        <f>IF(VLOOKUP($D61,$C$5:$AJ$596,20,)=0,0,((VLOOKUP($D61,$C$5:$AJ$596,20,)/VLOOKUP($D61,$C$5:$AJ$596,4,))*$F61))</f>
        <v>136539.39520020247</v>
      </c>
      <c r="W61" s="33">
        <f>IF(VLOOKUP($D61,$C$5:$AJ$596,21,)=0,0,((VLOOKUP($D61,$C$5:$AJ$596,21,)/VLOOKUP($D61,$C$5:$AJ$596,4,))*$F61))</f>
        <v>256934.49539189317</v>
      </c>
      <c r="X61" s="33">
        <f>IF(VLOOKUP($D61,$C$5:$AJ$596,22,)=0,0,((VLOOKUP($D61,$C$5:$AJ$596,22,)/VLOOKUP($D61,$C$5:$AJ$596,4,))*$F61))</f>
        <v>74375.230529890687</v>
      </c>
      <c r="Y61" s="33">
        <f>IF(VLOOKUP($D61,$C$5:$AJ$596,23,)=0,0,((VLOOKUP($D61,$C$5:$AJ$596,23,)/VLOOKUP($D61,$C$5:$AJ$596,4,))*$F61))</f>
        <v>137778.46644140375</v>
      </c>
      <c r="Z61" s="33">
        <f>IF(VLOOKUP($D61,$C$5:$AJ$596,24,)=0,0,((VLOOKUP($D61,$C$5:$AJ$596,24,)/VLOOKUP($D61,$C$5:$AJ$596,4,))*$F61))</f>
        <v>100750.09185918768</v>
      </c>
      <c r="AA61" s="33">
        <f>IF(VLOOKUP($D61,$C$5:$AJ$596,25,)=0,0,((VLOOKUP($D61,$C$5:$AJ$596,25,)/VLOOKUP($D61,$C$5:$AJ$596,4,))*$F61))</f>
        <v>87375.712770853541</v>
      </c>
      <c r="AB61" s="33">
        <f>IF(VLOOKUP($D61,$C$5:$AJ$596,26,)=0,0,((VLOOKUP($D61,$C$5:$AJ$596,26,)/VLOOKUP($D61,$C$5:$AJ$596,4,))*$F61))</f>
        <v>64701.536978531571</v>
      </c>
      <c r="AC61" s="33">
        <f>IF(VLOOKUP($D61,$C$5:$AJ$596,27,)=0,0,((VLOOKUP($D61,$C$5:$AJ$596,27,)/VLOOKUP($D61,$C$5:$AJ$596,4,))*$F61))</f>
        <v>46231.390483229479</v>
      </c>
      <c r="AD61" s="33">
        <f>IF(VLOOKUP($D61,$C$5:$AJ$596,28,)=0,0,((VLOOKUP($D61,$C$5:$AJ$596,28,)/VLOOKUP($D61,$C$5:$AJ$596,4,))*$F61))</f>
        <v>75757.097839006703</v>
      </c>
      <c r="AE61" s="33"/>
      <c r="AF61" s="33">
        <f>IF(VLOOKUP($D61,$C$5:$AJ$596,30,)=0,0,((VLOOKUP($D61,$C$5:$AJ$596,30,)/VLOOKUP($D61,$C$5:$AJ$596,4,))*$F61))</f>
        <v>0</v>
      </c>
      <c r="AG61" s="33"/>
      <c r="AH61" s="33">
        <f>IF(VLOOKUP($D61,$C$5:$AJ$596,32,)=0,0,((VLOOKUP($D61,$C$5:$AJ$596,32,)/VLOOKUP($D61,$C$5:$AJ$596,4,))*$F61))</f>
        <v>0</v>
      </c>
      <c r="AI61" s="33"/>
      <c r="AJ61" s="33">
        <f>IF(VLOOKUP($D61,$C$5:$AJ$596,34,)=0,0,((VLOOKUP($D61,$C$5:$AJ$596,34,)/VLOOKUP($D61,$C$5:$AJ$596,4,))*$F61))</f>
        <v>0</v>
      </c>
      <c r="AK61" s="33">
        <f>SUM(H61:AJ61)</f>
        <v>1147334.75</v>
      </c>
      <c r="AL61" s="30" t="str">
        <f>IF(ABS(AK61-F61)&lt;1,"ok","err")</f>
        <v>ok</v>
      </c>
    </row>
    <row r="62" spans="1:38" x14ac:dyDescent="0.25">
      <c r="A62" s="31">
        <v>105</v>
      </c>
      <c r="B62" s="29" t="s">
        <v>2188</v>
      </c>
      <c r="C62" s="29" t="s">
        <v>488</v>
      </c>
      <c r="D62" s="164" t="s">
        <v>456</v>
      </c>
      <c r="E62" s="17"/>
      <c r="F62" s="32">
        <f>'Jurisdictional Study'!F759</f>
        <v>124131.12331466416</v>
      </c>
      <c r="H62" s="33">
        <f>IF(VLOOKUP($D62,$C$5:$AJ$596,6,)=0,0,((VLOOKUP($D62,$C$5:$AJ$596,6,)/VLOOKUP($D62,$C$5:$AJ$596,4,))*$F62))</f>
        <v>74611.061720828235</v>
      </c>
      <c r="I62" s="33">
        <f>IF(VLOOKUP($D62,$C$5:$AJ$596,7,)=0,0,((VLOOKUP($D62,$C$5:$AJ$596,7,)/VLOOKUP($D62,$C$5:$AJ$596,4,))*$F62))</f>
        <v>0</v>
      </c>
      <c r="J62" s="33">
        <f>IF(VLOOKUP($D62,$C$5:$AJ$596,8,)=0,0,((VLOOKUP($D62,$C$5:$AJ$596,8,)/VLOOKUP($D62,$C$5:$AJ$596,4,))*$F62))</f>
        <v>0</v>
      </c>
      <c r="K62" s="33">
        <f>IF(VLOOKUP($D62,$C$5:$AJ$596,9,)=0,0,((VLOOKUP($D62,$C$5:$AJ$596,9,)/VLOOKUP($D62,$C$5:$AJ$596,4,))*$F62))</f>
        <v>0</v>
      </c>
      <c r="L62" s="33">
        <f>IF(VLOOKUP($D62,$C$5:$AJ$596,10,)=0,0,((VLOOKUP($D62,$C$5:$AJ$596,10,)/VLOOKUP($D62,$C$5:$AJ$596,4,))*$F62))</f>
        <v>0</v>
      </c>
      <c r="M62" s="33">
        <f>IF(VLOOKUP($D62,$C$5:$AJ$596,11,)=0,0,((VLOOKUP($D62,$C$5:$AJ$596,11,)/VLOOKUP($D62,$C$5:$AJ$596,4,))*$F62))</f>
        <v>0</v>
      </c>
      <c r="N62" s="33"/>
      <c r="O62" s="33">
        <f>IF(VLOOKUP($D62,$C$5:$AJ$596,13,)=0,0,((VLOOKUP($D62,$C$5:$AJ$596,13,)/VLOOKUP($D62,$C$5:$AJ$596,4,))*$F62))</f>
        <v>17282.789879433341</v>
      </c>
      <c r="P62" s="33">
        <f>IF(VLOOKUP($D62,$C$5:$AJ$596,14,)=0,0,((VLOOKUP($D62,$C$5:$AJ$596,14,)/VLOOKUP($D62,$C$5:$AJ$596,4,))*$F62))</f>
        <v>0</v>
      </c>
      <c r="Q62" s="33">
        <f>IF(VLOOKUP($D62,$C$5:$AJ$596,15,)=0,0,((VLOOKUP($D62,$C$5:$AJ$596,15,)/VLOOKUP($D62,$C$5:$AJ$596,4,))*$F62))</f>
        <v>0</v>
      </c>
      <c r="R62" s="33"/>
      <c r="S62" s="33">
        <f>IF(VLOOKUP($D62,$C$5:$AJ$596,17,)=0,0,((VLOOKUP($D62,$C$5:$AJ$596,17,)/VLOOKUP($D62,$C$5:$AJ$596,4,))*$F62))</f>
        <v>0</v>
      </c>
      <c r="T62" s="33">
        <f>IF(VLOOKUP($D62,$C$5:$AJ$596,18,)=0,0,((VLOOKUP($D62,$C$5:$AJ$596,18,)/VLOOKUP($D62,$C$5:$AJ$596,4,))*$F62))</f>
        <v>4689.2340990876564</v>
      </c>
      <c r="U62" s="33">
        <f>IF(VLOOKUP($D62,$C$5:$AJ$596,19,)=0,0,((VLOOKUP($D62,$C$5:$AJ$596,19,)/VLOOKUP($D62,$C$5:$AJ$596,4,))*$F62))</f>
        <v>0</v>
      </c>
      <c r="V62" s="33">
        <f>IF(VLOOKUP($D62,$C$5:$AJ$596,20,)=0,0,((VLOOKUP($D62,$C$5:$AJ$596,20,)/VLOOKUP($D62,$C$5:$AJ$596,4,))*$F62))</f>
        <v>3836.4196524066942</v>
      </c>
      <c r="W62" s="33">
        <f>IF(VLOOKUP($D62,$C$5:$AJ$596,21,)=0,0,((VLOOKUP($D62,$C$5:$AJ$596,21,)/VLOOKUP($D62,$C$5:$AJ$596,4,))*$F62))</f>
        <v>7219.2245033556046</v>
      </c>
      <c r="X62" s="33">
        <f>IF(VLOOKUP($D62,$C$5:$AJ$596,22,)=0,0,((VLOOKUP($D62,$C$5:$AJ$596,22,)/VLOOKUP($D62,$C$5:$AJ$596,4,))*$F62))</f>
        <v>2089.7602163740053</v>
      </c>
      <c r="Y62" s="33">
        <f>IF(VLOOKUP($D62,$C$5:$AJ$596,23,)=0,0,((VLOOKUP($D62,$C$5:$AJ$596,23,)/VLOOKUP($D62,$C$5:$AJ$596,4,))*$F62))</f>
        <v>3871.2344928672555</v>
      </c>
      <c r="Z62" s="33">
        <f>IF(VLOOKUP($D62,$C$5:$AJ$596,24,)=0,0,((VLOOKUP($D62,$C$5:$AJ$596,24,)/VLOOKUP($D62,$C$5:$AJ$596,4,))*$F62))</f>
        <v>2830.8286544233515</v>
      </c>
      <c r="AA62" s="33">
        <f>IF(VLOOKUP($D62,$C$5:$AJ$596,25,)=0,0,((VLOOKUP($D62,$C$5:$AJ$596,25,)/VLOOKUP($D62,$C$5:$AJ$596,4,))*$F62))</f>
        <v>2455.0416465932026</v>
      </c>
      <c r="AB62" s="33">
        <f>IF(VLOOKUP($D62,$C$5:$AJ$596,26,)=0,0,((VLOOKUP($D62,$C$5:$AJ$596,26,)/VLOOKUP($D62,$C$5:$AJ$596,4,))*$F62))</f>
        <v>1817.9533287180466</v>
      </c>
      <c r="AC62" s="33">
        <f>IF(VLOOKUP($D62,$C$5:$AJ$596,27,)=0,0,((VLOOKUP($D62,$C$5:$AJ$596,27,)/VLOOKUP($D62,$C$5:$AJ$596,4,))*$F62))</f>
        <v>1298.9878470450881</v>
      </c>
      <c r="AD62" s="33">
        <f>IF(VLOOKUP($D62,$C$5:$AJ$596,28,)=0,0,((VLOOKUP($D62,$C$5:$AJ$596,28,)/VLOOKUP($D62,$C$5:$AJ$596,4,))*$F62))</f>
        <v>2128.5872735316693</v>
      </c>
      <c r="AE62" s="33"/>
      <c r="AF62" s="33">
        <f>IF(VLOOKUP($D62,$C$5:$AJ$596,30,)=0,0,((VLOOKUP($D62,$C$5:$AJ$596,30,)/VLOOKUP($D62,$C$5:$AJ$596,4,))*$F62))</f>
        <v>0</v>
      </c>
      <c r="AG62" s="33"/>
      <c r="AH62" s="33">
        <f>IF(VLOOKUP($D62,$C$5:$AJ$596,32,)=0,0,((VLOOKUP($D62,$C$5:$AJ$596,32,)/VLOOKUP($D62,$C$5:$AJ$596,4,))*$F62))</f>
        <v>0</v>
      </c>
      <c r="AI62" s="33"/>
      <c r="AJ62" s="33">
        <f>IF(VLOOKUP($D62,$C$5:$AJ$596,34,)=0,0,((VLOOKUP($D62,$C$5:$AJ$596,34,)/VLOOKUP($D62,$C$5:$AJ$596,4,))*$F62))</f>
        <v>0</v>
      </c>
      <c r="AK62" s="33">
        <f>SUM(H62:AJ62)</f>
        <v>124131.12331466418</v>
      </c>
      <c r="AL62" s="30" t="str">
        <f>IF(ABS(AK62-F62)&lt;1,"ok","err")</f>
        <v>ok</v>
      </c>
    </row>
    <row r="63" spans="1:38" x14ac:dyDescent="0.25">
      <c r="D63" s="164"/>
      <c r="E63" s="17"/>
      <c r="P63" s="33"/>
      <c r="Q63" s="33"/>
      <c r="Y63" s="29"/>
      <c r="AK63" s="33"/>
      <c r="AL63" s="30"/>
    </row>
    <row r="64" spans="1:38" x14ac:dyDescent="0.25">
      <c r="A64" s="31"/>
      <c r="B64" s="29" t="s">
        <v>1264</v>
      </c>
      <c r="D64" s="164" t="s">
        <v>109</v>
      </c>
      <c r="E64" s="17"/>
      <c r="F64" s="33">
        <v>0</v>
      </c>
      <c r="H64" s="33">
        <f>IF(VLOOKUP($D64,$C$5:$AJ$596,6,)=0,0,((VLOOKUP($D64,$C$5:$AJ$596,6,)/VLOOKUP($D64,$C$5:$AJ$596,4,))*$F64))</f>
        <v>0</v>
      </c>
      <c r="I64" s="33">
        <f>IF(VLOOKUP($D64,$C$5:$AJ$596,7,)=0,0,((VLOOKUP($D64,$C$5:$AJ$596,7,)/VLOOKUP($D64,$C$5:$AJ$596,4,))*$F64))</f>
        <v>0</v>
      </c>
      <c r="J64" s="33">
        <f>IF(VLOOKUP($D64,$C$5:$AJ$596,8,)=0,0,((VLOOKUP($D64,$C$5:$AJ$596,8,)/VLOOKUP($D64,$C$5:$AJ$596,4,))*$F64))</f>
        <v>0</v>
      </c>
      <c r="K64" s="33">
        <f>IF(VLOOKUP($D64,$C$5:$AJ$596,9,)=0,0,((VLOOKUP($D64,$C$5:$AJ$596,9,)/VLOOKUP($D64,$C$5:$AJ$596,4,))*$F64))</f>
        <v>0</v>
      </c>
      <c r="L64" s="33">
        <f>IF(VLOOKUP($D64,$C$5:$AJ$596,10,)=0,0,((VLOOKUP($D64,$C$5:$AJ$596,10,)/VLOOKUP($D64,$C$5:$AJ$596,4,))*$F64))</f>
        <v>0</v>
      </c>
      <c r="M64" s="33">
        <f>IF(VLOOKUP($D64,$C$5:$AJ$596,11,)=0,0,((VLOOKUP($D64,$C$5:$AJ$596,11,)/VLOOKUP($D64,$C$5:$AJ$596,4,))*$F64))</f>
        <v>0</v>
      </c>
      <c r="N64" s="33"/>
      <c r="O64" s="33">
        <f>IF(VLOOKUP($D64,$C$5:$AJ$596,13,)=0,0,((VLOOKUP($D64,$C$5:$AJ$596,13,)/VLOOKUP($D64,$C$5:$AJ$596,4,))*$F64))</f>
        <v>0</v>
      </c>
      <c r="P64" s="33">
        <f>IF(VLOOKUP($D64,$C$5:$AJ$596,14,)=0,0,((VLOOKUP($D64,$C$5:$AJ$596,14,)/VLOOKUP($D64,$C$5:$AJ$596,4,))*$F64))</f>
        <v>0</v>
      </c>
      <c r="Q64" s="33">
        <f>IF(VLOOKUP($D64,$C$5:$AJ$596,15,)=0,0,((VLOOKUP($D64,$C$5:$AJ$596,15,)/VLOOKUP($D64,$C$5:$AJ$596,4,))*$F64))</f>
        <v>0</v>
      </c>
      <c r="R64" s="33"/>
      <c r="S64" s="33">
        <f>IF(VLOOKUP($D64,$C$5:$AJ$596,17,)=0,0,((VLOOKUP($D64,$C$5:$AJ$596,17,)/VLOOKUP($D64,$C$5:$AJ$596,4,))*$F64))</f>
        <v>0</v>
      </c>
      <c r="T64" s="33">
        <f>IF(VLOOKUP($D64,$C$5:$AJ$596,18,)=0,0,((VLOOKUP($D64,$C$5:$AJ$596,18,)/VLOOKUP($D64,$C$5:$AJ$596,4,))*$F64))</f>
        <v>0</v>
      </c>
      <c r="U64" s="33">
        <f>IF(VLOOKUP($D64,$C$5:$AJ$596,19,)=0,0,((VLOOKUP($D64,$C$5:$AJ$596,19,)/VLOOKUP($D64,$C$5:$AJ$596,4,))*$F64))</f>
        <v>0</v>
      </c>
      <c r="V64" s="33">
        <f>IF(VLOOKUP($D64,$C$5:$AJ$596,20,)=0,0,((VLOOKUP($D64,$C$5:$AJ$596,20,)/VLOOKUP($D64,$C$5:$AJ$596,4,))*$F64))</f>
        <v>0</v>
      </c>
      <c r="W64" s="33">
        <f>IF(VLOOKUP($D64,$C$5:$AJ$596,21,)=0,0,((VLOOKUP($D64,$C$5:$AJ$596,21,)/VLOOKUP($D64,$C$5:$AJ$596,4,))*$F64))</f>
        <v>0</v>
      </c>
      <c r="X64" s="33">
        <f>IF(VLOOKUP($D64,$C$5:$AJ$596,22,)=0,0,((VLOOKUP($D64,$C$5:$AJ$596,22,)/VLOOKUP($D64,$C$5:$AJ$596,4,))*$F64))</f>
        <v>0</v>
      </c>
      <c r="Y64" s="33">
        <f>IF(VLOOKUP($D64,$C$5:$AJ$596,23,)=0,0,((VLOOKUP($D64,$C$5:$AJ$596,23,)/VLOOKUP($D64,$C$5:$AJ$596,4,))*$F64))</f>
        <v>0</v>
      </c>
      <c r="Z64" s="33">
        <f>IF(VLOOKUP($D64,$C$5:$AJ$596,24,)=0,0,((VLOOKUP($D64,$C$5:$AJ$596,24,)/VLOOKUP($D64,$C$5:$AJ$596,4,))*$F64))</f>
        <v>0</v>
      </c>
      <c r="AA64" s="33">
        <f>IF(VLOOKUP($D64,$C$5:$AJ$596,25,)=0,0,((VLOOKUP($D64,$C$5:$AJ$596,25,)/VLOOKUP($D64,$C$5:$AJ$596,4,))*$F64))</f>
        <v>0</v>
      </c>
      <c r="AB64" s="33">
        <f>IF(VLOOKUP($D64,$C$5:$AJ$596,26,)=0,0,((VLOOKUP($D64,$C$5:$AJ$596,26,)/VLOOKUP($D64,$C$5:$AJ$596,4,))*$F64))</f>
        <v>0</v>
      </c>
      <c r="AC64" s="33">
        <f>IF(VLOOKUP($D64,$C$5:$AJ$596,27,)=0,0,((VLOOKUP($D64,$C$5:$AJ$596,27,)/VLOOKUP($D64,$C$5:$AJ$596,4,))*$F64))</f>
        <v>0</v>
      </c>
      <c r="AD64" s="33">
        <f>IF(VLOOKUP($D64,$C$5:$AJ$596,28,)=0,0,((VLOOKUP($D64,$C$5:$AJ$596,28,)/VLOOKUP($D64,$C$5:$AJ$596,4,))*$F64))</f>
        <v>0</v>
      </c>
      <c r="AE64" s="33"/>
      <c r="AF64" s="33">
        <f>IF(VLOOKUP($D64,$C$5:$AJ$596,30,)=0,0,((VLOOKUP($D64,$C$5:$AJ$596,30,)/VLOOKUP($D64,$C$5:$AJ$596,4,))*$F64))</f>
        <v>0</v>
      </c>
      <c r="AG64" s="33"/>
      <c r="AH64" s="33">
        <f>IF(VLOOKUP($D64,$C$5:$AJ$596,32,)=0,0,((VLOOKUP($D64,$C$5:$AJ$596,32,)/VLOOKUP($D64,$C$5:$AJ$596,4,))*$F64))</f>
        <v>0</v>
      </c>
      <c r="AI64" s="33"/>
      <c r="AJ64" s="33">
        <f>IF(VLOOKUP($D64,$C$5:$AJ$596,34,)=0,0,((VLOOKUP($D64,$C$5:$AJ$596,34,)/VLOOKUP($D64,$C$5:$AJ$596,4,))*$F64))</f>
        <v>0</v>
      </c>
      <c r="AK64" s="33">
        <f>SUM(H64:AJ64)</f>
        <v>0</v>
      </c>
      <c r="AL64" s="30" t="str">
        <f>IF(ABS(AK64-F64)&lt;1,"ok","err")</f>
        <v>ok</v>
      </c>
    </row>
    <row r="65" spans="1:39" x14ac:dyDescent="0.25">
      <c r="D65" s="164"/>
      <c r="E65" s="17"/>
      <c r="Y65" s="29"/>
      <c r="AK65" s="33"/>
      <c r="AL65" s="30"/>
    </row>
    <row r="66" spans="1:39" x14ac:dyDescent="0.25">
      <c r="B66" s="29" t="s">
        <v>175</v>
      </c>
      <c r="C66" s="29" t="s">
        <v>176</v>
      </c>
      <c r="D66" s="164"/>
      <c r="E66" s="17"/>
      <c r="F66" s="34">
        <f>F12+F16+F20+F24+F32+F45+F57+F59+F60+F61+F62+F64</f>
        <v>7720675014.7505932</v>
      </c>
      <c r="G66" s="34"/>
      <c r="H66" s="34">
        <f t="shared" ref="H66:M66" si="35">H12+H16+H20+H24+H32+H45+H57+H59+H60+H61+H62+H64</f>
        <v>4640065359.6988649</v>
      </c>
      <c r="I66" s="34">
        <f t="shared" si="35"/>
        <v>0</v>
      </c>
      <c r="J66" s="34">
        <f t="shared" si="35"/>
        <v>0</v>
      </c>
      <c r="K66" s="34">
        <f t="shared" si="35"/>
        <v>0</v>
      </c>
      <c r="L66" s="34">
        <f t="shared" si="35"/>
        <v>0</v>
      </c>
      <c r="M66" s="34">
        <f t="shared" si="35"/>
        <v>0</v>
      </c>
      <c r="N66" s="34"/>
      <c r="O66" s="34">
        <f t="shared" ref="O66:Q66" si="36">O12+O16+O20+O24+O32+O45+O57+O59+O60+O61+O62+O64</f>
        <v>1074750283.2272704</v>
      </c>
      <c r="P66" s="34">
        <f t="shared" si="36"/>
        <v>0</v>
      </c>
      <c r="Q66" s="34">
        <f t="shared" si="36"/>
        <v>0</v>
      </c>
      <c r="R66" s="34"/>
      <c r="S66" s="34">
        <f t="shared" ref="S66:AD66" si="37">S12+S16+S20+S24+S32+S45+S57+S59+S60+S61+S62+S64</f>
        <v>0</v>
      </c>
      <c r="T66" s="34">
        <f t="shared" si="37"/>
        <v>291772338.79042941</v>
      </c>
      <c r="U66" s="34">
        <f t="shared" si="37"/>
        <v>0</v>
      </c>
      <c r="V66" s="34">
        <f t="shared" si="37"/>
        <v>238708733.85955539</v>
      </c>
      <c r="W66" s="34">
        <f t="shared" si="37"/>
        <v>449192762.20546526</v>
      </c>
      <c r="X66" s="34">
        <f t="shared" si="37"/>
        <v>130028531.94325872</v>
      </c>
      <c r="Y66" s="34">
        <f t="shared" si="37"/>
        <v>240874974.0623574</v>
      </c>
      <c r="Z66" s="34">
        <f t="shared" si="37"/>
        <v>176139104.97169781</v>
      </c>
      <c r="AA66" s="34">
        <f t="shared" si="37"/>
        <v>152756980.76019973</v>
      </c>
      <c r="AB66" s="34">
        <f t="shared" si="37"/>
        <v>113116232.48562309</v>
      </c>
      <c r="AC66" s="34">
        <f t="shared" si="37"/>
        <v>80825293.466673017</v>
      </c>
      <c r="AD66" s="34">
        <f t="shared" si="37"/>
        <v>132444419.27919817</v>
      </c>
      <c r="AE66" s="34"/>
      <c r="AF66" s="34">
        <f>AF12+AF16+AF20+AF24+AF32+AF45+AF57+AF59+AF60+AF61+AF62+AF64</f>
        <v>0</v>
      </c>
      <c r="AG66" s="34"/>
      <c r="AH66" s="34">
        <f>AH12+AH16+AH20+AH24+AH32+AH45+AH57+AH59+AH60+AH61+AH62+AH64</f>
        <v>0</v>
      </c>
      <c r="AI66" s="34"/>
      <c r="AJ66" s="34">
        <f>AJ12+AJ16+AJ20+AJ24+AJ32+AJ45+AJ57+AJ59+AJ60+AJ61+AJ62+AJ64</f>
        <v>0</v>
      </c>
      <c r="AK66" s="34">
        <f>AK12+AK16+AK20+AK24+AK32+AK45+AK57+AK59+AK60+AK61+AK62+AK64</f>
        <v>7720675014.7505932</v>
      </c>
      <c r="AL66" s="30" t="str">
        <f>IF(ABS(AK66-F66)&lt;1,"ok","err")</f>
        <v>ok</v>
      </c>
      <c r="AM66" s="34"/>
    </row>
    <row r="67" spans="1:39" x14ac:dyDescent="0.25">
      <c r="D67" s="164"/>
      <c r="E67" s="17"/>
      <c r="AL67" s="30"/>
    </row>
    <row r="68" spans="1:39" x14ac:dyDescent="0.25">
      <c r="A68" s="3"/>
      <c r="D68" s="164"/>
      <c r="E68" s="17"/>
      <c r="AL68" s="30"/>
    </row>
    <row r="69" spans="1:39" x14ac:dyDescent="0.25">
      <c r="A69" s="3" t="s">
        <v>177</v>
      </c>
      <c r="D69" s="164"/>
      <c r="E69" s="17"/>
      <c r="AL69" s="30"/>
    </row>
    <row r="70" spans="1:39" x14ac:dyDescent="0.25">
      <c r="A70" s="3"/>
      <c r="D70" s="164"/>
      <c r="E70" s="17"/>
      <c r="AL70" s="30"/>
    </row>
    <row r="71" spans="1:39" x14ac:dyDescent="0.25">
      <c r="B71" s="29" t="s">
        <v>1564</v>
      </c>
      <c r="C71" s="29" t="s">
        <v>1002</v>
      </c>
      <c r="D71" s="164" t="s">
        <v>682</v>
      </c>
      <c r="E71" s="17"/>
      <c r="F71" s="32">
        <f>'Jurisdictional Study'!F818-88299057.39</f>
        <v>32168828.105777636</v>
      </c>
      <c r="H71" s="33">
        <f>IF(VLOOKUP($D71,$C$5:$AJ$596,6,)=0,0,((VLOOKUP($D71,$C$5:$AJ$596,6,)/VLOOKUP($D71,$C$5:$AJ$596,4,))*$F71))</f>
        <v>32168828.105777636</v>
      </c>
      <c r="I71" s="33">
        <f>IF(VLOOKUP($D71,$C$5:$AJ$596,7,)=0,0,((VLOOKUP($D71,$C$5:$AJ$596,7,)/VLOOKUP($D71,$C$5:$AJ$596,4,))*$F71))</f>
        <v>0</v>
      </c>
      <c r="J71" s="33">
        <f>IF(VLOOKUP($D71,$C$5:$AJ$596,8,)=0,0,((VLOOKUP($D71,$C$5:$AJ$596,8,)/VLOOKUP($D71,$C$5:$AJ$596,4,))*$F71))</f>
        <v>0</v>
      </c>
      <c r="K71" s="33">
        <f>IF(VLOOKUP($D71,$C$5:$AJ$596,9,)=0,0,((VLOOKUP($D71,$C$5:$AJ$596,9,)/VLOOKUP($D71,$C$5:$AJ$596,4,))*$F71))</f>
        <v>0</v>
      </c>
      <c r="L71" s="33">
        <f>IF(VLOOKUP($D71,$C$5:$AJ$596,10,)=0,0,((VLOOKUP($D71,$C$5:$AJ$596,10,)/VLOOKUP($D71,$C$5:$AJ$596,4,))*$F71))</f>
        <v>0</v>
      </c>
      <c r="M71" s="33">
        <f>IF(VLOOKUP($D71,$C$5:$AJ$596,11,)=0,0,((VLOOKUP($D71,$C$5:$AJ$596,11,)/VLOOKUP($D71,$C$5:$AJ$596,4,))*$F71))</f>
        <v>0</v>
      </c>
      <c r="N71" s="33"/>
      <c r="O71" s="33">
        <f>IF(VLOOKUP($D71,$C$5:$AJ$596,13,)=0,0,((VLOOKUP($D71,$C$5:$AJ$596,13,)/VLOOKUP($D71,$C$5:$AJ$596,4,))*$F71))</f>
        <v>0</v>
      </c>
      <c r="P71" s="33">
        <f>IF(VLOOKUP($D71,$C$5:$AJ$596,14,)=0,0,((VLOOKUP($D71,$C$5:$AJ$596,14,)/VLOOKUP($D71,$C$5:$AJ$596,4,))*$F71))</f>
        <v>0</v>
      </c>
      <c r="Q71" s="33">
        <f>IF(VLOOKUP($D71,$C$5:$AJ$596,15,)=0,0,((VLOOKUP($D71,$C$5:$AJ$596,15,)/VLOOKUP($D71,$C$5:$AJ$596,4,))*$F71))</f>
        <v>0</v>
      </c>
      <c r="R71" s="33"/>
      <c r="S71" s="33">
        <f>IF(VLOOKUP($D71,$C$5:$AJ$596,17,)=0,0,((VLOOKUP($D71,$C$5:$AJ$596,17,)/VLOOKUP($D71,$C$5:$AJ$596,4,))*$F71))</f>
        <v>0</v>
      </c>
      <c r="T71" s="33">
        <f>IF(VLOOKUP($D71,$C$5:$AJ$596,18,)=0,0,((VLOOKUP($D71,$C$5:$AJ$596,18,)/VLOOKUP($D71,$C$5:$AJ$596,4,))*$F71))</f>
        <v>0</v>
      </c>
      <c r="U71" s="33">
        <f>IF(VLOOKUP($D71,$C$5:$AJ$596,19,)=0,0,((VLOOKUP($D71,$C$5:$AJ$596,19,)/VLOOKUP($D71,$C$5:$AJ$596,4,))*$F71))</f>
        <v>0</v>
      </c>
      <c r="V71" s="33">
        <f>IF(VLOOKUP($D71,$C$5:$AJ$596,20,)=0,0,((VLOOKUP($D71,$C$5:$AJ$596,20,)/VLOOKUP($D71,$C$5:$AJ$596,4,))*$F71))</f>
        <v>0</v>
      </c>
      <c r="W71" s="33">
        <f>IF(VLOOKUP($D71,$C$5:$AJ$596,21,)=0,0,((VLOOKUP($D71,$C$5:$AJ$596,21,)/VLOOKUP($D71,$C$5:$AJ$596,4,))*$F71))</f>
        <v>0</v>
      </c>
      <c r="X71" s="33">
        <f>IF(VLOOKUP($D71,$C$5:$AJ$596,22,)=0,0,((VLOOKUP($D71,$C$5:$AJ$596,22,)/VLOOKUP($D71,$C$5:$AJ$596,4,))*$F71))</f>
        <v>0</v>
      </c>
      <c r="Y71" s="33">
        <f>IF(VLOOKUP($D71,$C$5:$AJ$596,23,)=0,0,((VLOOKUP($D71,$C$5:$AJ$596,23,)/VLOOKUP($D71,$C$5:$AJ$596,4,))*$F71))</f>
        <v>0</v>
      </c>
      <c r="Z71" s="33">
        <f>IF(VLOOKUP($D71,$C$5:$AJ$596,24,)=0,0,((VLOOKUP($D71,$C$5:$AJ$596,24,)/VLOOKUP($D71,$C$5:$AJ$596,4,))*$F71))</f>
        <v>0</v>
      </c>
      <c r="AA71" s="33">
        <f>IF(VLOOKUP($D71,$C$5:$AJ$596,25,)=0,0,((VLOOKUP($D71,$C$5:$AJ$596,25,)/VLOOKUP($D71,$C$5:$AJ$596,4,))*$F71))</f>
        <v>0</v>
      </c>
      <c r="AB71" s="33">
        <f>IF(VLOOKUP($D71,$C$5:$AJ$596,26,)=0,0,((VLOOKUP($D71,$C$5:$AJ$596,26,)/VLOOKUP($D71,$C$5:$AJ$596,4,))*$F71))</f>
        <v>0</v>
      </c>
      <c r="AC71" s="33">
        <f>IF(VLOOKUP($D71,$C$5:$AJ$596,27,)=0,0,((VLOOKUP($D71,$C$5:$AJ$596,27,)/VLOOKUP($D71,$C$5:$AJ$596,4,))*$F71))</f>
        <v>0</v>
      </c>
      <c r="AD71" s="33">
        <f>IF(VLOOKUP($D71,$C$5:$AJ$596,28,)=0,0,((VLOOKUP($D71,$C$5:$AJ$596,28,)/VLOOKUP($D71,$C$5:$AJ$596,4,))*$F71))</f>
        <v>0</v>
      </c>
      <c r="AE71" s="33"/>
      <c r="AF71" s="33">
        <f>IF(VLOOKUP($D71,$C$5:$AJ$596,30,)=0,0,((VLOOKUP($D71,$C$5:$AJ$596,30,)/VLOOKUP($D71,$C$5:$AJ$596,4,))*$F71))</f>
        <v>0</v>
      </c>
      <c r="AG71" s="33"/>
      <c r="AH71" s="33">
        <f>IF(VLOOKUP($D71,$C$5:$AJ$596,32,)=0,0,((VLOOKUP($D71,$C$5:$AJ$596,32,)/VLOOKUP($D71,$C$5:$AJ$596,4,))*$F71))</f>
        <v>0</v>
      </c>
      <c r="AI71" s="33"/>
      <c r="AJ71" s="33">
        <f>IF(VLOOKUP($D71,$C$5:$AJ$596,34,)=0,0,((VLOOKUP($D71,$C$5:$AJ$596,34,)/VLOOKUP($D71,$C$5:$AJ$596,4,))*$F71))</f>
        <v>0</v>
      </c>
      <c r="AK71" s="33">
        <f>SUM(H71:AJ71)</f>
        <v>32168828.105777636</v>
      </c>
      <c r="AL71" s="30" t="str">
        <f>IF(ABS(AK71-F71)&lt;1,"ok","err")</f>
        <v>ok</v>
      </c>
    </row>
    <row r="72" spans="1:39" x14ac:dyDescent="0.25">
      <c r="B72" s="29" t="s">
        <v>1265</v>
      </c>
      <c r="C72" s="29" t="s">
        <v>1003</v>
      </c>
      <c r="D72" s="164" t="s">
        <v>455</v>
      </c>
      <c r="E72" s="17"/>
      <c r="F72" s="33">
        <f>'Jurisdictional Study'!F826</f>
        <v>58686002.266612828</v>
      </c>
      <c r="H72" s="33">
        <f>IF(VLOOKUP($D72,$C$5:$AJ$596,6,)=0,0,((VLOOKUP($D72,$C$5:$AJ$596,6,)/VLOOKUP($D72,$C$5:$AJ$596,4,))*$F72))</f>
        <v>0</v>
      </c>
      <c r="I72" s="33">
        <f>IF(VLOOKUP($D72,$C$5:$AJ$596,7,)=0,0,((VLOOKUP($D72,$C$5:$AJ$596,7,)/VLOOKUP($D72,$C$5:$AJ$596,4,))*$F72))</f>
        <v>0</v>
      </c>
      <c r="J72" s="33">
        <f>IF(VLOOKUP($D72,$C$5:$AJ$596,8,)=0,0,((VLOOKUP($D72,$C$5:$AJ$596,8,)/VLOOKUP($D72,$C$5:$AJ$596,4,))*$F72))</f>
        <v>0</v>
      </c>
      <c r="K72" s="33">
        <f>IF(VLOOKUP($D72,$C$5:$AJ$596,9,)=0,0,((VLOOKUP($D72,$C$5:$AJ$596,9,)/VLOOKUP($D72,$C$5:$AJ$596,4,))*$F72))</f>
        <v>0</v>
      </c>
      <c r="L72" s="33">
        <f>IF(VLOOKUP($D72,$C$5:$AJ$596,10,)=0,0,((VLOOKUP($D72,$C$5:$AJ$596,10,)/VLOOKUP($D72,$C$5:$AJ$596,4,))*$F72))</f>
        <v>0</v>
      </c>
      <c r="M72" s="33">
        <f>IF(VLOOKUP($D72,$C$5:$AJ$596,11,)=0,0,((VLOOKUP($D72,$C$5:$AJ$596,11,)/VLOOKUP($D72,$C$5:$AJ$596,4,))*$F72))</f>
        <v>0</v>
      </c>
      <c r="N72" s="33"/>
      <c r="O72" s="33">
        <f>IF(VLOOKUP($D72,$C$5:$AJ$596,13,)=0,0,((VLOOKUP($D72,$C$5:$AJ$596,13,)/VLOOKUP($D72,$C$5:$AJ$596,4,))*$F72))</f>
        <v>58686002.266612828</v>
      </c>
      <c r="P72" s="33">
        <f>IF(VLOOKUP($D72,$C$5:$AJ$596,14,)=0,0,((VLOOKUP($D72,$C$5:$AJ$596,14,)/VLOOKUP($D72,$C$5:$AJ$596,4,))*$F72))</f>
        <v>0</v>
      </c>
      <c r="Q72" s="33">
        <f>IF(VLOOKUP($D72,$C$5:$AJ$596,15,)=0,0,((VLOOKUP($D72,$C$5:$AJ$596,15,)/VLOOKUP($D72,$C$5:$AJ$596,4,))*$F72))</f>
        <v>0</v>
      </c>
      <c r="R72" s="33"/>
      <c r="S72" s="33">
        <f>IF(VLOOKUP($D72,$C$5:$AJ$596,17,)=0,0,((VLOOKUP($D72,$C$5:$AJ$596,17,)/VLOOKUP($D72,$C$5:$AJ$596,4,))*$F72))</f>
        <v>0</v>
      </c>
      <c r="T72" s="33">
        <f>IF(VLOOKUP($D72,$C$5:$AJ$596,18,)=0,0,((VLOOKUP($D72,$C$5:$AJ$596,18,)/VLOOKUP($D72,$C$5:$AJ$596,4,))*$F72))</f>
        <v>0</v>
      </c>
      <c r="U72" s="33">
        <f>IF(VLOOKUP($D72,$C$5:$AJ$596,19,)=0,0,((VLOOKUP($D72,$C$5:$AJ$596,19,)/VLOOKUP($D72,$C$5:$AJ$596,4,))*$F72))</f>
        <v>0</v>
      </c>
      <c r="V72" s="33">
        <f>IF(VLOOKUP($D72,$C$5:$AJ$596,20,)=0,0,((VLOOKUP($D72,$C$5:$AJ$596,20,)/VLOOKUP($D72,$C$5:$AJ$596,4,))*$F72))</f>
        <v>0</v>
      </c>
      <c r="W72" s="33">
        <f>IF(VLOOKUP($D72,$C$5:$AJ$596,21,)=0,0,((VLOOKUP($D72,$C$5:$AJ$596,21,)/VLOOKUP($D72,$C$5:$AJ$596,4,))*$F72))</f>
        <v>0</v>
      </c>
      <c r="X72" s="33">
        <f>IF(VLOOKUP($D72,$C$5:$AJ$596,22,)=0,0,((VLOOKUP($D72,$C$5:$AJ$596,22,)/VLOOKUP($D72,$C$5:$AJ$596,4,))*$F72))</f>
        <v>0</v>
      </c>
      <c r="Y72" s="33">
        <f>IF(VLOOKUP($D72,$C$5:$AJ$596,23,)=0,0,((VLOOKUP($D72,$C$5:$AJ$596,23,)/VLOOKUP($D72,$C$5:$AJ$596,4,))*$F72))</f>
        <v>0</v>
      </c>
      <c r="Z72" s="33">
        <f>IF(VLOOKUP($D72,$C$5:$AJ$596,24,)=0,0,((VLOOKUP($D72,$C$5:$AJ$596,24,)/VLOOKUP($D72,$C$5:$AJ$596,4,))*$F72))</f>
        <v>0</v>
      </c>
      <c r="AA72" s="33">
        <f>IF(VLOOKUP($D72,$C$5:$AJ$596,25,)=0,0,((VLOOKUP($D72,$C$5:$AJ$596,25,)/VLOOKUP($D72,$C$5:$AJ$596,4,))*$F72))</f>
        <v>0</v>
      </c>
      <c r="AB72" s="33">
        <f>IF(VLOOKUP($D72,$C$5:$AJ$596,26,)=0,0,((VLOOKUP($D72,$C$5:$AJ$596,26,)/VLOOKUP($D72,$C$5:$AJ$596,4,))*$F72))</f>
        <v>0</v>
      </c>
      <c r="AC72" s="33">
        <f>IF(VLOOKUP($D72,$C$5:$AJ$596,27,)=0,0,((VLOOKUP($D72,$C$5:$AJ$596,27,)/VLOOKUP($D72,$C$5:$AJ$596,4,))*$F72))</f>
        <v>0</v>
      </c>
      <c r="AD72" s="33">
        <f>IF(VLOOKUP($D72,$C$5:$AJ$596,28,)=0,0,((VLOOKUP($D72,$C$5:$AJ$596,28,)/VLOOKUP($D72,$C$5:$AJ$596,4,))*$F72))</f>
        <v>0</v>
      </c>
      <c r="AE72" s="33"/>
      <c r="AF72" s="33">
        <f>IF(VLOOKUP($D72,$C$5:$AJ$596,30,)=0,0,((VLOOKUP($D72,$C$5:$AJ$596,30,)/VLOOKUP($D72,$C$5:$AJ$596,4,))*$F72))</f>
        <v>0</v>
      </c>
      <c r="AG72" s="33"/>
      <c r="AH72" s="33">
        <f>IF(VLOOKUP($D72,$C$5:$AJ$596,32,)=0,0,((VLOOKUP($D72,$C$5:$AJ$596,32,)/VLOOKUP($D72,$C$5:$AJ$596,4,))*$F72))</f>
        <v>0</v>
      </c>
      <c r="AI72" s="33"/>
      <c r="AJ72" s="33">
        <f>IF(VLOOKUP($D72,$C$5:$AJ$596,34,)=0,0,((VLOOKUP($D72,$C$5:$AJ$596,34,)/VLOOKUP($D72,$C$5:$AJ$596,4,))*$F72))</f>
        <v>0</v>
      </c>
      <c r="AK72" s="33">
        <f>SUM(H72:AJ72)</f>
        <v>58686002.266612828</v>
      </c>
      <c r="AL72" s="30" t="str">
        <f>IF(ABS(AK72-F72)&lt;1,"ok","err")</f>
        <v>ok</v>
      </c>
    </row>
    <row r="73" spans="1:39" x14ac:dyDescent="0.25">
      <c r="B73" s="29" t="s">
        <v>1270</v>
      </c>
      <c r="C73" s="29" t="s">
        <v>473</v>
      </c>
      <c r="D73" s="164" t="s">
        <v>109</v>
      </c>
      <c r="E73" s="17"/>
      <c r="F73" s="33">
        <f>'Jurisdictional Study'!F830</f>
        <v>21055068.026923075</v>
      </c>
      <c r="H73" s="33">
        <f>IF(VLOOKUP($D73,$C$5:$AJ$596,6,)=0,0,((VLOOKUP($D73,$C$5:$AJ$596,6,)/VLOOKUP($D73,$C$5:$AJ$596,4,))*$F73))</f>
        <v>0</v>
      </c>
      <c r="I73" s="33">
        <f>IF(VLOOKUP($D73,$C$5:$AJ$596,7,)=0,0,((VLOOKUP($D73,$C$5:$AJ$596,7,)/VLOOKUP($D73,$C$5:$AJ$596,4,))*$F73))</f>
        <v>0</v>
      </c>
      <c r="J73" s="33">
        <f>IF(VLOOKUP($D73,$C$5:$AJ$596,8,)=0,0,((VLOOKUP($D73,$C$5:$AJ$596,8,)/VLOOKUP($D73,$C$5:$AJ$596,4,))*$F73))</f>
        <v>0</v>
      </c>
      <c r="K73" s="33">
        <f>IF(VLOOKUP($D73,$C$5:$AJ$596,9,)=0,0,((VLOOKUP($D73,$C$5:$AJ$596,9,)/VLOOKUP($D73,$C$5:$AJ$596,4,))*$F73))</f>
        <v>0</v>
      </c>
      <c r="L73" s="33">
        <f>IF(VLOOKUP($D73,$C$5:$AJ$596,10,)=0,0,((VLOOKUP($D73,$C$5:$AJ$596,10,)/VLOOKUP($D73,$C$5:$AJ$596,4,))*$F73))</f>
        <v>0</v>
      </c>
      <c r="M73" s="33">
        <f>IF(VLOOKUP($D73,$C$5:$AJ$596,11,)=0,0,((VLOOKUP($D73,$C$5:$AJ$596,11,)/VLOOKUP($D73,$C$5:$AJ$596,4,))*$F73))</f>
        <v>0</v>
      </c>
      <c r="N73" s="33"/>
      <c r="O73" s="33">
        <f>IF(VLOOKUP($D73,$C$5:$AJ$596,13,)=0,0,((VLOOKUP($D73,$C$5:$AJ$596,13,)/VLOOKUP($D73,$C$5:$AJ$596,4,))*$F73))</f>
        <v>0</v>
      </c>
      <c r="P73" s="33">
        <f>IF(VLOOKUP($D73,$C$5:$AJ$596,14,)=0,0,((VLOOKUP($D73,$C$5:$AJ$596,14,)/VLOOKUP($D73,$C$5:$AJ$596,4,))*$F73))</f>
        <v>0</v>
      </c>
      <c r="Q73" s="33">
        <f>IF(VLOOKUP($D73,$C$5:$AJ$596,15,)=0,0,((VLOOKUP($D73,$C$5:$AJ$596,15,)/VLOOKUP($D73,$C$5:$AJ$596,4,))*$F73))</f>
        <v>0</v>
      </c>
      <c r="R73" s="33"/>
      <c r="S73" s="33">
        <f>IF(VLOOKUP($D73,$C$5:$AJ$596,17,)=0,0,((VLOOKUP($D73,$C$5:$AJ$596,17,)/VLOOKUP($D73,$C$5:$AJ$596,4,))*$F73))</f>
        <v>0</v>
      </c>
      <c r="T73" s="33">
        <f>IF(VLOOKUP($D73,$C$5:$AJ$596,18,)=0,0,((VLOOKUP($D73,$C$5:$AJ$596,18,)/VLOOKUP($D73,$C$5:$AJ$596,4,))*$F73))</f>
        <v>3062670.5580158513</v>
      </c>
      <c r="U73" s="33">
        <f>IF(VLOOKUP($D73,$C$5:$AJ$596,19,)=0,0,((VLOOKUP($D73,$C$5:$AJ$596,19,)/VLOOKUP($D73,$C$5:$AJ$596,4,))*$F73))</f>
        <v>0</v>
      </c>
      <c r="V73" s="33">
        <f>IF(VLOOKUP($D73,$C$5:$AJ$596,20,)=0,0,((VLOOKUP($D73,$C$5:$AJ$596,20,)/VLOOKUP($D73,$C$5:$AJ$596,4,))*$F73))</f>
        <v>2505673.4787255391</v>
      </c>
      <c r="W73" s="33">
        <f>IF(VLOOKUP($D73,$C$5:$AJ$596,21,)=0,0,((VLOOKUP($D73,$C$5:$AJ$596,21,)/VLOOKUP($D73,$C$5:$AJ$596,4,))*$F73))</f>
        <v>4715078.3840021091</v>
      </c>
      <c r="X73" s="33">
        <f>IF(VLOOKUP($D73,$C$5:$AJ$596,22,)=0,0,((VLOOKUP($D73,$C$5:$AJ$596,22,)/VLOOKUP($D73,$C$5:$AJ$596,4,))*$F73))</f>
        <v>1364881.1197646845</v>
      </c>
      <c r="Y73" s="33">
        <f>IF(VLOOKUP($D73,$C$5:$AJ$596,23,)=0,0,((VLOOKUP($D73,$C$5:$AJ$596,23,)/VLOOKUP($D73,$C$5:$AJ$596,4,))*$F73))</f>
        <v>2528412.029330493</v>
      </c>
      <c r="Z73" s="33">
        <f>IF(VLOOKUP($D73,$C$5:$AJ$596,24,)=0,0,((VLOOKUP($D73,$C$5:$AJ$596,24,)/VLOOKUP($D73,$C$5:$AJ$596,4,))*$F73))</f>
        <v>1848893.7407447526</v>
      </c>
      <c r="AA73" s="33">
        <f>IF(VLOOKUP($D73,$C$5:$AJ$596,25,)=0,0,((VLOOKUP($D73,$C$5:$AJ$596,25,)/VLOOKUP($D73,$C$5:$AJ$596,4,))*$F73))</f>
        <v>1603456.6862820224</v>
      </c>
      <c r="AB73" s="33">
        <f>IF(VLOOKUP($D73,$C$5:$AJ$596,26,)=0,0,((VLOOKUP($D73,$C$5:$AJ$596,26,)/VLOOKUP($D73,$C$5:$AJ$596,4,))*$F73))</f>
        <v>1187356.4036384856</v>
      </c>
      <c r="AC73" s="33">
        <f>IF(VLOOKUP($D73,$C$5:$AJ$596,27,)=0,0,((VLOOKUP($D73,$C$5:$AJ$596,27,)/VLOOKUP($D73,$C$5:$AJ$596,4,))*$F73))</f>
        <v>848405.46458096977</v>
      </c>
      <c r="AD73" s="33">
        <f>IF(VLOOKUP($D73,$C$5:$AJ$596,28,)=0,0,((VLOOKUP($D73,$C$5:$AJ$596,28,)/VLOOKUP($D73,$C$5:$AJ$596,4,))*$F73))</f>
        <v>1390240.1618381673</v>
      </c>
      <c r="AE73" s="33"/>
      <c r="AF73" s="33">
        <f>IF(VLOOKUP($D73,$C$5:$AJ$596,30,)=0,0,((VLOOKUP($D73,$C$5:$AJ$596,30,)/VLOOKUP($D73,$C$5:$AJ$596,4,))*$F73))</f>
        <v>0</v>
      </c>
      <c r="AG73" s="33"/>
      <c r="AH73" s="33">
        <f>IF(VLOOKUP($D73,$C$5:$AJ$596,32,)=0,0,((VLOOKUP($D73,$C$5:$AJ$596,32,)/VLOOKUP($D73,$C$5:$AJ$596,4,))*$F73))</f>
        <v>0</v>
      </c>
      <c r="AI73" s="33"/>
      <c r="AJ73" s="33">
        <f>IF(VLOOKUP($D73,$C$5:$AJ$596,34,)=0,0,((VLOOKUP($D73,$C$5:$AJ$596,34,)/VLOOKUP($D73,$C$5:$AJ$596,4,))*$F73))</f>
        <v>0</v>
      </c>
      <c r="AK73" s="33">
        <f>SUM(H73:AJ73)</f>
        <v>21055068.026923072</v>
      </c>
      <c r="AL73" s="30" t="str">
        <f>IF(ABS(AK73-F73)&lt;1,"ok","err")</f>
        <v>ok</v>
      </c>
    </row>
    <row r="74" spans="1:39" x14ac:dyDescent="0.25">
      <c r="B74" s="29" t="s">
        <v>1269</v>
      </c>
      <c r="C74" s="29" t="s">
        <v>474</v>
      </c>
      <c r="D74" s="164" t="s">
        <v>456</v>
      </c>
      <c r="E74" s="17"/>
      <c r="F74" s="33">
        <f>'Jurisdictional Study'!F832</f>
        <v>22569419.64424422</v>
      </c>
      <c r="H74" s="33">
        <f>IF(VLOOKUP($D74,$C$5:$AJ$596,6,)=0,0,((VLOOKUP($D74,$C$5:$AJ$596,6,)/VLOOKUP($D74,$C$5:$AJ$596,4,))*$F74))</f>
        <v>13565722.416056221</v>
      </c>
      <c r="I74" s="33">
        <f>IF(VLOOKUP($D74,$C$5:$AJ$596,7,)=0,0,((VLOOKUP($D74,$C$5:$AJ$596,7,)/VLOOKUP($D74,$C$5:$AJ$596,4,))*$F74))</f>
        <v>0</v>
      </c>
      <c r="J74" s="33">
        <f>IF(VLOOKUP($D74,$C$5:$AJ$596,8,)=0,0,((VLOOKUP($D74,$C$5:$AJ$596,8,)/VLOOKUP($D74,$C$5:$AJ$596,4,))*$F74))</f>
        <v>0</v>
      </c>
      <c r="K74" s="33">
        <f>IF(VLOOKUP($D74,$C$5:$AJ$596,9,)=0,0,((VLOOKUP($D74,$C$5:$AJ$596,9,)/VLOOKUP($D74,$C$5:$AJ$596,4,))*$F74))</f>
        <v>0</v>
      </c>
      <c r="L74" s="33">
        <f>IF(VLOOKUP($D74,$C$5:$AJ$596,10,)=0,0,((VLOOKUP($D74,$C$5:$AJ$596,10,)/VLOOKUP($D74,$C$5:$AJ$596,4,))*$F74))</f>
        <v>0</v>
      </c>
      <c r="M74" s="33">
        <f>IF(VLOOKUP($D74,$C$5:$AJ$596,11,)=0,0,((VLOOKUP($D74,$C$5:$AJ$596,11,)/VLOOKUP($D74,$C$5:$AJ$596,4,))*$F74))</f>
        <v>0</v>
      </c>
      <c r="N74" s="33"/>
      <c r="O74" s="33">
        <f>IF(VLOOKUP($D74,$C$5:$AJ$596,13,)=0,0,((VLOOKUP($D74,$C$5:$AJ$596,13,)/VLOOKUP($D74,$C$5:$AJ$596,4,))*$F74))</f>
        <v>3142342.7662331341</v>
      </c>
      <c r="P74" s="33">
        <f>IF(VLOOKUP($D74,$C$5:$AJ$596,14,)=0,0,((VLOOKUP($D74,$C$5:$AJ$596,14,)/VLOOKUP($D74,$C$5:$AJ$596,4,))*$F74))</f>
        <v>0</v>
      </c>
      <c r="Q74" s="33">
        <f>IF(VLOOKUP($D74,$C$5:$AJ$596,15,)=0,0,((VLOOKUP($D74,$C$5:$AJ$596,15,)/VLOOKUP($D74,$C$5:$AJ$596,4,))*$F74))</f>
        <v>0</v>
      </c>
      <c r="R74" s="33"/>
      <c r="S74" s="33">
        <f>IF(VLOOKUP($D74,$C$5:$AJ$596,17,)=0,0,((VLOOKUP($D74,$C$5:$AJ$596,17,)/VLOOKUP($D74,$C$5:$AJ$596,4,))*$F74))</f>
        <v>0</v>
      </c>
      <c r="T74" s="33">
        <f>IF(VLOOKUP($D74,$C$5:$AJ$596,18,)=0,0,((VLOOKUP($D74,$C$5:$AJ$596,18,)/VLOOKUP($D74,$C$5:$AJ$596,4,))*$F74))</f>
        <v>852592.72103844921</v>
      </c>
      <c r="U74" s="33">
        <f>IF(VLOOKUP($D74,$C$5:$AJ$596,19,)=0,0,((VLOOKUP($D74,$C$5:$AJ$596,19,)/VLOOKUP($D74,$C$5:$AJ$596,4,))*$F74))</f>
        <v>0</v>
      </c>
      <c r="V74" s="33">
        <f>IF(VLOOKUP($D74,$C$5:$AJ$596,20,)=0,0,((VLOOKUP($D74,$C$5:$AJ$596,20,)/VLOOKUP($D74,$C$5:$AJ$596,4,))*$F74))</f>
        <v>697534.69359254139</v>
      </c>
      <c r="W74" s="33">
        <f>IF(VLOOKUP($D74,$C$5:$AJ$596,21,)=0,0,((VLOOKUP($D74,$C$5:$AJ$596,21,)/VLOOKUP($D74,$C$5:$AJ$596,4,))*$F74))</f>
        <v>1312593.5137895842</v>
      </c>
      <c r="X74" s="33">
        <f>IF(VLOOKUP($D74,$C$5:$AJ$596,22,)=0,0,((VLOOKUP($D74,$C$5:$AJ$596,22,)/VLOOKUP($D74,$C$5:$AJ$596,4,))*$F74))</f>
        <v>379958.49888212327</v>
      </c>
      <c r="Y74" s="33">
        <f>IF(VLOOKUP($D74,$C$5:$AJ$596,23,)=0,0,((VLOOKUP($D74,$C$5:$AJ$596,23,)/VLOOKUP($D74,$C$5:$AJ$596,4,))*$F74))</f>
        <v>703864.69950258208</v>
      </c>
      <c r="Z74" s="33">
        <f>IF(VLOOKUP($D74,$C$5:$AJ$596,24,)=0,0,((VLOOKUP($D74,$C$5:$AJ$596,24,)/VLOOKUP($D74,$C$5:$AJ$596,4,))*$F74))</f>
        <v>514698.95813860081</v>
      </c>
      <c r="AA74" s="33">
        <f>IF(VLOOKUP($D74,$C$5:$AJ$596,25,)=0,0,((VLOOKUP($D74,$C$5:$AJ$596,25,)/VLOOKUP($D74,$C$5:$AJ$596,4,))*$F74))</f>
        <v>446373.67073204118</v>
      </c>
      <c r="AB74" s="33">
        <f>IF(VLOOKUP($D74,$C$5:$AJ$596,26,)=0,0,((VLOOKUP($D74,$C$5:$AJ$596,26,)/VLOOKUP($D74,$C$5:$AJ$596,4,))*$F74))</f>
        <v>330538.79215673846</v>
      </c>
      <c r="AC74" s="33">
        <f>IF(VLOOKUP($D74,$C$5:$AJ$596,27,)=0,0,((VLOOKUP($D74,$C$5:$AJ$596,27,)/VLOOKUP($D74,$C$5:$AJ$596,4,))*$F74))</f>
        <v>236180.91136109552</v>
      </c>
      <c r="AD74" s="33">
        <f>IF(VLOOKUP($D74,$C$5:$AJ$596,28,)=0,0,((VLOOKUP($D74,$C$5:$AJ$596,28,)/VLOOKUP($D74,$C$5:$AJ$596,4,))*$F74))</f>
        <v>387018.00276110618</v>
      </c>
      <c r="AE74" s="33"/>
      <c r="AF74" s="33">
        <f>IF(VLOOKUP($D74,$C$5:$AJ$596,30,)=0,0,((VLOOKUP($D74,$C$5:$AJ$596,30,)/VLOOKUP($D74,$C$5:$AJ$596,4,))*$F74))</f>
        <v>0</v>
      </c>
      <c r="AG74" s="33"/>
      <c r="AH74" s="33">
        <f>IF(VLOOKUP($D74,$C$5:$AJ$596,32,)=0,0,((VLOOKUP($D74,$C$5:$AJ$596,32,)/VLOOKUP($D74,$C$5:$AJ$596,4,))*$F74))</f>
        <v>0</v>
      </c>
      <c r="AI74" s="33"/>
      <c r="AJ74" s="33">
        <f>IF(VLOOKUP($D74,$C$5:$AJ$596,34,)=0,0,((VLOOKUP($D74,$C$5:$AJ$596,34,)/VLOOKUP($D74,$C$5:$AJ$596,4,))*$F74))</f>
        <v>0</v>
      </c>
      <c r="AK74" s="33">
        <f>SUM(H74:AJ74)</f>
        <v>22569419.644244213</v>
      </c>
      <c r="AL74" s="30" t="str">
        <f>IF(ABS(AK74-F74)&lt;1,"ok","err")</f>
        <v>ok</v>
      </c>
    </row>
    <row r="75" spans="1:39" x14ac:dyDescent="0.25">
      <c r="B75" s="29" t="s">
        <v>1271</v>
      </c>
      <c r="C75" s="29" t="s">
        <v>475</v>
      </c>
      <c r="D75" s="164" t="s">
        <v>118</v>
      </c>
      <c r="E75" s="17"/>
      <c r="F75" s="33">
        <v>0</v>
      </c>
      <c r="H75" s="33">
        <f>IF(VLOOKUP($D75,$C$5:$AJ$596,6,)=0,0,((VLOOKUP($D75,$C$5:$AJ$596,6,)/VLOOKUP($D75,$C$5:$AJ$596,4,))*$F75))</f>
        <v>0</v>
      </c>
      <c r="I75" s="33">
        <f>IF(VLOOKUP($D75,$C$5:$AJ$596,7,)=0,0,((VLOOKUP($D75,$C$5:$AJ$596,7,)/VLOOKUP($D75,$C$5:$AJ$596,4,))*$F75))</f>
        <v>0</v>
      </c>
      <c r="J75" s="33">
        <f>IF(VLOOKUP($D75,$C$5:$AJ$596,8,)=0,0,((VLOOKUP($D75,$C$5:$AJ$596,8,)/VLOOKUP($D75,$C$5:$AJ$596,4,))*$F75))</f>
        <v>0</v>
      </c>
      <c r="K75" s="33">
        <f>IF(VLOOKUP($D75,$C$5:$AJ$596,9,)=0,0,((VLOOKUP($D75,$C$5:$AJ$596,9,)/VLOOKUP($D75,$C$5:$AJ$596,4,))*$F75))</f>
        <v>0</v>
      </c>
      <c r="L75" s="33">
        <f>IF(VLOOKUP($D75,$C$5:$AJ$596,10,)=0,0,((VLOOKUP($D75,$C$5:$AJ$596,10,)/VLOOKUP($D75,$C$5:$AJ$596,4,))*$F75))</f>
        <v>0</v>
      </c>
      <c r="M75" s="33">
        <f>IF(VLOOKUP($D75,$C$5:$AJ$596,11,)=0,0,((VLOOKUP($D75,$C$5:$AJ$596,11,)/VLOOKUP($D75,$C$5:$AJ$596,4,))*$F75))</f>
        <v>0</v>
      </c>
      <c r="N75" s="33"/>
      <c r="O75" s="33">
        <f>IF(VLOOKUP($D75,$C$5:$AJ$596,13,)=0,0,((VLOOKUP($D75,$C$5:$AJ$596,13,)/VLOOKUP($D75,$C$5:$AJ$596,4,))*$F75))</f>
        <v>0</v>
      </c>
      <c r="P75" s="33">
        <f>IF(VLOOKUP($D75,$C$5:$AJ$596,14,)=0,0,((VLOOKUP($D75,$C$5:$AJ$596,14,)/VLOOKUP($D75,$C$5:$AJ$596,4,))*$F75))</f>
        <v>0</v>
      </c>
      <c r="Q75" s="33">
        <f>IF(VLOOKUP($D75,$C$5:$AJ$596,15,)=0,0,((VLOOKUP($D75,$C$5:$AJ$596,15,)/VLOOKUP($D75,$C$5:$AJ$596,4,))*$F75))</f>
        <v>0</v>
      </c>
      <c r="R75" s="33"/>
      <c r="S75" s="33">
        <f>IF(VLOOKUP($D75,$C$5:$AJ$596,17,)=0,0,((VLOOKUP($D75,$C$5:$AJ$596,17,)/VLOOKUP($D75,$C$5:$AJ$596,4,))*$F75))</f>
        <v>0</v>
      </c>
      <c r="T75" s="33">
        <f>IF(VLOOKUP($D75,$C$5:$AJ$596,18,)=0,0,((VLOOKUP($D75,$C$5:$AJ$596,18,)/VLOOKUP($D75,$C$5:$AJ$596,4,))*$F75))</f>
        <v>0</v>
      </c>
      <c r="U75" s="33">
        <f>IF(VLOOKUP($D75,$C$5:$AJ$596,19,)=0,0,((VLOOKUP($D75,$C$5:$AJ$596,19,)/VLOOKUP($D75,$C$5:$AJ$596,4,))*$F75))</f>
        <v>0</v>
      </c>
      <c r="V75" s="33">
        <f>IF(VLOOKUP($D75,$C$5:$AJ$596,20,)=0,0,((VLOOKUP($D75,$C$5:$AJ$596,20,)/VLOOKUP($D75,$C$5:$AJ$596,4,))*$F75))</f>
        <v>0</v>
      </c>
      <c r="W75" s="33">
        <f>IF(VLOOKUP($D75,$C$5:$AJ$596,21,)=0,0,((VLOOKUP($D75,$C$5:$AJ$596,21,)/VLOOKUP($D75,$C$5:$AJ$596,4,))*$F75))</f>
        <v>0</v>
      </c>
      <c r="X75" s="33">
        <f>IF(VLOOKUP($D75,$C$5:$AJ$596,22,)=0,0,((VLOOKUP($D75,$C$5:$AJ$596,22,)/VLOOKUP($D75,$C$5:$AJ$596,4,))*$F75))</f>
        <v>0</v>
      </c>
      <c r="Y75" s="33">
        <f>IF(VLOOKUP($D75,$C$5:$AJ$596,23,)=0,0,((VLOOKUP($D75,$C$5:$AJ$596,23,)/VLOOKUP($D75,$C$5:$AJ$596,4,))*$F75))</f>
        <v>0</v>
      </c>
      <c r="Z75" s="33">
        <f>IF(VLOOKUP($D75,$C$5:$AJ$596,24,)=0,0,((VLOOKUP($D75,$C$5:$AJ$596,24,)/VLOOKUP($D75,$C$5:$AJ$596,4,))*$F75))</f>
        <v>0</v>
      </c>
      <c r="AA75" s="33">
        <f>IF(VLOOKUP($D75,$C$5:$AJ$596,25,)=0,0,((VLOOKUP($D75,$C$5:$AJ$596,25,)/VLOOKUP($D75,$C$5:$AJ$596,4,))*$F75))</f>
        <v>0</v>
      </c>
      <c r="AB75" s="33">
        <f>IF(VLOOKUP($D75,$C$5:$AJ$596,26,)=0,0,((VLOOKUP($D75,$C$5:$AJ$596,26,)/VLOOKUP($D75,$C$5:$AJ$596,4,))*$F75))</f>
        <v>0</v>
      </c>
      <c r="AC75" s="33">
        <f>IF(VLOOKUP($D75,$C$5:$AJ$596,27,)=0,0,((VLOOKUP($D75,$C$5:$AJ$596,27,)/VLOOKUP($D75,$C$5:$AJ$596,4,))*$F75))</f>
        <v>0</v>
      </c>
      <c r="AD75" s="33">
        <f>IF(VLOOKUP($D75,$C$5:$AJ$596,28,)=0,0,((VLOOKUP($D75,$C$5:$AJ$596,28,)/VLOOKUP($D75,$C$5:$AJ$596,4,))*$F75))</f>
        <v>0</v>
      </c>
      <c r="AE75" s="33"/>
      <c r="AF75" s="33">
        <f>IF(VLOOKUP($D75,$C$5:$AJ$596,30,)=0,0,((VLOOKUP($D75,$C$5:$AJ$596,30,)/VLOOKUP($D75,$C$5:$AJ$596,4,))*$F75))</f>
        <v>0</v>
      </c>
      <c r="AG75" s="33"/>
      <c r="AH75" s="33">
        <f>IF(VLOOKUP($D75,$C$5:$AJ$596,32,)=0,0,((VLOOKUP($D75,$C$5:$AJ$596,32,)/VLOOKUP($D75,$C$5:$AJ$596,4,))*$F75))</f>
        <v>0</v>
      </c>
      <c r="AI75" s="33"/>
      <c r="AJ75" s="33">
        <f>IF(VLOOKUP($D75,$C$5:$AJ$596,34,)=0,0,((VLOOKUP($D75,$C$5:$AJ$596,34,)/VLOOKUP($D75,$C$5:$AJ$596,4,))*$F75))</f>
        <v>0</v>
      </c>
      <c r="AK75" s="33">
        <f>SUM(H75:AJ75)</f>
        <v>0</v>
      </c>
      <c r="AL75" s="30" t="str">
        <f>IF(ABS(AK75-F75)&lt;1,"ok","err")</f>
        <v>ok</v>
      </c>
    </row>
    <row r="76" spans="1:39" x14ac:dyDescent="0.25">
      <c r="D76" s="164"/>
      <c r="E76" s="17"/>
      <c r="F76" s="33"/>
      <c r="AK76" s="33"/>
      <c r="AL76" s="30"/>
    </row>
    <row r="77" spans="1:39" x14ac:dyDescent="0.25">
      <c r="A77" s="25" t="s">
        <v>178</v>
      </c>
      <c r="C77" s="29" t="s">
        <v>179</v>
      </c>
      <c r="D77" s="164"/>
      <c r="E77" s="17"/>
      <c r="F77" s="32">
        <f>SUM(F71:F75)</f>
        <v>134479318.04355776</v>
      </c>
      <c r="G77" s="32"/>
      <c r="H77" s="32">
        <f t="shared" ref="H77:M77" si="38">SUM(H71:H75)</f>
        <v>45734550.521833859</v>
      </c>
      <c r="I77" s="32">
        <f t="shared" si="38"/>
        <v>0</v>
      </c>
      <c r="J77" s="32">
        <f t="shared" si="38"/>
        <v>0</v>
      </c>
      <c r="K77" s="32">
        <f>SUM(K71:K75)</f>
        <v>0</v>
      </c>
      <c r="L77" s="32">
        <f t="shared" si="38"/>
        <v>0</v>
      </c>
      <c r="M77" s="32">
        <f t="shared" si="38"/>
        <v>0</v>
      </c>
      <c r="N77" s="32"/>
      <c r="O77" s="32">
        <f>SUM(O71:O75)</f>
        <v>61828345.032845959</v>
      </c>
      <c r="P77" s="32">
        <f>SUM(P71:P75)</f>
        <v>0</v>
      </c>
      <c r="Q77" s="32">
        <f>SUM(Q71:Q75)</f>
        <v>0</v>
      </c>
      <c r="R77" s="32"/>
      <c r="S77" s="32">
        <f t="shared" ref="S77:AD77" si="39">SUM(S71:S75)</f>
        <v>0</v>
      </c>
      <c r="T77" s="32">
        <f t="shared" si="39"/>
        <v>3915263.2790543004</v>
      </c>
      <c r="U77" s="32">
        <f t="shared" si="39"/>
        <v>0</v>
      </c>
      <c r="V77" s="32">
        <f t="shared" si="39"/>
        <v>3203208.1723180804</v>
      </c>
      <c r="W77" s="32">
        <f t="shared" si="39"/>
        <v>6027671.897791693</v>
      </c>
      <c r="X77" s="32">
        <f t="shared" si="39"/>
        <v>1744839.6186468077</v>
      </c>
      <c r="Y77" s="32">
        <f t="shared" si="39"/>
        <v>3232276.7288330751</v>
      </c>
      <c r="Z77" s="32">
        <f t="shared" si="39"/>
        <v>2363592.6988833533</v>
      </c>
      <c r="AA77" s="32">
        <f t="shared" si="39"/>
        <v>2049830.3570140635</v>
      </c>
      <c r="AB77" s="32">
        <f t="shared" si="39"/>
        <v>1517895.195795224</v>
      </c>
      <c r="AC77" s="32">
        <f t="shared" si="39"/>
        <v>1084586.3759420654</v>
      </c>
      <c r="AD77" s="32">
        <f t="shared" si="39"/>
        <v>1777258.1645992736</v>
      </c>
      <c r="AE77" s="32"/>
      <c r="AF77" s="32">
        <f>SUM(AF71:AF75)</f>
        <v>0</v>
      </c>
      <c r="AG77" s="32"/>
      <c r="AH77" s="32">
        <f>SUM(AH71:AH75)</f>
        <v>0</v>
      </c>
      <c r="AI77" s="32"/>
      <c r="AJ77" s="32">
        <f>SUM(AJ71:AJ75)</f>
        <v>0</v>
      </c>
      <c r="AK77" s="33">
        <f>SUM(H77:AJ77)</f>
        <v>134479318.04355776</v>
      </c>
      <c r="AL77" s="30" t="str">
        <f>IF(ABS(AK77-F77)&lt;1,"ok","err")</f>
        <v>ok</v>
      </c>
    </row>
    <row r="78" spans="1:39" x14ac:dyDescent="0.25">
      <c r="A78" s="25"/>
      <c r="D78" s="164"/>
      <c r="E78" s="17"/>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3"/>
      <c r="AL78" s="30"/>
    </row>
    <row r="79" spans="1:39" x14ac:dyDescent="0.25">
      <c r="A79" s="4" t="s">
        <v>434</v>
      </c>
      <c r="D79" s="164"/>
      <c r="E79" s="17"/>
      <c r="F79" s="32">
        <f>F66+F77</f>
        <v>7855154332.7941513</v>
      </c>
      <c r="G79" s="32"/>
      <c r="H79" s="32">
        <f t="shared" ref="H79:M79" si="40">H66+H77</f>
        <v>4685799910.2206984</v>
      </c>
      <c r="I79" s="32">
        <f t="shared" si="40"/>
        <v>0</v>
      </c>
      <c r="J79" s="32">
        <f t="shared" si="40"/>
        <v>0</v>
      </c>
      <c r="K79" s="32">
        <f>K66+K77</f>
        <v>0</v>
      </c>
      <c r="L79" s="32">
        <f t="shared" si="40"/>
        <v>0</v>
      </c>
      <c r="M79" s="32">
        <f t="shared" si="40"/>
        <v>0</v>
      </c>
      <c r="N79" s="32"/>
      <c r="O79" s="32">
        <f>O66+O77</f>
        <v>1136578628.2601163</v>
      </c>
      <c r="P79" s="32">
        <f>P66+P77</f>
        <v>0</v>
      </c>
      <c r="Q79" s="32">
        <f>Q66+Q77</f>
        <v>0</v>
      </c>
      <c r="R79" s="32"/>
      <c r="S79" s="32">
        <f t="shared" ref="S79:AD79" si="41">S66+S77</f>
        <v>0</v>
      </c>
      <c r="T79" s="32">
        <f t="shared" si="41"/>
        <v>295687602.0694837</v>
      </c>
      <c r="U79" s="32">
        <f t="shared" si="41"/>
        <v>0</v>
      </c>
      <c r="V79" s="32">
        <f t="shared" si="41"/>
        <v>241911942.03187346</v>
      </c>
      <c r="W79" s="32">
        <f t="shared" si="41"/>
        <v>455220434.10325694</v>
      </c>
      <c r="X79" s="32">
        <f t="shared" si="41"/>
        <v>131773371.56190552</v>
      </c>
      <c r="Y79" s="32">
        <f t="shared" si="41"/>
        <v>244107250.79119048</v>
      </c>
      <c r="Z79" s="32">
        <f t="shared" si="41"/>
        <v>178502697.67058116</v>
      </c>
      <c r="AA79" s="32">
        <f t="shared" si="41"/>
        <v>154806811.11721379</v>
      </c>
      <c r="AB79" s="32">
        <f t="shared" si="41"/>
        <v>114634127.68141831</v>
      </c>
      <c r="AC79" s="32">
        <f t="shared" si="41"/>
        <v>81909879.842615083</v>
      </c>
      <c r="AD79" s="32">
        <f t="shared" si="41"/>
        <v>134221677.44379744</v>
      </c>
      <c r="AE79" s="32"/>
      <c r="AF79" s="32">
        <f>AF66+AF77</f>
        <v>0</v>
      </c>
      <c r="AG79" s="32"/>
      <c r="AH79" s="32">
        <f>AH66+AH77</f>
        <v>0</v>
      </c>
      <c r="AI79" s="32"/>
      <c r="AJ79" s="32">
        <f>AJ66+AJ77</f>
        <v>0</v>
      </c>
      <c r="AK79" s="33">
        <f>SUM(H79:AJ79)</f>
        <v>7855154332.7941513</v>
      </c>
      <c r="AL79" s="30" t="str">
        <f>IF(ABS(AK79-F79)&lt;1,"ok","err")</f>
        <v>ok</v>
      </c>
    </row>
    <row r="80" spans="1:39" x14ac:dyDescent="0.25">
      <c r="A80" s="4"/>
      <c r="D80" s="164"/>
      <c r="E80" s="17"/>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3"/>
      <c r="AL80" s="30"/>
    </row>
    <row r="81" spans="1:38" x14ac:dyDescent="0.25">
      <c r="A81" s="4"/>
      <c r="D81" s="17"/>
      <c r="E81" s="17"/>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3"/>
      <c r="AL81" s="30"/>
    </row>
    <row r="82" spans="1:38" x14ac:dyDescent="0.25">
      <c r="A82" s="4"/>
      <c r="D82" s="17"/>
      <c r="E82" s="17"/>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3"/>
      <c r="AL82" s="30"/>
    </row>
    <row r="83" spans="1:38" x14ac:dyDescent="0.25">
      <c r="A83" s="4"/>
      <c r="D83" s="17"/>
      <c r="E83" s="17"/>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3"/>
      <c r="AL83" s="30"/>
    </row>
    <row r="84" spans="1:38" x14ac:dyDescent="0.25">
      <c r="A84" s="4"/>
      <c r="D84" s="169"/>
      <c r="E84" s="17"/>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3"/>
      <c r="AL84" s="30"/>
    </row>
    <row r="85" spans="1:38" x14ac:dyDescent="0.25">
      <c r="A85" s="4"/>
      <c r="D85" s="164"/>
      <c r="E85" s="17"/>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3"/>
      <c r="AL85" s="30"/>
    </row>
    <row r="86" spans="1:38" x14ac:dyDescent="0.25">
      <c r="A86" s="4"/>
      <c r="D86" s="164"/>
      <c r="E86" s="17"/>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3"/>
      <c r="AL86" s="30"/>
    </row>
    <row r="87" spans="1:38" x14ac:dyDescent="0.25">
      <c r="A87" s="4"/>
      <c r="D87" s="14"/>
      <c r="E87" s="14"/>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3"/>
      <c r="AL87" s="30"/>
    </row>
    <row r="88" spans="1:38" x14ac:dyDescent="0.25">
      <c r="A88" s="4"/>
      <c r="D88" s="14"/>
      <c r="E88" s="14"/>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3"/>
      <c r="AL88" s="30"/>
    </row>
    <row r="89" spans="1:38" x14ac:dyDescent="0.25">
      <c r="D89" s="14"/>
      <c r="E89" s="14"/>
      <c r="AL89" s="30"/>
    </row>
    <row r="90" spans="1:38" x14ac:dyDescent="0.25">
      <c r="A90" s="3" t="s">
        <v>181</v>
      </c>
      <c r="D90" s="14"/>
      <c r="E90" s="14"/>
      <c r="AL90" s="30"/>
    </row>
    <row r="91" spans="1:38" x14ac:dyDescent="0.25">
      <c r="D91" s="14"/>
      <c r="E91" s="14"/>
      <c r="AL91" s="30"/>
    </row>
    <row r="92" spans="1:38" x14ac:dyDescent="0.25">
      <c r="A92" s="3" t="s">
        <v>182</v>
      </c>
      <c r="D92" s="164"/>
      <c r="E92" s="17"/>
      <c r="AL92" s="30"/>
    </row>
    <row r="93" spans="1:38" x14ac:dyDescent="0.25">
      <c r="A93" s="29" t="s">
        <v>108</v>
      </c>
      <c r="D93" s="164"/>
      <c r="E93" s="17"/>
      <c r="F93" s="34">
        <f>F66</f>
        <v>7720675014.7505932</v>
      </c>
      <c r="G93" s="34"/>
      <c r="H93" s="34">
        <f t="shared" ref="H93:M93" si="42">H66</f>
        <v>4640065359.6988649</v>
      </c>
      <c r="I93" s="34">
        <f t="shared" si="42"/>
        <v>0</v>
      </c>
      <c r="J93" s="34">
        <f t="shared" si="42"/>
        <v>0</v>
      </c>
      <c r="K93" s="34">
        <f t="shared" si="42"/>
        <v>0</v>
      </c>
      <c r="L93" s="34">
        <f t="shared" si="42"/>
        <v>0</v>
      </c>
      <c r="M93" s="34">
        <f t="shared" si="42"/>
        <v>0</v>
      </c>
      <c r="N93" s="34"/>
      <c r="O93" s="34">
        <f>O66</f>
        <v>1074750283.2272704</v>
      </c>
      <c r="P93" s="34">
        <f>P66</f>
        <v>0</v>
      </c>
      <c r="Q93" s="34">
        <f>Q66</f>
        <v>0</v>
      </c>
      <c r="R93" s="34"/>
      <c r="S93" s="34">
        <f t="shared" ref="S93:AD93" si="43">S66</f>
        <v>0</v>
      </c>
      <c r="T93" s="34">
        <f t="shared" si="43"/>
        <v>291772338.79042941</v>
      </c>
      <c r="U93" s="34">
        <f t="shared" si="43"/>
        <v>0</v>
      </c>
      <c r="V93" s="34">
        <f t="shared" si="43"/>
        <v>238708733.85955539</v>
      </c>
      <c r="W93" s="34">
        <f t="shared" si="43"/>
        <v>449192762.20546526</v>
      </c>
      <c r="X93" s="34">
        <f t="shared" si="43"/>
        <v>130028531.94325872</v>
      </c>
      <c r="Y93" s="34">
        <f t="shared" si="43"/>
        <v>240874974.0623574</v>
      </c>
      <c r="Z93" s="34">
        <f t="shared" si="43"/>
        <v>176139104.97169781</v>
      </c>
      <c r="AA93" s="34">
        <f t="shared" si="43"/>
        <v>152756980.76019973</v>
      </c>
      <c r="AB93" s="34">
        <f t="shared" si="43"/>
        <v>113116232.48562309</v>
      </c>
      <c r="AC93" s="34">
        <f t="shared" si="43"/>
        <v>80825293.466673017</v>
      </c>
      <c r="AD93" s="34">
        <f t="shared" si="43"/>
        <v>132444419.27919817</v>
      </c>
      <c r="AE93" s="34"/>
      <c r="AF93" s="34">
        <f>AF66</f>
        <v>0</v>
      </c>
      <c r="AG93" s="34"/>
      <c r="AH93" s="34">
        <f>AH66</f>
        <v>0</v>
      </c>
      <c r="AI93" s="34"/>
      <c r="AJ93" s="34">
        <f>AJ66</f>
        <v>0</v>
      </c>
      <c r="AK93" s="33">
        <f>SUM(H93:AJ93)</f>
        <v>7720675014.7505913</v>
      </c>
      <c r="AL93" s="30" t="str">
        <f>IF(ABS(AK93-F93)&lt;1,"ok","err")</f>
        <v>ok</v>
      </c>
    </row>
    <row r="94" spans="1:38" x14ac:dyDescent="0.25">
      <c r="A94" s="29" t="s">
        <v>177</v>
      </c>
      <c r="D94" s="164"/>
      <c r="E94" s="17"/>
      <c r="F94" s="33">
        <f>F77</f>
        <v>134479318.04355776</v>
      </c>
      <c r="G94" s="38"/>
      <c r="H94" s="38">
        <f t="shared" ref="H94:AJ94" si="44">H77</f>
        <v>45734550.521833859</v>
      </c>
      <c r="I94" s="38">
        <f t="shared" si="44"/>
        <v>0</v>
      </c>
      <c r="J94" s="38">
        <f t="shared" si="44"/>
        <v>0</v>
      </c>
      <c r="K94" s="38">
        <f>K77</f>
        <v>0</v>
      </c>
      <c r="L94" s="38">
        <f t="shared" si="44"/>
        <v>0</v>
      </c>
      <c r="M94" s="38">
        <f t="shared" si="44"/>
        <v>0</v>
      </c>
      <c r="N94" s="38"/>
      <c r="O94" s="38">
        <f>O77</f>
        <v>61828345.032845959</v>
      </c>
      <c r="P94" s="38">
        <f>P77</f>
        <v>0</v>
      </c>
      <c r="Q94" s="38">
        <f>Q77</f>
        <v>0</v>
      </c>
      <c r="R94" s="38"/>
      <c r="S94" s="38">
        <f t="shared" si="44"/>
        <v>0</v>
      </c>
      <c r="T94" s="38">
        <f>T77</f>
        <v>3915263.2790543004</v>
      </c>
      <c r="U94" s="38">
        <f t="shared" si="44"/>
        <v>0</v>
      </c>
      <c r="V94" s="38">
        <f t="shared" si="44"/>
        <v>3203208.1723180804</v>
      </c>
      <c r="W94" s="38">
        <f>W77</f>
        <v>6027671.897791693</v>
      </c>
      <c r="X94" s="38">
        <f>X77</f>
        <v>1744839.6186468077</v>
      </c>
      <c r="Y94" s="38">
        <f>Y77</f>
        <v>3232276.7288330751</v>
      </c>
      <c r="Z94" s="38">
        <f t="shared" si="44"/>
        <v>2363592.6988833533</v>
      </c>
      <c r="AA94" s="38">
        <f t="shared" si="44"/>
        <v>2049830.3570140635</v>
      </c>
      <c r="AB94" s="38">
        <f>AB77</f>
        <v>1517895.195795224</v>
      </c>
      <c r="AC94" s="38">
        <f>AC77</f>
        <v>1084586.3759420654</v>
      </c>
      <c r="AD94" s="38">
        <f t="shared" si="44"/>
        <v>1777258.1645992736</v>
      </c>
      <c r="AE94" s="38"/>
      <c r="AF94" s="38">
        <f t="shared" si="44"/>
        <v>0</v>
      </c>
      <c r="AG94" s="38"/>
      <c r="AH94" s="38">
        <f t="shared" si="44"/>
        <v>0</v>
      </c>
      <c r="AI94" s="38"/>
      <c r="AJ94" s="33">
        <f t="shared" si="44"/>
        <v>0</v>
      </c>
      <c r="AK94" s="33">
        <f>SUM(H94:AJ94)</f>
        <v>134479318.04355776</v>
      </c>
      <c r="AL94" s="30" t="str">
        <f>IF(ABS(AK94-F94)&lt;1,"ok","err")</f>
        <v>ok</v>
      </c>
    </row>
    <row r="95" spans="1:38" x14ac:dyDescent="0.25">
      <c r="D95" s="164"/>
      <c r="E95" s="17"/>
      <c r="Y95" s="29"/>
      <c r="AK95" s="33"/>
      <c r="AL95" s="30"/>
    </row>
    <row r="96" spans="1:38" x14ac:dyDescent="0.25">
      <c r="A96" s="25" t="s">
        <v>183</v>
      </c>
      <c r="C96" s="29" t="s">
        <v>184</v>
      </c>
      <c r="D96" s="164"/>
      <c r="E96" s="17"/>
      <c r="F96" s="34">
        <f>F93+F94</f>
        <v>7855154332.7941513</v>
      </c>
      <c r="G96" s="34"/>
      <c r="H96" s="34">
        <f t="shared" ref="H96:AJ96" si="45">H93+H94</f>
        <v>4685799910.2206984</v>
      </c>
      <c r="I96" s="34">
        <f t="shared" si="45"/>
        <v>0</v>
      </c>
      <c r="J96" s="34">
        <f t="shared" si="45"/>
        <v>0</v>
      </c>
      <c r="K96" s="34">
        <f>K93+K94</f>
        <v>0</v>
      </c>
      <c r="L96" s="34">
        <f t="shared" si="45"/>
        <v>0</v>
      </c>
      <c r="M96" s="34">
        <f t="shared" si="45"/>
        <v>0</v>
      </c>
      <c r="N96" s="34"/>
      <c r="O96" s="34">
        <f t="shared" si="45"/>
        <v>1136578628.2601163</v>
      </c>
      <c r="P96" s="34">
        <f>P93+P94</f>
        <v>0</v>
      </c>
      <c r="Q96" s="34">
        <f>Q93+Q94</f>
        <v>0</v>
      </c>
      <c r="R96" s="34"/>
      <c r="S96" s="34">
        <f t="shared" si="45"/>
        <v>0</v>
      </c>
      <c r="T96" s="34">
        <f>T93+T94</f>
        <v>295687602.0694837</v>
      </c>
      <c r="U96" s="34">
        <f t="shared" si="45"/>
        <v>0</v>
      </c>
      <c r="V96" s="34">
        <f t="shared" si="45"/>
        <v>241911942.03187346</v>
      </c>
      <c r="W96" s="34">
        <f>W93+W94</f>
        <v>455220434.10325694</v>
      </c>
      <c r="X96" s="34">
        <f>X93+X94</f>
        <v>131773371.56190552</v>
      </c>
      <c r="Y96" s="34">
        <f>Y93+Y94</f>
        <v>244107250.79119048</v>
      </c>
      <c r="Z96" s="34">
        <f t="shared" si="45"/>
        <v>178502697.67058116</v>
      </c>
      <c r="AA96" s="34">
        <f t="shared" si="45"/>
        <v>154806811.11721379</v>
      </c>
      <c r="AB96" s="34">
        <f>AB93+AB94</f>
        <v>114634127.68141831</v>
      </c>
      <c r="AC96" s="34">
        <f>AC93+AC94</f>
        <v>81909879.842615083</v>
      </c>
      <c r="AD96" s="34">
        <f t="shared" si="45"/>
        <v>134221677.44379744</v>
      </c>
      <c r="AE96" s="34"/>
      <c r="AF96" s="34">
        <f t="shared" si="45"/>
        <v>0</v>
      </c>
      <c r="AG96" s="34"/>
      <c r="AH96" s="34">
        <f t="shared" si="45"/>
        <v>0</v>
      </c>
      <c r="AI96" s="34"/>
      <c r="AJ96" s="34">
        <f t="shared" si="45"/>
        <v>0</v>
      </c>
      <c r="AK96" s="33">
        <f>SUM(H96:AJ96)</f>
        <v>7855154332.7941513</v>
      </c>
      <c r="AL96" s="30" t="str">
        <f>IF(ABS(AK96-F96)&lt;1,"ok","err")</f>
        <v>ok</v>
      </c>
    </row>
    <row r="97" spans="1:38" x14ac:dyDescent="0.25">
      <c r="D97" s="164"/>
      <c r="E97" s="17"/>
      <c r="Y97" s="29"/>
      <c r="AL97" s="30"/>
    </row>
    <row r="98" spans="1:38" x14ac:dyDescent="0.25">
      <c r="A98" s="3" t="s">
        <v>185</v>
      </c>
      <c r="D98" s="164"/>
      <c r="E98" s="17"/>
      <c r="Y98" s="29"/>
      <c r="AL98" s="30"/>
    </row>
    <row r="99" spans="1:38" x14ac:dyDescent="0.25">
      <c r="A99" s="39" t="s">
        <v>1559</v>
      </c>
      <c r="C99" s="29" t="s">
        <v>457</v>
      </c>
      <c r="D99" s="164" t="s">
        <v>682</v>
      </c>
      <c r="E99" s="17"/>
      <c r="F99" s="32">
        <f>'Jurisdictional Study'!F773-270915525</f>
        <v>1494613701.7568419</v>
      </c>
      <c r="H99" s="33">
        <f t="shared" ref="H99:H107" si="46">IF(VLOOKUP($D99,$C$5:$AJ$596,6,)=0,0,((VLOOKUP($D99,$C$5:$AJ$596,6,)/VLOOKUP($D99,$C$5:$AJ$596,4,))*$F99))</f>
        <v>1494613701.7568419</v>
      </c>
      <c r="I99" s="33">
        <f t="shared" ref="I99:I107" si="47">IF(VLOOKUP($D99,$C$5:$AJ$596,7,)=0,0,((VLOOKUP($D99,$C$5:$AJ$596,7,)/VLOOKUP($D99,$C$5:$AJ$596,4,))*$F99))</f>
        <v>0</v>
      </c>
      <c r="J99" s="33">
        <f t="shared" ref="J99:J107" si="48">IF(VLOOKUP($D99,$C$5:$AJ$596,8,)=0,0,((VLOOKUP($D99,$C$5:$AJ$596,8,)/VLOOKUP($D99,$C$5:$AJ$596,4,))*$F99))</f>
        <v>0</v>
      </c>
      <c r="K99" s="33">
        <f t="shared" ref="K99:K107" si="49">IF(VLOOKUP($D99,$C$5:$AJ$596,9,)=0,0,((VLOOKUP($D99,$C$5:$AJ$596,9,)/VLOOKUP($D99,$C$5:$AJ$596,4,))*$F99))</f>
        <v>0</v>
      </c>
      <c r="L99" s="33">
        <f t="shared" ref="L99:L107" si="50">IF(VLOOKUP($D99,$C$5:$AJ$596,10,)=0,0,((VLOOKUP($D99,$C$5:$AJ$596,10,)/VLOOKUP($D99,$C$5:$AJ$596,4,))*$F99))</f>
        <v>0</v>
      </c>
      <c r="M99" s="33">
        <f t="shared" ref="M99:M107" si="51">IF(VLOOKUP($D99,$C$5:$AJ$596,11,)=0,0,((VLOOKUP($D99,$C$5:$AJ$596,11,)/VLOOKUP($D99,$C$5:$AJ$596,4,))*$F99))</f>
        <v>0</v>
      </c>
      <c r="N99" s="33"/>
      <c r="O99" s="33">
        <f t="shared" ref="O99:O107" si="52">IF(VLOOKUP($D99,$C$5:$AJ$596,13,)=0,0,((VLOOKUP($D99,$C$5:$AJ$596,13,)/VLOOKUP($D99,$C$5:$AJ$596,4,))*$F99))</f>
        <v>0</v>
      </c>
      <c r="P99" s="33">
        <f t="shared" ref="P99:P107" si="53">IF(VLOOKUP($D99,$C$5:$AJ$596,14,)=0,0,((VLOOKUP($D99,$C$5:$AJ$596,14,)/VLOOKUP($D99,$C$5:$AJ$596,4,))*$F99))</f>
        <v>0</v>
      </c>
      <c r="Q99" s="33">
        <f t="shared" ref="Q99:Q107" si="54">IF(VLOOKUP($D99,$C$5:$AJ$596,15,)=0,0,((VLOOKUP($D99,$C$5:$AJ$596,15,)/VLOOKUP($D99,$C$5:$AJ$596,4,))*$F99))</f>
        <v>0</v>
      </c>
      <c r="R99" s="33"/>
      <c r="S99" s="33">
        <f t="shared" ref="S99:S107" si="55">IF(VLOOKUP($D99,$C$5:$AJ$596,17,)=0,0,((VLOOKUP($D99,$C$5:$AJ$596,17,)/VLOOKUP($D99,$C$5:$AJ$596,4,))*$F99))</f>
        <v>0</v>
      </c>
      <c r="T99" s="33">
        <f t="shared" ref="T99:T107" si="56">IF(VLOOKUP($D99,$C$5:$AJ$596,18,)=0,0,((VLOOKUP($D99,$C$5:$AJ$596,18,)/VLOOKUP($D99,$C$5:$AJ$596,4,))*$F99))</f>
        <v>0</v>
      </c>
      <c r="U99" s="33">
        <f t="shared" ref="U99:U107" si="57">IF(VLOOKUP($D99,$C$5:$AJ$596,19,)=0,0,((VLOOKUP($D99,$C$5:$AJ$596,19,)/VLOOKUP($D99,$C$5:$AJ$596,4,))*$F99))</f>
        <v>0</v>
      </c>
      <c r="V99" s="33">
        <f t="shared" ref="V99:V107" si="58">IF(VLOOKUP($D99,$C$5:$AJ$596,20,)=0,0,((VLOOKUP($D99,$C$5:$AJ$596,20,)/VLOOKUP($D99,$C$5:$AJ$596,4,))*$F99))</f>
        <v>0</v>
      </c>
      <c r="W99" s="33">
        <f t="shared" ref="W99:W107" si="59">IF(VLOOKUP($D99,$C$5:$AJ$596,21,)=0,0,((VLOOKUP($D99,$C$5:$AJ$596,21,)/VLOOKUP($D99,$C$5:$AJ$596,4,))*$F99))</f>
        <v>0</v>
      </c>
      <c r="X99" s="33">
        <f t="shared" ref="X99:X107" si="60">IF(VLOOKUP($D99,$C$5:$AJ$596,22,)=0,0,((VLOOKUP($D99,$C$5:$AJ$596,22,)/VLOOKUP($D99,$C$5:$AJ$596,4,))*$F99))</f>
        <v>0</v>
      </c>
      <c r="Y99" s="33">
        <f t="shared" ref="Y99:Y107" si="61">IF(VLOOKUP($D99,$C$5:$AJ$596,23,)=0,0,((VLOOKUP($D99,$C$5:$AJ$596,23,)/VLOOKUP($D99,$C$5:$AJ$596,4,))*$F99))</f>
        <v>0</v>
      </c>
      <c r="Z99" s="33">
        <f t="shared" ref="Z99:Z107" si="62">IF(VLOOKUP($D99,$C$5:$AJ$596,24,)=0,0,((VLOOKUP($D99,$C$5:$AJ$596,24,)/VLOOKUP($D99,$C$5:$AJ$596,4,))*$F99))</f>
        <v>0</v>
      </c>
      <c r="AA99" s="33">
        <f t="shared" ref="AA99:AA107" si="63">IF(VLOOKUP($D99,$C$5:$AJ$596,25,)=0,0,((VLOOKUP($D99,$C$5:$AJ$596,25,)/VLOOKUP($D99,$C$5:$AJ$596,4,))*$F99))</f>
        <v>0</v>
      </c>
      <c r="AB99" s="33">
        <f t="shared" ref="AB99:AB107" si="64">IF(VLOOKUP($D99,$C$5:$AJ$596,26,)=0,0,((VLOOKUP($D99,$C$5:$AJ$596,26,)/VLOOKUP($D99,$C$5:$AJ$596,4,))*$F99))</f>
        <v>0</v>
      </c>
      <c r="AC99" s="33">
        <f t="shared" ref="AC99:AC107" si="65">IF(VLOOKUP($D99,$C$5:$AJ$596,27,)=0,0,((VLOOKUP($D99,$C$5:$AJ$596,27,)/VLOOKUP($D99,$C$5:$AJ$596,4,))*$F99))</f>
        <v>0</v>
      </c>
      <c r="AD99" s="33">
        <f t="shared" ref="AD99:AD107" si="66">IF(VLOOKUP($D99,$C$5:$AJ$596,28,)=0,0,((VLOOKUP($D99,$C$5:$AJ$596,28,)/VLOOKUP($D99,$C$5:$AJ$596,4,))*$F99))</f>
        <v>0</v>
      </c>
      <c r="AE99" s="33"/>
      <c r="AF99" s="33">
        <f t="shared" ref="AF99:AF107" si="67">IF(VLOOKUP($D99,$C$5:$AJ$596,30,)=0,0,((VLOOKUP($D99,$C$5:$AJ$596,30,)/VLOOKUP($D99,$C$5:$AJ$596,4,))*$F99))</f>
        <v>0</v>
      </c>
      <c r="AG99" s="33"/>
      <c r="AH99" s="33">
        <f t="shared" ref="AH99:AH107" si="68">IF(VLOOKUP($D99,$C$5:$AJ$596,32,)=0,0,((VLOOKUP($D99,$C$5:$AJ$596,32,)/VLOOKUP($D99,$C$5:$AJ$596,4,))*$F99))</f>
        <v>0</v>
      </c>
      <c r="AI99" s="33"/>
      <c r="AJ99" s="33">
        <f t="shared" ref="AJ99:AJ107" si="69">IF(VLOOKUP($D99,$C$5:$AJ$596,34,)=0,0,((VLOOKUP($D99,$C$5:$AJ$596,34,)/VLOOKUP($D99,$C$5:$AJ$596,4,))*$F99))</f>
        <v>0</v>
      </c>
      <c r="AK99" s="33">
        <f t="shared" ref="AK99:AK107" si="70">SUM(H99:AJ99)</f>
        <v>1494613701.7568419</v>
      </c>
      <c r="AL99" s="30" t="str">
        <f t="shared" ref="AL99:AL107" si="71">IF(ABS(AK99-F99)&lt;1,"ok","err")</f>
        <v>ok</v>
      </c>
    </row>
    <row r="100" spans="1:38" x14ac:dyDescent="0.25">
      <c r="A100" s="39" t="s">
        <v>1558</v>
      </c>
      <c r="C100" s="29" t="s">
        <v>458</v>
      </c>
      <c r="D100" s="164" t="s">
        <v>682</v>
      </c>
      <c r="E100" s="17"/>
      <c r="F100" s="33">
        <f>'Jurisdictional Study'!F779-65027.87</f>
        <v>14258848.99069546</v>
      </c>
      <c r="H100" s="33">
        <f t="shared" si="46"/>
        <v>14258848.99069546</v>
      </c>
      <c r="I100" s="33">
        <f t="shared" si="47"/>
        <v>0</v>
      </c>
      <c r="J100" s="33">
        <f t="shared" si="48"/>
        <v>0</v>
      </c>
      <c r="K100" s="33">
        <f t="shared" si="49"/>
        <v>0</v>
      </c>
      <c r="L100" s="33">
        <f t="shared" si="50"/>
        <v>0</v>
      </c>
      <c r="M100" s="33">
        <f t="shared" si="51"/>
        <v>0</v>
      </c>
      <c r="N100" s="33"/>
      <c r="O100" s="33">
        <f t="shared" si="52"/>
        <v>0</v>
      </c>
      <c r="P100" s="33">
        <f t="shared" si="53"/>
        <v>0</v>
      </c>
      <c r="Q100" s="33">
        <f t="shared" si="54"/>
        <v>0</v>
      </c>
      <c r="R100" s="33"/>
      <c r="S100" s="33">
        <f t="shared" si="55"/>
        <v>0</v>
      </c>
      <c r="T100" s="33">
        <f t="shared" si="56"/>
        <v>0</v>
      </c>
      <c r="U100" s="33">
        <f t="shared" si="57"/>
        <v>0</v>
      </c>
      <c r="V100" s="33">
        <f t="shared" si="58"/>
        <v>0</v>
      </c>
      <c r="W100" s="33">
        <f t="shared" si="59"/>
        <v>0</v>
      </c>
      <c r="X100" s="33">
        <f t="shared" si="60"/>
        <v>0</v>
      </c>
      <c r="Y100" s="33">
        <f t="shared" si="61"/>
        <v>0</v>
      </c>
      <c r="Z100" s="33">
        <f t="shared" si="62"/>
        <v>0</v>
      </c>
      <c r="AA100" s="33">
        <f t="shared" si="63"/>
        <v>0</v>
      </c>
      <c r="AB100" s="33">
        <f t="shared" si="64"/>
        <v>0</v>
      </c>
      <c r="AC100" s="33">
        <f t="shared" si="65"/>
        <v>0</v>
      </c>
      <c r="AD100" s="33">
        <f t="shared" si="66"/>
        <v>0</v>
      </c>
      <c r="AE100" s="33"/>
      <c r="AF100" s="33">
        <f t="shared" si="67"/>
        <v>0</v>
      </c>
      <c r="AG100" s="33"/>
      <c r="AH100" s="33">
        <f t="shared" si="68"/>
        <v>0</v>
      </c>
      <c r="AI100" s="33"/>
      <c r="AJ100" s="33">
        <f t="shared" si="69"/>
        <v>0</v>
      </c>
      <c r="AK100" s="33">
        <f t="shared" si="70"/>
        <v>14258848.99069546</v>
      </c>
      <c r="AL100" s="30" t="str">
        <f t="shared" si="71"/>
        <v>ok</v>
      </c>
    </row>
    <row r="101" spans="1:38" x14ac:dyDescent="0.25">
      <c r="A101" s="40" t="s">
        <v>1557</v>
      </c>
      <c r="D101" s="164" t="s">
        <v>682</v>
      </c>
      <c r="E101" s="17"/>
      <c r="F101" s="33">
        <f>'Jurisdictional Study'!F785-83548.56</f>
        <v>357830459.5820201</v>
      </c>
      <c r="H101" s="33">
        <f t="shared" si="46"/>
        <v>357830459.5820201</v>
      </c>
      <c r="I101" s="33">
        <f t="shared" si="47"/>
        <v>0</v>
      </c>
      <c r="J101" s="33">
        <f t="shared" si="48"/>
        <v>0</v>
      </c>
      <c r="K101" s="33">
        <f t="shared" si="49"/>
        <v>0</v>
      </c>
      <c r="L101" s="33">
        <f t="shared" si="50"/>
        <v>0</v>
      </c>
      <c r="M101" s="33">
        <f t="shared" si="51"/>
        <v>0</v>
      </c>
      <c r="N101" s="33"/>
      <c r="O101" s="33">
        <f t="shared" si="52"/>
        <v>0</v>
      </c>
      <c r="P101" s="33">
        <f t="shared" si="53"/>
        <v>0</v>
      </c>
      <c r="Q101" s="33">
        <f t="shared" si="54"/>
        <v>0</v>
      </c>
      <c r="R101" s="33"/>
      <c r="S101" s="33">
        <f t="shared" si="55"/>
        <v>0</v>
      </c>
      <c r="T101" s="33">
        <f t="shared" si="56"/>
        <v>0</v>
      </c>
      <c r="U101" s="33">
        <f t="shared" si="57"/>
        <v>0</v>
      </c>
      <c r="V101" s="33">
        <f t="shared" si="58"/>
        <v>0</v>
      </c>
      <c r="W101" s="33">
        <f t="shared" si="59"/>
        <v>0</v>
      </c>
      <c r="X101" s="33">
        <f t="shared" si="60"/>
        <v>0</v>
      </c>
      <c r="Y101" s="33">
        <f t="shared" si="61"/>
        <v>0</v>
      </c>
      <c r="Z101" s="33">
        <f t="shared" si="62"/>
        <v>0</v>
      </c>
      <c r="AA101" s="33">
        <f t="shared" si="63"/>
        <v>0</v>
      </c>
      <c r="AB101" s="33">
        <f t="shared" si="64"/>
        <v>0</v>
      </c>
      <c r="AC101" s="33">
        <f t="shared" si="65"/>
        <v>0</v>
      </c>
      <c r="AD101" s="33">
        <f t="shared" si="66"/>
        <v>0</v>
      </c>
      <c r="AE101" s="33"/>
      <c r="AF101" s="33">
        <f t="shared" si="67"/>
        <v>0</v>
      </c>
      <c r="AG101" s="33"/>
      <c r="AH101" s="33">
        <f t="shared" si="68"/>
        <v>0</v>
      </c>
      <c r="AI101" s="33"/>
      <c r="AJ101" s="33">
        <f t="shared" si="69"/>
        <v>0</v>
      </c>
      <c r="AK101" s="33">
        <f>SUM(H101:AJ101)</f>
        <v>357830459.5820201</v>
      </c>
      <c r="AL101" s="30" t="str">
        <f t="shared" si="71"/>
        <v>ok</v>
      </c>
    </row>
    <row r="102" spans="1:38" x14ac:dyDescent="0.25">
      <c r="A102" s="29" t="s">
        <v>1560</v>
      </c>
      <c r="C102" s="29" t="s">
        <v>459</v>
      </c>
      <c r="D102" s="164" t="s">
        <v>454</v>
      </c>
      <c r="E102" s="17"/>
      <c r="F102" s="33">
        <f>'Jurisdictional Study'!F790-93079.46</f>
        <v>314428059.12861001</v>
      </c>
      <c r="H102" s="33">
        <f t="shared" si="46"/>
        <v>0</v>
      </c>
      <c r="I102" s="33">
        <f t="shared" si="47"/>
        <v>0</v>
      </c>
      <c r="J102" s="33">
        <f t="shared" si="48"/>
        <v>0</v>
      </c>
      <c r="K102" s="33">
        <f t="shared" si="49"/>
        <v>0</v>
      </c>
      <c r="L102" s="33">
        <f t="shared" si="50"/>
        <v>0</v>
      </c>
      <c r="M102" s="33">
        <f t="shared" si="51"/>
        <v>0</v>
      </c>
      <c r="N102" s="33"/>
      <c r="O102" s="33">
        <f t="shared" si="52"/>
        <v>314428059.12861001</v>
      </c>
      <c r="P102" s="33">
        <f t="shared" si="53"/>
        <v>0</v>
      </c>
      <c r="Q102" s="33">
        <f t="shared" si="54"/>
        <v>0</v>
      </c>
      <c r="R102" s="33"/>
      <c r="S102" s="33">
        <f t="shared" si="55"/>
        <v>0</v>
      </c>
      <c r="T102" s="33">
        <f t="shared" si="56"/>
        <v>0</v>
      </c>
      <c r="U102" s="33">
        <f t="shared" si="57"/>
        <v>0</v>
      </c>
      <c r="V102" s="33">
        <f t="shared" si="58"/>
        <v>0</v>
      </c>
      <c r="W102" s="33">
        <f t="shared" si="59"/>
        <v>0</v>
      </c>
      <c r="X102" s="33">
        <f t="shared" si="60"/>
        <v>0</v>
      </c>
      <c r="Y102" s="33">
        <f t="shared" si="61"/>
        <v>0</v>
      </c>
      <c r="Z102" s="33">
        <f t="shared" si="62"/>
        <v>0</v>
      </c>
      <c r="AA102" s="33">
        <f t="shared" si="63"/>
        <v>0</v>
      </c>
      <c r="AB102" s="33">
        <f t="shared" si="64"/>
        <v>0</v>
      </c>
      <c r="AC102" s="33">
        <f t="shared" si="65"/>
        <v>0</v>
      </c>
      <c r="AD102" s="33">
        <f t="shared" si="66"/>
        <v>0</v>
      </c>
      <c r="AE102" s="33"/>
      <c r="AF102" s="33">
        <f t="shared" si="67"/>
        <v>0</v>
      </c>
      <c r="AG102" s="33"/>
      <c r="AH102" s="33">
        <f t="shared" si="68"/>
        <v>0</v>
      </c>
      <c r="AI102" s="33"/>
      <c r="AJ102" s="33">
        <f t="shared" si="69"/>
        <v>0</v>
      </c>
      <c r="AK102" s="33">
        <f t="shared" si="70"/>
        <v>314428059.12861001</v>
      </c>
      <c r="AL102" s="30" t="str">
        <f t="shared" si="71"/>
        <v>ok</v>
      </c>
    </row>
    <row r="103" spans="1:38" x14ac:dyDescent="0.25">
      <c r="A103" s="29" t="s">
        <v>1561</v>
      </c>
      <c r="C103" s="29" t="s">
        <v>1266</v>
      </c>
      <c r="D103" s="164" t="s">
        <v>454</v>
      </c>
      <c r="E103" s="17"/>
      <c r="F103" s="33">
        <f>'Jurisdictional Study'!F791</f>
        <v>3955151.5958807445</v>
      </c>
      <c r="H103" s="33">
        <f t="shared" si="46"/>
        <v>0</v>
      </c>
      <c r="I103" s="33">
        <f t="shared" si="47"/>
        <v>0</v>
      </c>
      <c r="J103" s="33">
        <f t="shared" si="48"/>
        <v>0</v>
      </c>
      <c r="K103" s="33">
        <f t="shared" si="49"/>
        <v>0</v>
      </c>
      <c r="L103" s="33">
        <f t="shared" si="50"/>
        <v>0</v>
      </c>
      <c r="M103" s="33">
        <f t="shared" si="51"/>
        <v>0</v>
      </c>
      <c r="N103" s="33"/>
      <c r="O103" s="33">
        <f t="shared" si="52"/>
        <v>3955151.5958807445</v>
      </c>
      <c r="P103" s="33">
        <f t="shared" si="53"/>
        <v>0</v>
      </c>
      <c r="Q103" s="33">
        <f t="shared" si="54"/>
        <v>0</v>
      </c>
      <c r="R103" s="33"/>
      <c r="S103" s="33">
        <f t="shared" si="55"/>
        <v>0</v>
      </c>
      <c r="T103" s="33">
        <f t="shared" si="56"/>
        <v>0</v>
      </c>
      <c r="U103" s="33">
        <f t="shared" si="57"/>
        <v>0</v>
      </c>
      <c r="V103" s="33">
        <f t="shared" si="58"/>
        <v>0</v>
      </c>
      <c r="W103" s="33">
        <f t="shared" si="59"/>
        <v>0</v>
      </c>
      <c r="X103" s="33">
        <f t="shared" si="60"/>
        <v>0</v>
      </c>
      <c r="Y103" s="33">
        <f t="shared" si="61"/>
        <v>0</v>
      </c>
      <c r="Z103" s="33">
        <f t="shared" si="62"/>
        <v>0</v>
      </c>
      <c r="AA103" s="33">
        <f t="shared" si="63"/>
        <v>0</v>
      </c>
      <c r="AB103" s="33">
        <f t="shared" si="64"/>
        <v>0</v>
      </c>
      <c r="AC103" s="33">
        <f t="shared" si="65"/>
        <v>0</v>
      </c>
      <c r="AD103" s="33">
        <f t="shared" si="66"/>
        <v>0</v>
      </c>
      <c r="AE103" s="33"/>
      <c r="AF103" s="33">
        <f t="shared" si="67"/>
        <v>0</v>
      </c>
      <c r="AG103" s="33"/>
      <c r="AH103" s="33">
        <f t="shared" si="68"/>
        <v>0</v>
      </c>
      <c r="AI103" s="33"/>
      <c r="AJ103" s="33">
        <f t="shared" si="69"/>
        <v>0</v>
      </c>
      <c r="AK103" s="33">
        <f t="shared" si="70"/>
        <v>3955151.5958807445</v>
      </c>
      <c r="AL103" s="30" t="str">
        <f t="shared" si="71"/>
        <v>ok</v>
      </c>
    </row>
    <row r="104" spans="1:38" x14ac:dyDescent="0.25">
      <c r="A104" s="29" t="s">
        <v>2189</v>
      </c>
      <c r="C104" s="29" t="s">
        <v>2190</v>
      </c>
      <c r="D104" s="164" t="s">
        <v>454</v>
      </c>
      <c r="E104" s="17"/>
      <c r="F104" s="33">
        <f>'Jurisdictional Study'!F792+'Jurisdictional Study'!F793</f>
        <v>1696414.7323631253</v>
      </c>
      <c r="H104" s="33">
        <f t="shared" si="46"/>
        <v>0</v>
      </c>
      <c r="I104" s="33">
        <f t="shared" si="47"/>
        <v>0</v>
      </c>
      <c r="J104" s="33">
        <f t="shared" si="48"/>
        <v>0</v>
      </c>
      <c r="K104" s="33">
        <f t="shared" si="49"/>
        <v>0</v>
      </c>
      <c r="L104" s="33">
        <f t="shared" si="50"/>
        <v>0</v>
      </c>
      <c r="M104" s="33">
        <f t="shared" si="51"/>
        <v>0</v>
      </c>
      <c r="N104" s="33"/>
      <c r="O104" s="33">
        <f t="shared" si="52"/>
        <v>1696414.7323631253</v>
      </c>
      <c r="P104" s="33">
        <f t="shared" si="53"/>
        <v>0</v>
      </c>
      <c r="Q104" s="33">
        <f t="shared" si="54"/>
        <v>0</v>
      </c>
      <c r="R104" s="33"/>
      <c r="S104" s="33">
        <f t="shared" si="55"/>
        <v>0</v>
      </c>
      <c r="T104" s="33">
        <f t="shared" si="56"/>
        <v>0</v>
      </c>
      <c r="U104" s="33">
        <f t="shared" si="57"/>
        <v>0</v>
      </c>
      <c r="V104" s="33">
        <f t="shared" si="58"/>
        <v>0</v>
      </c>
      <c r="W104" s="33">
        <f t="shared" si="59"/>
        <v>0</v>
      </c>
      <c r="X104" s="33">
        <f t="shared" si="60"/>
        <v>0</v>
      </c>
      <c r="Y104" s="33">
        <f t="shared" si="61"/>
        <v>0</v>
      </c>
      <c r="Z104" s="33">
        <f t="shared" si="62"/>
        <v>0</v>
      </c>
      <c r="AA104" s="33">
        <f t="shared" si="63"/>
        <v>0</v>
      </c>
      <c r="AB104" s="33">
        <f t="shared" si="64"/>
        <v>0</v>
      </c>
      <c r="AC104" s="33">
        <f t="shared" si="65"/>
        <v>0</v>
      </c>
      <c r="AD104" s="33">
        <f t="shared" si="66"/>
        <v>0</v>
      </c>
      <c r="AE104" s="33"/>
      <c r="AF104" s="33">
        <f t="shared" si="67"/>
        <v>0</v>
      </c>
      <c r="AG104" s="33"/>
      <c r="AH104" s="33">
        <f t="shared" si="68"/>
        <v>0</v>
      </c>
      <c r="AI104" s="33"/>
      <c r="AJ104" s="33">
        <f t="shared" si="69"/>
        <v>0</v>
      </c>
      <c r="AK104" s="33">
        <f t="shared" ref="AK104" si="72">SUM(H104:AJ104)</f>
        <v>1696414.7323631253</v>
      </c>
      <c r="AL104" s="30" t="str">
        <f t="shared" ref="AL104" si="73">IF(ABS(AK104-F104)&lt;1,"ok","err")</f>
        <v>ok</v>
      </c>
    </row>
    <row r="105" spans="1:38" x14ac:dyDescent="0.25">
      <c r="A105" s="29" t="s">
        <v>1563</v>
      </c>
      <c r="C105" s="29" t="s">
        <v>1267</v>
      </c>
      <c r="D105" s="164" t="s">
        <v>109</v>
      </c>
      <c r="E105" s="17"/>
      <c r="F105" s="33">
        <f>'Jurisdictional Study'!F798-550810.46</f>
        <v>678424689.00411701</v>
      </c>
      <c r="H105" s="33">
        <f t="shared" si="46"/>
        <v>0</v>
      </c>
      <c r="I105" s="33">
        <f t="shared" si="47"/>
        <v>0</v>
      </c>
      <c r="J105" s="33">
        <f t="shared" si="48"/>
        <v>0</v>
      </c>
      <c r="K105" s="33">
        <f t="shared" si="49"/>
        <v>0</v>
      </c>
      <c r="L105" s="33">
        <f t="shared" si="50"/>
        <v>0</v>
      </c>
      <c r="M105" s="33">
        <f t="shared" si="51"/>
        <v>0</v>
      </c>
      <c r="N105" s="33"/>
      <c r="O105" s="33">
        <f t="shared" si="52"/>
        <v>0</v>
      </c>
      <c r="P105" s="33">
        <f t="shared" si="53"/>
        <v>0</v>
      </c>
      <c r="Q105" s="33">
        <f t="shared" si="54"/>
        <v>0</v>
      </c>
      <c r="R105" s="33"/>
      <c r="S105" s="33">
        <f t="shared" si="55"/>
        <v>0</v>
      </c>
      <c r="T105" s="33">
        <f t="shared" si="56"/>
        <v>98683666.953110844</v>
      </c>
      <c r="U105" s="33">
        <f t="shared" si="57"/>
        <v>0</v>
      </c>
      <c r="V105" s="33">
        <f t="shared" si="58"/>
        <v>80736416.922356427</v>
      </c>
      <c r="W105" s="33">
        <f t="shared" si="59"/>
        <v>151926632.68560013</v>
      </c>
      <c r="X105" s="33">
        <f t="shared" si="60"/>
        <v>43978440.156066567</v>
      </c>
      <c r="Y105" s="33">
        <f t="shared" si="61"/>
        <v>81469085.85046649</v>
      </c>
      <c r="Z105" s="33">
        <f t="shared" si="62"/>
        <v>59574025.572489314</v>
      </c>
      <c r="AA105" s="33">
        <f t="shared" si="63"/>
        <v>51665689.340516679</v>
      </c>
      <c r="AB105" s="33">
        <f t="shared" si="64"/>
        <v>38258337.510259025</v>
      </c>
      <c r="AC105" s="33">
        <f t="shared" si="65"/>
        <v>27336848.910758484</v>
      </c>
      <c r="AD105" s="33">
        <f t="shared" si="66"/>
        <v>44795545.102493048</v>
      </c>
      <c r="AE105" s="33"/>
      <c r="AF105" s="33">
        <f t="shared" si="67"/>
        <v>0</v>
      </c>
      <c r="AG105" s="33"/>
      <c r="AH105" s="33">
        <f t="shared" si="68"/>
        <v>0</v>
      </c>
      <c r="AI105" s="33"/>
      <c r="AJ105" s="33">
        <f t="shared" si="69"/>
        <v>0</v>
      </c>
      <c r="AK105" s="33">
        <f t="shared" si="70"/>
        <v>678424689.00411701</v>
      </c>
      <c r="AL105" s="30" t="str">
        <f t="shared" si="71"/>
        <v>ok</v>
      </c>
    </row>
    <row r="106" spans="1:38" x14ac:dyDescent="0.25">
      <c r="A106" s="39" t="s">
        <v>186</v>
      </c>
      <c r="C106" s="29" t="s">
        <v>1268</v>
      </c>
      <c r="D106" s="164" t="s">
        <v>456</v>
      </c>
      <c r="E106" s="17"/>
      <c r="F106" s="33">
        <f>'Jurisdictional Study'!F800-3605657.36</f>
        <v>71036433.954206213</v>
      </c>
      <c r="H106" s="33">
        <f t="shared" si="46"/>
        <v>42697621.810361028</v>
      </c>
      <c r="I106" s="33">
        <f t="shared" si="47"/>
        <v>0</v>
      </c>
      <c r="J106" s="33">
        <f t="shared" si="48"/>
        <v>0</v>
      </c>
      <c r="K106" s="33">
        <f t="shared" si="49"/>
        <v>0</v>
      </c>
      <c r="L106" s="33">
        <f t="shared" si="50"/>
        <v>0</v>
      </c>
      <c r="M106" s="33">
        <f t="shared" si="51"/>
        <v>0</v>
      </c>
      <c r="N106" s="33"/>
      <c r="O106" s="33">
        <f t="shared" si="52"/>
        <v>9890410.471051909</v>
      </c>
      <c r="P106" s="33">
        <f t="shared" si="53"/>
        <v>0</v>
      </c>
      <c r="Q106" s="33">
        <f t="shared" si="54"/>
        <v>0</v>
      </c>
      <c r="R106" s="33"/>
      <c r="S106" s="33">
        <f t="shared" si="55"/>
        <v>0</v>
      </c>
      <c r="T106" s="33">
        <f t="shared" si="56"/>
        <v>2683504.8252262184</v>
      </c>
      <c r="U106" s="33">
        <f t="shared" si="57"/>
        <v>0</v>
      </c>
      <c r="V106" s="33">
        <f t="shared" si="58"/>
        <v>2195465.2788243336</v>
      </c>
      <c r="W106" s="33">
        <f t="shared" si="59"/>
        <v>4131340.7221267358</v>
      </c>
      <c r="X106" s="33">
        <f t="shared" si="60"/>
        <v>1195905.6651269568</v>
      </c>
      <c r="Y106" s="33">
        <f t="shared" si="61"/>
        <v>2215388.7440195507</v>
      </c>
      <c r="Z106" s="33">
        <f t="shared" si="62"/>
        <v>1619996.398774738</v>
      </c>
      <c r="AA106" s="33">
        <f t="shared" si="63"/>
        <v>1404945.0220550881</v>
      </c>
      <c r="AB106" s="33">
        <f t="shared" si="64"/>
        <v>1040358.9214281513</v>
      </c>
      <c r="AC106" s="33">
        <f t="shared" si="65"/>
        <v>743370.89635467762</v>
      </c>
      <c r="AD106" s="33">
        <f t="shared" si="66"/>
        <v>1218125.1988568245</v>
      </c>
      <c r="AE106" s="33"/>
      <c r="AF106" s="33">
        <f t="shared" si="67"/>
        <v>0</v>
      </c>
      <c r="AG106" s="33"/>
      <c r="AH106" s="33">
        <f t="shared" si="68"/>
        <v>0</v>
      </c>
      <c r="AI106" s="33"/>
      <c r="AJ106" s="33">
        <f t="shared" si="69"/>
        <v>0</v>
      </c>
      <c r="AK106" s="33">
        <f t="shared" si="70"/>
        <v>71036433.954206213</v>
      </c>
      <c r="AL106" s="30" t="str">
        <f t="shared" si="71"/>
        <v>ok</v>
      </c>
    </row>
    <row r="107" spans="1:38" x14ac:dyDescent="0.25">
      <c r="A107" s="39" t="s">
        <v>1562</v>
      </c>
      <c r="C107" s="29" t="s">
        <v>187</v>
      </c>
      <c r="D107" s="164" t="s">
        <v>456</v>
      </c>
      <c r="E107" s="17"/>
      <c r="F107" s="33">
        <f>'Jurisdictional Study'!F802+'Jurisdictional Study'!F803</f>
        <v>37831706.61102099</v>
      </c>
      <c r="H107" s="33">
        <f t="shared" si="46"/>
        <v>22739372.057432264</v>
      </c>
      <c r="I107" s="33">
        <f t="shared" si="47"/>
        <v>0</v>
      </c>
      <c r="J107" s="33">
        <f t="shared" si="48"/>
        <v>0</v>
      </c>
      <c r="K107" s="33">
        <f t="shared" si="49"/>
        <v>0</v>
      </c>
      <c r="L107" s="33">
        <f t="shared" si="50"/>
        <v>0</v>
      </c>
      <c r="M107" s="33">
        <f t="shared" si="51"/>
        <v>0</v>
      </c>
      <c r="N107" s="33"/>
      <c r="O107" s="33">
        <f t="shared" si="52"/>
        <v>5267312.6503593344</v>
      </c>
      <c r="P107" s="33">
        <f t="shared" si="53"/>
        <v>0</v>
      </c>
      <c r="Q107" s="33">
        <f t="shared" si="54"/>
        <v>0</v>
      </c>
      <c r="R107" s="33"/>
      <c r="S107" s="33">
        <f t="shared" si="55"/>
        <v>0</v>
      </c>
      <c r="T107" s="33">
        <f t="shared" si="56"/>
        <v>1429147.8553479125</v>
      </c>
      <c r="U107" s="33">
        <f t="shared" si="57"/>
        <v>0</v>
      </c>
      <c r="V107" s="33">
        <f t="shared" si="58"/>
        <v>1169233.7815931081</v>
      </c>
      <c r="W107" s="33">
        <f t="shared" si="59"/>
        <v>2200218.414826659</v>
      </c>
      <c r="X107" s="33">
        <f t="shared" si="60"/>
        <v>636900.66827829555</v>
      </c>
      <c r="Y107" s="33">
        <f t="shared" si="61"/>
        <v>1179844.3746083237</v>
      </c>
      <c r="Z107" s="33">
        <f t="shared" si="62"/>
        <v>862757.67318029213</v>
      </c>
      <c r="AA107" s="33">
        <f t="shared" si="63"/>
        <v>748228.26710680209</v>
      </c>
      <c r="AB107" s="33">
        <f t="shared" si="64"/>
        <v>554061.50470617134</v>
      </c>
      <c r="AC107" s="33">
        <f t="shared" si="65"/>
        <v>395895.29046730301</v>
      </c>
      <c r="AD107" s="33">
        <f t="shared" si="66"/>
        <v>648734.07311452285</v>
      </c>
      <c r="AE107" s="33"/>
      <c r="AF107" s="33">
        <f t="shared" si="67"/>
        <v>0</v>
      </c>
      <c r="AG107" s="33"/>
      <c r="AH107" s="33">
        <f t="shared" si="68"/>
        <v>0</v>
      </c>
      <c r="AI107" s="33"/>
      <c r="AJ107" s="33">
        <f t="shared" si="69"/>
        <v>0</v>
      </c>
      <c r="AK107" s="33">
        <f t="shared" si="70"/>
        <v>37831706.611020982</v>
      </c>
      <c r="AL107" s="30" t="str">
        <f t="shared" si="71"/>
        <v>ok</v>
      </c>
    </row>
    <row r="108" spans="1:38" x14ac:dyDescent="0.25">
      <c r="D108" s="164"/>
      <c r="E108" s="17"/>
      <c r="Y108" s="29"/>
      <c r="AK108" s="33"/>
      <c r="AL108" s="30"/>
    </row>
    <row r="109" spans="1:38" x14ac:dyDescent="0.25">
      <c r="A109" s="29" t="s">
        <v>188</v>
      </c>
      <c r="C109" s="29" t="s">
        <v>189</v>
      </c>
      <c r="D109" s="164"/>
      <c r="E109" s="17"/>
      <c r="F109" s="34">
        <f>SUM(F99:F107)</f>
        <v>2974075465.3557553</v>
      </c>
      <c r="G109" s="34"/>
      <c r="H109" s="34">
        <f t="shared" ref="H109:M109" si="74">SUM(H99:H107)</f>
        <v>1932140004.1973505</v>
      </c>
      <c r="I109" s="34">
        <f t="shared" si="74"/>
        <v>0</v>
      </c>
      <c r="J109" s="34">
        <f t="shared" si="74"/>
        <v>0</v>
      </c>
      <c r="K109" s="34">
        <f t="shared" si="74"/>
        <v>0</v>
      </c>
      <c r="L109" s="34">
        <f t="shared" si="74"/>
        <v>0</v>
      </c>
      <c r="M109" s="34">
        <f t="shared" si="74"/>
        <v>0</v>
      </c>
      <c r="N109" s="34"/>
      <c r="O109" s="34">
        <f>SUM(O99:O107)</f>
        <v>335237348.57826513</v>
      </c>
      <c r="P109" s="34">
        <f>SUM(P99:P107)</f>
        <v>0</v>
      </c>
      <c r="Q109" s="34">
        <f>SUM(Q99:Q107)</f>
        <v>0</v>
      </c>
      <c r="R109" s="34"/>
      <c r="S109" s="34">
        <f t="shared" ref="S109:AD109" si="75">SUM(S99:S107)</f>
        <v>0</v>
      </c>
      <c r="T109" s="34">
        <f t="shared" si="75"/>
        <v>102796319.63368498</v>
      </c>
      <c r="U109" s="34">
        <f t="shared" si="75"/>
        <v>0</v>
      </c>
      <c r="V109" s="34">
        <f t="shared" si="75"/>
        <v>84101115.98277387</v>
      </c>
      <c r="W109" s="34">
        <f t="shared" si="75"/>
        <v>158258191.82255352</v>
      </c>
      <c r="X109" s="34">
        <f t="shared" si="75"/>
        <v>45811246.489471823</v>
      </c>
      <c r="Y109" s="34">
        <f t="shared" si="75"/>
        <v>84864318.969094366</v>
      </c>
      <c r="Z109" s="34">
        <f t="shared" si="75"/>
        <v>62056779.644444339</v>
      </c>
      <c r="AA109" s="34">
        <f t="shared" si="75"/>
        <v>53818862.62967857</v>
      </c>
      <c r="AB109" s="34">
        <f t="shared" si="75"/>
        <v>39852757.93639335</v>
      </c>
      <c r="AC109" s="34">
        <f t="shared" si="75"/>
        <v>28476115.097580466</v>
      </c>
      <c r="AD109" s="34">
        <f t="shared" si="75"/>
        <v>46662404.374464393</v>
      </c>
      <c r="AE109" s="34"/>
      <c r="AF109" s="34">
        <f>SUM(AF99:AF107)</f>
        <v>0</v>
      </c>
      <c r="AG109" s="34"/>
      <c r="AH109" s="34">
        <f>SUM(AH99:AH107)</f>
        <v>0</v>
      </c>
      <c r="AI109" s="34"/>
      <c r="AJ109" s="34">
        <f>SUM(AJ99:AJ107)</f>
        <v>0</v>
      </c>
      <c r="AK109" s="33">
        <f>SUM(H109:AJ109)</f>
        <v>2974075465.3557558</v>
      </c>
      <c r="AL109" s="30" t="str">
        <f>IF(ABS(AK109-F109)&lt;1,"ok","err")</f>
        <v>ok</v>
      </c>
    </row>
    <row r="110" spans="1:38" x14ac:dyDescent="0.25">
      <c r="D110" s="164"/>
      <c r="E110" s="17"/>
      <c r="F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3"/>
      <c r="AL110" s="30"/>
    </row>
    <row r="111" spans="1:38" x14ac:dyDescent="0.25">
      <c r="A111" s="3" t="s">
        <v>190</v>
      </c>
      <c r="C111" s="29" t="s">
        <v>191</v>
      </c>
      <c r="D111" s="164"/>
      <c r="E111" s="17"/>
      <c r="F111" s="34">
        <f>F96-F109</f>
        <v>4881078867.4383965</v>
      </c>
      <c r="G111" s="34"/>
      <c r="H111" s="34">
        <f t="shared" ref="H111:M111" si="76">H96-H109</f>
        <v>2753659906.0233479</v>
      </c>
      <c r="I111" s="34">
        <f t="shared" si="76"/>
        <v>0</v>
      </c>
      <c r="J111" s="34">
        <f t="shared" si="76"/>
        <v>0</v>
      </c>
      <c r="K111" s="34">
        <f t="shared" si="76"/>
        <v>0</v>
      </c>
      <c r="L111" s="34">
        <f t="shared" si="76"/>
        <v>0</v>
      </c>
      <c r="M111" s="34">
        <f t="shared" si="76"/>
        <v>0</v>
      </c>
      <c r="N111" s="34"/>
      <c r="O111" s="34">
        <f>O96-O109</f>
        <v>801341279.68185115</v>
      </c>
      <c r="P111" s="34">
        <f>P96-P109</f>
        <v>0</v>
      </c>
      <c r="Q111" s="34">
        <f>Q96-Q109</f>
        <v>0</v>
      </c>
      <c r="R111" s="34"/>
      <c r="S111" s="34">
        <f t="shared" ref="S111:AD111" si="77">S96-S109</f>
        <v>0</v>
      </c>
      <c r="T111" s="34">
        <f t="shared" si="77"/>
        <v>192891282.4357987</v>
      </c>
      <c r="U111" s="34">
        <f t="shared" si="77"/>
        <v>0</v>
      </c>
      <c r="V111" s="34">
        <f t="shared" si="77"/>
        <v>157810826.04909959</v>
      </c>
      <c r="W111" s="34">
        <f t="shared" si="77"/>
        <v>296962242.28070343</v>
      </c>
      <c r="X111" s="34">
        <f t="shared" si="77"/>
        <v>85962125.072433695</v>
      </c>
      <c r="Y111" s="34">
        <f t="shared" si="77"/>
        <v>159242931.82209611</v>
      </c>
      <c r="Z111" s="34">
        <f t="shared" si="77"/>
        <v>116445918.02613682</v>
      </c>
      <c r="AA111" s="34">
        <f t="shared" si="77"/>
        <v>100987948.48753521</v>
      </c>
      <c r="AB111" s="34">
        <f t="shared" si="77"/>
        <v>74781369.745024964</v>
      </c>
      <c r="AC111" s="34">
        <f t="shared" si="77"/>
        <v>53433764.74503462</v>
      </c>
      <c r="AD111" s="34">
        <f t="shared" si="77"/>
        <v>87559273.069333047</v>
      </c>
      <c r="AE111" s="34"/>
      <c r="AF111" s="34">
        <f>AF96-AF109</f>
        <v>0</v>
      </c>
      <c r="AG111" s="34"/>
      <c r="AH111" s="34">
        <f>AH96-AH109</f>
        <v>0</v>
      </c>
      <c r="AI111" s="34"/>
      <c r="AJ111" s="34">
        <f>AJ96-AJ109</f>
        <v>0</v>
      </c>
      <c r="AK111" s="33">
        <f>SUM(H111:AJ111)</f>
        <v>4881078867.4383945</v>
      </c>
      <c r="AL111" s="30" t="str">
        <f>IF(ABS(AK111-F111)&lt;1,"ok","err")</f>
        <v>ok</v>
      </c>
    </row>
    <row r="112" spans="1:38" x14ac:dyDescent="0.25">
      <c r="D112" s="164"/>
      <c r="E112" s="17"/>
      <c r="Y112" s="29"/>
      <c r="AL112" s="30"/>
    </row>
    <row r="113" spans="1:39" x14ac:dyDescent="0.25">
      <c r="A113" s="3" t="s">
        <v>743</v>
      </c>
      <c r="D113" s="14"/>
      <c r="E113" s="14"/>
      <c r="Y113" s="29"/>
      <c r="AL113" s="30"/>
    </row>
    <row r="114" spans="1:39" x14ac:dyDescent="0.25">
      <c r="A114" s="29" t="s">
        <v>1261</v>
      </c>
      <c r="C114" s="29" t="s">
        <v>745</v>
      </c>
      <c r="D114" s="14" t="s">
        <v>746</v>
      </c>
      <c r="E114" s="14"/>
      <c r="F114" s="32">
        <f>'Jurisdictional Study'!F555-2498511</f>
        <v>94636137.882647425</v>
      </c>
      <c r="G114" s="32"/>
      <c r="H114" s="33">
        <f>IF(VLOOKUP($D114,$C$5:$AJ$596,6,)=0,0,((VLOOKUP($D114,$C$5:$AJ$596,6,)/VLOOKUP($D114,$C$5:$AJ$596,4,))*$F114))</f>
        <v>11805176.752865702</v>
      </c>
      <c r="I114" s="33">
        <f>IF(VLOOKUP($D114,$C$5:$AJ$596,7,)=0,0,((VLOOKUP($D114,$C$5:$AJ$596,7,)/VLOOKUP($D114,$C$5:$AJ$596,4,))*$F114))</f>
        <v>0</v>
      </c>
      <c r="J114" s="33">
        <f>IF(VLOOKUP($D114,$C$5:$AJ$596,8,)=0,0,((VLOOKUP($D114,$C$5:$AJ$596,8,)/VLOOKUP($D114,$C$5:$AJ$596,4,))*$F114))</f>
        <v>0</v>
      </c>
      <c r="K114" s="33">
        <f>IF(VLOOKUP($D114,$C$5:$AJ$596,9,)=0,0,((VLOOKUP($D114,$C$5:$AJ$596,9,)/VLOOKUP($D114,$C$5:$AJ$596,4,))*$F114))</f>
        <v>60528491.942099355</v>
      </c>
      <c r="L114" s="33">
        <f>IF(VLOOKUP($D114,$C$5:$AJ$596,10,)=0,0,((VLOOKUP($D114,$C$5:$AJ$596,10,)/VLOOKUP($D114,$C$5:$AJ$596,4,))*$F114))</f>
        <v>0</v>
      </c>
      <c r="M114" s="33">
        <f>IF(VLOOKUP($D114,$C$5:$AJ$596,11,)=0,0,((VLOOKUP($D114,$C$5:$AJ$596,11,)/VLOOKUP($D114,$C$5:$AJ$596,4,))*$F114))</f>
        <v>0</v>
      </c>
      <c r="N114" s="33"/>
      <c r="O114" s="33">
        <f>IF(VLOOKUP($D114,$C$5:$AJ$596,13,)=0,0,((VLOOKUP($D114,$C$5:$AJ$596,13,)/VLOOKUP($D114,$C$5:$AJ$596,4,))*$F114))</f>
        <v>6161591.0221111467</v>
      </c>
      <c r="P114" s="33">
        <f>IF(VLOOKUP($D114,$C$5:$AJ$596,14,)=0,0,((VLOOKUP($D114,$C$5:$AJ$596,14,)/VLOOKUP($D114,$C$5:$AJ$596,4,))*$F114))</f>
        <v>0</v>
      </c>
      <c r="Q114" s="33">
        <f>IF(VLOOKUP($D114,$C$5:$AJ$596,15,)=0,0,((VLOOKUP($D114,$C$5:$AJ$596,15,)/VLOOKUP($D114,$C$5:$AJ$596,4,))*$F114))</f>
        <v>0</v>
      </c>
      <c r="R114" s="33"/>
      <c r="S114" s="33">
        <f>IF(VLOOKUP($D114,$C$5:$AJ$596,17,)=0,0,((VLOOKUP($D114,$C$5:$AJ$596,17,)/VLOOKUP($D114,$C$5:$AJ$596,4,))*$F114))</f>
        <v>0</v>
      </c>
      <c r="T114" s="33">
        <f>IF(VLOOKUP($D114,$C$5:$AJ$596,18,)=0,0,((VLOOKUP($D114,$C$5:$AJ$596,18,)/VLOOKUP($D114,$C$5:$AJ$596,4,))*$F114))</f>
        <v>954599.04978719959</v>
      </c>
      <c r="U114" s="33">
        <f>IF(VLOOKUP($D114,$C$5:$AJ$596,19,)=0,0,((VLOOKUP($D114,$C$5:$AJ$596,19,)/VLOOKUP($D114,$C$5:$AJ$596,4,))*$F114))</f>
        <v>0</v>
      </c>
      <c r="V114" s="33">
        <f>IF(VLOOKUP($D114,$C$5:$AJ$596,20,)=0,0,((VLOOKUP($D114,$C$5:$AJ$596,20,)/VLOOKUP($D114,$C$5:$AJ$596,4,))*$F114))</f>
        <v>1458119.3689103697</v>
      </c>
      <c r="W114" s="33">
        <f>IF(VLOOKUP($D114,$C$5:$AJ$596,21,)=0,0,((VLOOKUP($D114,$C$5:$AJ$596,21,)/VLOOKUP($D114,$C$5:$AJ$596,4,))*$F114))</f>
        <v>2485656.3516703225</v>
      </c>
      <c r="X114" s="33">
        <f>IF(VLOOKUP($D114,$C$5:$AJ$596,22,)=0,0,((VLOOKUP($D114,$C$5:$AJ$596,22,)/VLOOKUP($D114,$C$5:$AJ$596,4,))*$F114))</f>
        <v>803598.06154773687</v>
      </c>
      <c r="Y114" s="33">
        <f>IF(VLOOKUP($D114,$C$5:$AJ$596,23,)=0,0,((VLOOKUP($D114,$C$5:$AJ$596,23,)/VLOOKUP($D114,$C$5:$AJ$596,4,))*$F114))</f>
        <v>1361012.5835456974</v>
      </c>
      <c r="Z114" s="33">
        <f>IF(VLOOKUP($D114,$C$5:$AJ$596,24,)=0,0,((VLOOKUP($D114,$C$5:$AJ$596,24,)/VLOOKUP($D114,$C$5:$AJ$596,4,))*$F114))</f>
        <v>318634.12194598932</v>
      </c>
      <c r="AA114" s="33">
        <f>IF(VLOOKUP($D114,$C$5:$AJ$596,25,)=0,0,((VLOOKUP($D114,$C$5:$AJ$596,25,)/VLOOKUP($D114,$C$5:$AJ$596,4,))*$F114))</f>
        <v>276336.06088476232</v>
      </c>
      <c r="AB114" s="33">
        <f>IF(VLOOKUP($D114,$C$5:$AJ$596,26,)=0,0,((VLOOKUP($D114,$C$5:$AJ$596,26,)/VLOOKUP($D114,$C$5:$AJ$596,4,))*$F114))</f>
        <v>200342.70284195821</v>
      </c>
      <c r="AC114" s="33">
        <f>IF(VLOOKUP($D114,$C$5:$AJ$596,27,)=0,0,((VLOOKUP($D114,$C$5:$AJ$596,27,)/VLOOKUP($D114,$C$5:$AJ$596,4,))*$F114))</f>
        <v>1213279.2833120085</v>
      </c>
      <c r="AD114" s="33">
        <f>IF(VLOOKUP($D114,$C$5:$AJ$596,28,)=0,0,((VLOOKUP($D114,$C$5:$AJ$596,28,)/VLOOKUP($D114,$C$5:$AJ$596,4,))*$F114))</f>
        <v>234575.28907798955</v>
      </c>
      <c r="AE114" s="33"/>
      <c r="AF114" s="33">
        <f>IF(VLOOKUP($D114,$C$5:$AJ$596,30,)=0,0,((VLOOKUP($D114,$C$5:$AJ$596,30,)/VLOOKUP($D114,$C$5:$AJ$596,4,))*$F114))</f>
        <v>6133963.9691142943</v>
      </c>
      <c r="AG114" s="33"/>
      <c r="AH114" s="33">
        <f>IF(VLOOKUP($D114,$C$5:$AJ$596,32,)=0,0,((VLOOKUP($D114,$C$5:$AJ$596,32,)/VLOOKUP($D114,$C$5:$AJ$596,4,))*$F114))</f>
        <v>700761.32293291285</v>
      </c>
      <c r="AI114" s="33"/>
      <c r="AJ114" s="33">
        <f>IF(VLOOKUP($D114,$C$5:$AJ$596,34,)=0,0,((VLOOKUP($D114,$C$5:$AJ$596,34,)/VLOOKUP($D114,$C$5:$AJ$596,4,))*$F114))</f>
        <v>0</v>
      </c>
      <c r="AK114" s="33">
        <f>SUM(H114:AJ114)</f>
        <v>94636137.88264744</v>
      </c>
      <c r="AL114" s="30" t="str">
        <f>IF(ABS(AK114-F114)&lt;1,"ok","err")</f>
        <v>ok</v>
      </c>
      <c r="AM114" s="41">
        <f>+AK114-F114</f>
        <v>0</v>
      </c>
    </row>
    <row r="115" spans="1:39" x14ac:dyDescent="0.25">
      <c r="A115" s="29" t="s">
        <v>180</v>
      </c>
      <c r="C115" s="29" t="s">
        <v>460</v>
      </c>
      <c r="D115" s="14" t="s">
        <v>176</v>
      </c>
      <c r="E115" s="14"/>
      <c r="F115" s="33">
        <f>'Jurisdictional Study'!F845</f>
        <v>56084636.798406467</v>
      </c>
      <c r="G115" s="33"/>
      <c r="H115" s="33">
        <f>IF(VLOOKUP($D115,$C$5:$AJ$596,6,)=0,0,((VLOOKUP($D115,$C$5:$AJ$596,6,)/VLOOKUP($D115,$C$5:$AJ$596,4,))*$F115))</f>
        <v>33706428.508179441</v>
      </c>
      <c r="I115" s="33">
        <f>IF(VLOOKUP($D115,$C$5:$AJ$596,7,)=0,0,((VLOOKUP($D115,$C$5:$AJ$596,7,)/VLOOKUP($D115,$C$5:$AJ$596,4,))*$F115))</f>
        <v>0</v>
      </c>
      <c r="J115" s="33">
        <f>IF(VLOOKUP($D115,$C$5:$AJ$596,8,)=0,0,((VLOOKUP($D115,$C$5:$AJ$596,8,)/VLOOKUP($D115,$C$5:$AJ$596,4,))*$F115))</f>
        <v>0</v>
      </c>
      <c r="K115" s="33">
        <f>IF(VLOOKUP($D115,$C$5:$AJ$596,9,)=0,0,((VLOOKUP($D115,$C$5:$AJ$596,9,)/VLOOKUP($D115,$C$5:$AJ$596,4,))*$F115))</f>
        <v>0</v>
      </c>
      <c r="L115" s="33">
        <f>IF(VLOOKUP($D115,$C$5:$AJ$596,10,)=0,0,((VLOOKUP($D115,$C$5:$AJ$596,10,)/VLOOKUP($D115,$C$5:$AJ$596,4,))*$F115))</f>
        <v>0</v>
      </c>
      <c r="M115" s="33">
        <f>IF(VLOOKUP($D115,$C$5:$AJ$596,11,)=0,0,((VLOOKUP($D115,$C$5:$AJ$596,11,)/VLOOKUP($D115,$C$5:$AJ$596,4,))*$F115))</f>
        <v>0</v>
      </c>
      <c r="N115" s="33"/>
      <c r="O115" s="33">
        <f>IF(VLOOKUP($D115,$C$5:$AJ$596,13,)=0,0,((VLOOKUP($D115,$C$5:$AJ$596,13,)/VLOOKUP($D115,$C$5:$AJ$596,4,))*$F115))</f>
        <v>7807216.230268063</v>
      </c>
      <c r="P115" s="33">
        <f>IF(VLOOKUP($D115,$C$5:$AJ$596,14,)=0,0,((VLOOKUP($D115,$C$5:$AJ$596,14,)/VLOOKUP($D115,$C$5:$AJ$596,4,))*$F115))</f>
        <v>0</v>
      </c>
      <c r="Q115" s="33">
        <f>IF(VLOOKUP($D115,$C$5:$AJ$596,15,)=0,0,((VLOOKUP($D115,$C$5:$AJ$596,15,)/VLOOKUP($D115,$C$5:$AJ$596,4,))*$F115))</f>
        <v>0</v>
      </c>
      <c r="R115" s="33"/>
      <c r="S115" s="33">
        <f>IF(VLOOKUP($D115,$C$5:$AJ$596,17,)=0,0,((VLOOKUP($D115,$C$5:$AJ$596,17,)/VLOOKUP($D115,$C$5:$AJ$596,4,))*$F115))</f>
        <v>0</v>
      </c>
      <c r="T115" s="33">
        <f>IF(VLOOKUP($D115,$C$5:$AJ$596,18,)=0,0,((VLOOKUP($D115,$C$5:$AJ$596,18,)/VLOOKUP($D115,$C$5:$AJ$596,4,))*$F115))</f>
        <v>2119496.7561280588</v>
      </c>
      <c r="U115" s="33">
        <f>IF(VLOOKUP($D115,$C$5:$AJ$596,19,)=0,0,((VLOOKUP($D115,$C$5:$AJ$596,19,)/VLOOKUP($D115,$C$5:$AJ$596,4,))*$F115))</f>
        <v>0</v>
      </c>
      <c r="V115" s="33">
        <f>IF(VLOOKUP($D115,$C$5:$AJ$596,20,)=0,0,((VLOOKUP($D115,$C$5:$AJ$596,20,)/VLOOKUP($D115,$C$5:$AJ$596,4,))*$F115))</f>
        <v>1734031.3655920816</v>
      </c>
      <c r="W115" s="33">
        <f>IF(VLOOKUP($D115,$C$5:$AJ$596,21,)=0,0,((VLOOKUP($D115,$C$5:$AJ$596,21,)/VLOOKUP($D115,$C$5:$AJ$596,4,))*$F115))</f>
        <v>3263032.4256149647</v>
      </c>
      <c r="X115" s="33">
        <f>IF(VLOOKUP($D115,$C$5:$AJ$596,22,)=0,0,((VLOOKUP($D115,$C$5:$AJ$596,22,)/VLOOKUP($D115,$C$5:$AJ$596,4,))*$F115))</f>
        <v>944555.10347669222</v>
      </c>
      <c r="Y115" s="33">
        <f>IF(VLOOKUP($D115,$C$5:$AJ$596,23,)=0,0,((VLOOKUP($D115,$C$5:$AJ$596,23,)/VLOOKUP($D115,$C$5:$AJ$596,4,))*$F115))</f>
        <v>1749767.3983560747</v>
      </c>
      <c r="Z115" s="33">
        <f>IF(VLOOKUP($D115,$C$5:$AJ$596,24,)=0,0,((VLOOKUP($D115,$C$5:$AJ$596,24,)/VLOOKUP($D115,$C$5:$AJ$596,4,))*$F115))</f>
        <v>1279512.1811837046</v>
      </c>
      <c r="AA115" s="33">
        <f>IF(VLOOKUP($D115,$C$5:$AJ$596,25,)=0,0,((VLOOKUP($D115,$C$5:$AJ$596,25,)/VLOOKUP($D115,$C$5:$AJ$596,4,))*$F115))</f>
        <v>1109659.4233002726</v>
      </c>
      <c r="AB115" s="33">
        <f>IF(VLOOKUP($D115,$C$5:$AJ$596,26,)=0,0,((VLOOKUP($D115,$C$5:$AJ$596,26,)/VLOOKUP($D115,$C$5:$AJ$596,4,))*$F115))</f>
        <v>821700.53820938035</v>
      </c>
      <c r="AC115" s="33">
        <f>IF(VLOOKUP($D115,$C$5:$AJ$596,27,)=0,0,((VLOOKUP($D115,$C$5:$AJ$596,27,)/VLOOKUP($D115,$C$5:$AJ$596,4,))*$F115))</f>
        <v>587132.24161649379</v>
      </c>
      <c r="AD115" s="33">
        <f>IF(VLOOKUP($D115,$C$5:$AJ$596,28,)=0,0,((VLOOKUP($D115,$C$5:$AJ$596,28,)/VLOOKUP($D115,$C$5:$AJ$596,4,))*$F115))</f>
        <v>962104.62648124387</v>
      </c>
      <c r="AE115" s="33"/>
      <c r="AF115" s="33">
        <f>IF(VLOOKUP($D115,$C$5:$AJ$596,30,)=0,0,((VLOOKUP($D115,$C$5:$AJ$596,30,)/VLOOKUP($D115,$C$5:$AJ$596,4,))*$F115))</f>
        <v>0</v>
      </c>
      <c r="AG115" s="33"/>
      <c r="AH115" s="33">
        <f>IF(VLOOKUP($D115,$C$5:$AJ$596,32,)=0,0,((VLOOKUP($D115,$C$5:$AJ$596,32,)/VLOOKUP($D115,$C$5:$AJ$596,4,))*$F115))</f>
        <v>0</v>
      </c>
      <c r="AI115" s="33"/>
      <c r="AJ115" s="33">
        <f>IF(VLOOKUP($D115,$C$5:$AJ$596,34,)=0,0,((VLOOKUP($D115,$C$5:$AJ$596,34,)/VLOOKUP($D115,$C$5:$AJ$596,4,))*$F115))</f>
        <v>0</v>
      </c>
      <c r="AK115" s="33">
        <f>SUM(H115:AJ115)</f>
        <v>56084636.798406474</v>
      </c>
      <c r="AL115" s="30" t="str">
        <f>IF(ABS(AK115-F115)&lt;1,"ok","err")</f>
        <v>ok</v>
      </c>
    </row>
    <row r="116" spans="1:39" x14ac:dyDescent="0.25">
      <c r="A116" s="29" t="s">
        <v>747</v>
      </c>
      <c r="C116" s="29" t="s">
        <v>748</v>
      </c>
      <c r="D116" s="14" t="s">
        <v>176</v>
      </c>
      <c r="E116" s="14"/>
      <c r="F116" s="33">
        <f>'Jurisdictional Study'!F849</f>
        <v>15605033.931140801</v>
      </c>
      <c r="H116" s="33">
        <f>IF(VLOOKUP($D116,$C$5:$AJ$596,6,)=0,0,((VLOOKUP($D116,$C$5:$AJ$596,6,)/VLOOKUP($D116,$C$5:$AJ$596,4,))*$F116))</f>
        <v>9378503.4653671272</v>
      </c>
      <c r="I116" s="33">
        <f>IF(VLOOKUP($D116,$C$5:$AJ$596,7,)=0,0,((VLOOKUP($D116,$C$5:$AJ$596,7,)/VLOOKUP($D116,$C$5:$AJ$596,4,))*$F116))</f>
        <v>0</v>
      </c>
      <c r="J116" s="33">
        <f>IF(VLOOKUP($D116,$C$5:$AJ$596,8,)=0,0,((VLOOKUP($D116,$C$5:$AJ$596,8,)/VLOOKUP($D116,$C$5:$AJ$596,4,))*$F116))</f>
        <v>0</v>
      </c>
      <c r="K116" s="33">
        <f>IF(VLOOKUP($D116,$C$5:$AJ$596,9,)=0,0,((VLOOKUP($D116,$C$5:$AJ$596,9,)/VLOOKUP($D116,$C$5:$AJ$596,4,))*$F116))</f>
        <v>0</v>
      </c>
      <c r="L116" s="33">
        <f>IF(VLOOKUP($D116,$C$5:$AJ$596,10,)=0,0,((VLOOKUP($D116,$C$5:$AJ$596,10,)/VLOOKUP($D116,$C$5:$AJ$596,4,))*$F116))</f>
        <v>0</v>
      </c>
      <c r="M116" s="33">
        <f>IF(VLOOKUP($D116,$C$5:$AJ$596,11,)=0,0,((VLOOKUP($D116,$C$5:$AJ$596,11,)/VLOOKUP($D116,$C$5:$AJ$596,4,))*$F116))</f>
        <v>0</v>
      </c>
      <c r="N116" s="33"/>
      <c r="O116" s="33">
        <f>IF(VLOOKUP($D116,$C$5:$AJ$596,13,)=0,0,((VLOOKUP($D116,$C$5:$AJ$596,13,)/VLOOKUP($D116,$C$5:$AJ$596,4,))*$F116))</f>
        <v>2172286.0507950708</v>
      </c>
      <c r="P116" s="33">
        <f>IF(VLOOKUP($D116,$C$5:$AJ$596,14,)=0,0,((VLOOKUP($D116,$C$5:$AJ$596,14,)/VLOOKUP($D116,$C$5:$AJ$596,4,))*$F116))</f>
        <v>0</v>
      </c>
      <c r="Q116" s="33">
        <f>IF(VLOOKUP($D116,$C$5:$AJ$596,15,)=0,0,((VLOOKUP($D116,$C$5:$AJ$596,15,)/VLOOKUP($D116,$C$5:$AJ$596,4,))*$F116))</f>
        <v>0</v>
      </c>
      <c r="R116" s="33"/>
      <c r="S116" s="33">
        <f>IF(VLOOKUP($D116,$C$5:$AJ$596,17,)=0,0,((VLOOKUP($D116,$C$5:$AJ$596,17,)/VLOOKUP($D116,$C$5:$AJ$596,4,))*$F116))</f>
        <v>0</v>
      </c>
      <c r="T116" s="33">
        <f>IF(VLOOKUP($D116,$C$5:$AJ$596,18,)=0,0,((VLOOKUP($D116,$C$5:$AJ$596,18,)/VLOOKUP($D116,$C$5:$AJ$596,4,))*$F116))</f>
        <v>589730.46246527485</v>
      </c>
      <c r="U116" s="33">
        <f>IF(VLOOKUP($D116,$C$5:$AJ$596,19,)=0,0,((VLOOKUP($D116,$C$5:$AJ$596,19,)/VLOOKUP($D116,$C$5:$AJ$596,4,))*$F116))</f>
        <v>0</v>
      </c>
      <c r="V116" s="33">
        <f>IF(VLOOKUP($D116,$C$5:$AJ$596,20,)=0,0,((VLOOKUP($D116,$C$5:$AJ$596,20,)/VLOOKUP($D116,$C$5:$AJ$596,4,))*$F116))</f>
        <v>482478.26575023303</v>
      </c>
      <c r="W116" s="33">
        <f>IF(VLOOKUP($D116,$C$5:$AJ$596,21,)=0,0,((VLOOKUP($D116,$C$5:$AJ$596,21,)/VLOOKUP($D116,$C$5:$AJ$596,4,))*$F116))</f>
        <v>907908.7362759026</v>
      </c>
      <c r="X116" s="33">
        <f>IF(VLOOKUP($D116,$C$5:$AJ$596,22,)=0,0,((VLOOKUP($D116,$C$5:$AJ$596,22,)/VLOOKUP($D116,$C$5:$AJ$596,4,))*$F116))</f>
        <v>262813.76293061412</v>
      </c>
      <c r="Y116" s="33">
        <f>IF(VLOOKUP($D116,$C$5:$AJ$596,23,)=0,0,((VLOOKUP($D116,$C$5:$AJ$596,23,)/VLOOKUP($D116,$C$5:$AJ$596,4,))*$F116))</f>
        <v>486856.67201693152</v>
      </c>
      <c r="Z116" s="33">
        <f>IF(VLOOKUP($D116,$C$5:$AJ$596,24,)=0,0,((VLOOKUP($D116,$C$5:$AJ$596,24,)/VLOOKUP($D116,$C$5:$AJ$596,4,))*$F116))</f>
        <v>356012.4865290561</v>
      </c>
      <c r="AA116" s="33">
        <f>IF(VLOOKUP($D116,$C$5:$AJ$596,25,)=0,0,((VLOOKUP($D116,$C$5:$AJ$596,25,)/VLOOKUP($D116,$C$5:$AJ$596,4,))*$F116))</f>
        <v>308752.52013939928</v>
      </c>
      <c r="AB116" s="33">
        <f>IF(VLOOKUP($D116,$C$5:$AJ$596,26,)=0,0,((VLOOKUP($D116,$C$5:$AJ$596,26,)/VLOOKUP($D116,$C$5:$AJ$596,4,))*$F116))</f>
        <v>228630.61101892291</v>
      </c>
      <c r="AC116" s="33">
        <f>IF(VLOOKUP($D116,$C$5:$AJ$596,27,)=0,0,((VLOOKUP($D116,$C$5:$AJ$596,27,)/VLOOKUP($D116,$C$5:$AJ$596,4,))*$F116))</f>
        <v>163364.14168866418</v>
      </c>
      <c r="AD116" s="33">
        <f>IF(VLOOKUP($D116,$C$5:$AJ$596,28,)=0,0,((VLOOKUP($D116,$C$5:$AJ$596,28,)/VLOOKUP($D116,$C$5:$AJ$596,4,))*$F116))</f>
        <v>267696.75616360491</v>
      </c>
      <c r="AE116" s="33"/>
      <c r="AF116" s="33">
        <f>IF(VLOOKUP($D116,$C$5:$AJ$596,30,)=0,0,((VLOOKUP($D116,$C$5:$AJ$596,30,)/VLOOKUP($D116,$C$5:$AJ$596,4,))*$F116))</f>
        <v>0</v>
      </c>
      <c r="AG116" s="33"/>
      <c r="AH116" s="33">
        <f>IF(VLOOKUP($D116,$C$5:$AJ$596,32,)=0,0,((VLOOKUP($D116,$C$5:$AJ$596,32,)/VLOOKUP($D116,$C$5:$AJ$596,4,))*$F116))</f>
        <v>0</v>
      </c>
      <c r="AI116" s="33"/>
      <c r="AJ116" s="33">
        <f>IF(VLOOKUP($D116,$C$5:$AJ$596,34,)=0,0,((VLOOKUP($D116,$C$5:$AJ$596,34,)/VLOOKUP($D116,$C$5:$AJ$596,4,))*$F116))</f>
        <v>0</v>
      </c>
      <c r="AK116" s="33">
        <f>SUM(H116:AJ116)</f>
        <v>15605033.931140801</v>
      </c>
      <c r="AL116" s="30" t="str">
        <f>IF(ABS(AK116-F116)&lt;1,"ok","err")</f>
        <v>ok</v>
      </c>
    </row>
    <row r="117" spans="1:39" x14ac:dyDescent="0.25">
      <c r="A117" s="29" t="s">
        <v>2191</v>
      </c>
      <c r="D117" s="14" t="s">
        <v>682</v>
      </c>
      <c r="E117" s="14"/>
      <c r="F117" s="33">
        <f>'Jurisdictional Study'!F553</f>
        <v>59241660.740988947</v>
      </c>
      <c r="H117" s="33">
        <f>IF(VLOOKUP($D117,$C$5:$AJ$596,6,)=0,0,((VLOOKUP($D117,$C$5:$AJ$596,6,)/VLOOKUP($D117,$C$5:$AJ$596,4,))*$F117))</f>
        <v>59241660.740988947</v>
      </c>
      <c r="I117" s="33">
        <f>IF(VLOOKUP($D117,$C$5:$AJ$596,7,)=0,0,((VLOOKUP($D117,$C$5:$AJ$596,7,)/VLOOKUP($D117,$C$5:$AJ$596,4,))*$F117))</f>
        <v>0</v>
      </c>
      <c r="J117" s="33">
        <f>IF(VLOOKUP($D117,$C$5:$AJ$596,8,)=0,0,((VLOOKUP($D117,$C$5:$AJ$596,8,)/VLOOKUP($D117,$C$5:$AJ$596,4,))*$F117))</f>
        <v>0</v>
      </c>
      <c r="K117" s="33">
        <f>IF(VLOOKUP($D117,$C$5:$AJ$596,9,)=0,0,((VLOOKUP($D117,$C$5:$AJ$596,9,)/VLOOKUP($D117,$C$5:$AJ$596,4,))*$F117))</f>
        <v>0</v>
      </c>
      <c r="L117" s="33">
        <f>IF(VLOOKUP($D117,$C$5:$AJ$596,10,)=0,0,((VLOOKUP($D117,$C$5:$AJ$596,10,)/VLOOKUP($D117,$C$5:$AJ$596,4,))*$F117))</f>
        <v>0</v>
      </c>
      <c r="M117" s="33">
        <f>IF(VLOOKUP($D117,$C$5:$AJ$596,11,)=0,0,((VLOOKUP($D117,$C$5:$AJ$596,11,)/VLOOKUP($D117,$C$5:$AJ$596,4,))*$F117))</f>
        <v>0</v>
      </c>
      <c r="N117" s="33"/>
      <c r="O117" s="33">
        <f>IF(VLOOKUP($D117,$C$5:$AJ$596,13,)=0,0,((VLOOKUP($D117,$C$5:$AJ$596,13,)/VLOOKUP($D117,$C$5:$AJ$596,4,))*$F117))</f>
        <v>0</v>
      </c>
      <c r="P117" s="33">
        <f>IF(VLOOKUP($D117,$C$5:$AJ$596,14,)=0,0,((VLOOKUP($D117,$C$5:$AJ$596,14,)/VLOOKUP($D117,$C$5:$AJ$596,4,))*$F117))</f>
        <v>0</v>
      </c>
      <c r="Q117" s="33">
        <f>IF(VLOOKUP($D117,$C$5:$AJ$596,15,)=0,0,((VLOOKUP($D117,$C$5:$AJ$596,15,)/VLOOKUP($D117,$C$5:$AJ$596,4,))*$F117))</f>
        <v>0</v>
      </c>
      <c r="R117" s="33"/>
      <c r="S117" s="33">
        <f>IF(VLOOKUP($D117,$C$5:$AJ$596,17,)=0,0,((VLOOKUP($D117,$C$5:$AJ$596,17,)/VLOOKUP($D117,$C$5:$AJ$596,4,))*$F117))</f>
        <v>0</v>
      </c>
      <c r="T117" s="33">
        <f>IF(VLOOKUP($D117,$C$5:$AJ$596,18,)=0,0,((VLOOKUP($D117,$C$5:$AJ$596,18,)/VLOOKUP($D117,$C$5:$AJ$596,4,))*$F117))</f>
        <v>0</v>
      </c>
      <c r="U117" s="33">
        <f>IF(VLOOKUP($D117,$C$5:$AJ$596,19,)=0,0,((VLOOKUP($D117,$C$5:$AJ$596,19,)/VLOOKUP($D117,$C$5:$AJ$596,4,))*$F117))</f>
        <v>0</v>
      </c>
      <c r="V117" s="33">
        <f>IF(VLOOKUP($D117,$C$5:$AJ$596,20,)=0,0,((VLOOKUP($D117,$C$5:$AJ$596,20,)/VLOOKUP($D117,$C$5:$AJ$596,4,))*$F117))</f>
        <v>0</v>
      </c>
      <c r="W117" s="33">
        <f>IF(VLOOKUP($D117,$C$5:$AJ$596,21,)=0,0,((VLOOKUP($D117,$C$5:$AJ$596,21,)/VLOOKUP($D117,$C$5:$AJ$596,4,))*$F117))</f>
        <v>0</v>
      </c>
      <c r="X117" s="33">
        <f>IF(VLOOKUP($D117,$C$5:$AJ$596,22,)=0,0,((VLOOKUP($D117,$C$5:$AJ$596,22,)/VLOOKUP($D117,$C$5:$AJ$596,4,))*$F117))</f>
        <v>0</v>
      </c>
      <c r="Y117" s="33">
        <f>IF(VLOOKUP($D117,$C$5:$AJ$596,23,)=0,0,((VLOOKUP($D117,$C$5:$AJ$596,23,)/VLOOKUP($D117,$C$5:$AJ$596,4,))*$F117))</f>
        <v>0</v>
      </c>
      <c r="Z117" s="33">
        <f>IF(VLOOKUP($D117,$C$5:$AJ$596,24,)=0,0,((VLOOKUP($D117,$C$5:$AJ$596,24,)/VLOOKUP($D117,$C$5:$AJ$596,4,))*$F117))</f>
        <v>0</v>
      </c>
      <c r="AA117" s="33">
        <f>IF(VLOOKUP($D117,$C$5:$AJ$596,25,)=0,0,((VLOOKUP($D117,$C$5:$AJ$596,25,)/VLOOKUP($D117,$C$5:$AJ$596,4,))*$F117))</f>
        <v>0</v>
      </c>
      <c r="AB117" s="33">
        <f>IF(VLOOKUP($D117,$C$5:$AJ$596,26,)=0,0,((VLOOKUP($D117,$C$5:$AJ$596,26,)/VLOOKUP($D117,$C$5:$AJ$596,4,))*$F117))</f>
        <v>0</v>
      </c>
      <c r="AC117" s="33">
        <f>IF(VLOOKUP($D117,$C$5:$AJ$596,27,)=0,0,((VLOOKUP($D117,$C$5:$AJ$596,27,)/VLOOKUP($D117,$C$5:$AJ$596,4,))*$F117))</f>
        <v>0</v>
      </c>
      <c r="AD117" s="33">
        <f>IF(VLOOKUP($D117,$C$5:$AJ$596,28,)=0,0,((VLOOKUP($D117,$C$5:$AJ$596,28,)/VLOOKUP($D117,$C$5:$AJ$596,4,))*$F117))</f>
        <v>0</v>
      </c>
      <c r="AE117" s="33"/>
      <c r="AF117" s="33">
        <f>IF(VLOOKUP($D117,$C$5:$AJ$596,30,)=0,0,((VLOOKUP($D117,$C$5:$AJ$596,30,)/VLOOKUP($D117,$C$5:$AJ$596,4,))*$F117))</f>
        <v>0</v>
      </c>
      <c r="AG117" s="33"/>
      <c r="AH117" s="33">
        <f>IF(VLOOKUP($D117,$C$5:$AJ$596,32,)=0,0,((VLOOKUP($D117,$C$5:$AJ$596,32,)/VLOOKUP($D117,$C$5:$AJ$596,4,))*$F117))</f>
        <v>0</v>
      </c>
      <c r="AI117" s="33"/>
      <c r="AJ117" s="33">
        <f>IF(VLOOKUP($D117,$C$5:$AJ$596,34,)=0,0,((VLOOKUP($D117,$C$5:$AJ$596,34,)/VLOOKUP($D117,$C$5:$AJ$596,4,))*$F117))</f>
        <v>0</v>
      </c>
      <c r="AK117" s="33">
        <f>SUM(H117:AJ117)</f>
        <v>59241660.740988947</v>
      </c>
      <c r="AL117" s="30" t="str">
        <f>IF(ABS(AK117-F117)&lt;1,"ok","err")</f>
        <v>ok</v>
      </c>
    </row>
    <row r="118" spans="1:39" x14ac:dyDescent="0.25">
      <c r="A118" s="39" t="s">
        <v>749</v>
      </c>
      <c r="C118" s="29" t="s">
        <v>750</v>
      </c>
      <c r="D118" s="14"/>
      <c r="E118" s="14"/>
      <c r="F118" s="34">
        <f>SUM(F114:F117)</f>
        <v>225567469.35318363</v>
      </c>
      <c r="G118" s="34"/>
      <c r="H118" s="34">
        <f t="shared" ref="H118:M118" si="78">SUM(H114:H117)</f>
        <v>114131769.46740121</v>
      </c>
      <c r="I118" s="34">
        <f t="shared" si="78"/>
        <v>0</v>
      </c>
      <c r="J118" s="34">
        <f t="shared" si="78"/>
        <v>0</v>
      </c>
      <c r="K118" s="34">
        <f t="shared" si="78"/>
        <v>60528491.942099355</v>
      </c>
      <c r="L118" s="34">
        <f t="shared" si="78"/>
        <v>0</v>
      </c>
      <c r="M118" s="34">
        <f t="shared" si="78"/>
        <v>0</v>
      </c>
      <c r="N118" s="34"/>
      <c r="O118" s="34">
        <f>SUM(O114:O117)</f>
        <v>16141093.30317428</v>
      </c>
      <c r="P118" s="34">
        <f>SUM(P114:P117)</f>
        <v>0</v>
      </c>
      <c r="Q118" s="34">
        <f>SUM(Q114:Q117)</f>
        <v>0</v>
      </c>
      <c r="R118" s="34"/>
      <c r="S118" s="34">
        <f t="shared" ref="S118:AD118" si="79">SUM(S114:S117)</f>
        <v>0</v>
      </c>
      <c r="T118" s="34">
        <f t="shared" si="79"/>
        <v>3663826.268380533</v>
      </c>
      <c r="U118" s="34">
        <f t="shared" si="79"/>
        <v>0</v>
      </c>
      <c r="V118" s="34">
        <f t="shared" si="79"/>
        <v>3674629.0002526846</v>
      </c>
      <c r="W118" s="34">
        <f t="shared" si="79"/>
        <v>6656597.5135611901</v>
      </c>
      <c r="X118" s="34">
        <f t="shared" si="79"/>
        <v>2010966.9279550433</v>
      </c>
      <c r="Y118" s="34">
        <f t="shared" si="79"/>
        <v>3597636.653918704</v>
      </c>
      <c r="Z118" s="34">
        <f t="shared" si="79"/>
        <v>1954158.7896587499</v>
      </c>
      <c r="AA118" s="34">
        <f t="shared" si="79"/>
        <v>1694748.0043244341</v>
      </c>
      <c r="AB118" s="34">
        <f t="shared" si="79"/>
        <v>1250673.8520702615</v>
      </c>
      <c r="AC118" s="34">
        <f t="shared" si="79"/>
        <v>1963775.6666171665</v>
      </c>
      <c r="AD118" s="34">
        <f t="shared" si="79"/>
        <v>1464376.6717228382</v>
      </c>
      <c r="AE118" s="34"/>
      <c r="AF118" s="34">
        <f>SUM(AF114:AF117)</f>
        <v>6133963.9691142943</v>
      </c>
      <c r="AG118" s="34"/>
      <c r="AH118" s="34">
        <f>SUM(AH114:AH117)</f>
        <v>700761.32293291285</v>
      </c>
      <c r="AI118" s="34"/>
      <c r="AJ118" s="34">
        <f>SUM(AJ114:AJ117)</f>
        <v>0</v>
      </c>
      <c r="AK118" s="33">
        <f>SUM(H118:AJ118)</f>
        <v>225567469.35318366</v>
      </c>
      <c r="AL118" s="30" t="str">
        <f>IF(ABS(AK118-F118)&lt;1,"ok","err")</f>
        <v>ok</v>
      </c>
      <c r="AM118" s="41">
        <f>+AK118-F118</f>
        <v>0</v>
      </c>
    </row>
    <row r="119" spans="1:39" x14ac:dyDescent="0.25">
      <c r="A119" s="39"/>
      <c r="D119" s="14"/>
      <c r="E119" s="1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3"/>
      <c r="AL119" s="30"/>
    </row>
    <row r="120" spans="1:39" x14ac:dyDescent="0.25">
      <c r="A120" s="29" t="s">
        <v>1724</v>
      </c>
      <c r="C120" s="29" t="s">
        <v>1725</v>
      </c>
      <c r="D120" s="14" t="s">
        <v>685</v>
      </c>
      <c r="E120" s="14"/>
      <c r="F120" s="33"/>
      <c r="H120" s="33">
        <f>IF(VLOOKUP($D120,$C$5:$AJ$596,6,)=0,0,((VLOOKUP($D120,$C$5:$AJ$596,6,)/VLOOKUP($D120,$C$5:$AJ$596,4,))*$F120))</f>
        <v>0</v>
      </c>
      <c r="I120" s="33">
        <f>IF(VLOOKUP($D120,$C$5:$AJ$596,7,)=0,0,((VLOOKUP($D120,$C$5:$AJ$596,7,)/VLOOKUP($D120,$C$5:$AJ$596,4,))*$F120))</f>
        <v>0</v>
      </c>
      <c r="J120" s="33">
        <f>IF(VLOOKUP($D120,$C$5:$AJ$596,8,)=0,0,((VLOOKUP($D120,$C$5:$AJ$596,8,)/VLOOKUP($D120,$C$5:$AJ$596,4,))*$F120))</f>
        <v>0</v>
      </c>
      <c r="K120" s="33">
        <f>IF(VLOOKUP($D120,$C$5:$AJ$596,9,)=0,0,((VLOOKUP($D120,$C$5:$AJ$596,9,)/VLOOKUP($D120,$C$5:$AJ$596,4,))*$F120))</f>
        <v>0</v>
      </c>
      <c r="L120" s="33">
        <f>IF(VLOOKUP($D120,$C$5:$AJ$596,10,)=0,0,((VLOOKUP($D120,$C$5:$AJ$596,10,)/VLOOKUP($D120,$C$5:$AJ$596,4,))*$F120))</f>
        <v>0</v>
      </c>
      <c r="M120" s="33">
        <f>IF(VLOOKUP($D120,$C$5:$AJ$596,11,)=0,0,((VLOOKUP($D120,$C$5:$AJ$596,11,)/VLOOKUP($D120,$C$5:$AJ$596,4,))*$F120))</f>
        <v>0</v>
      </c>
      <c r="N120" s="33"/>
      <c r="O120" s="33">
        <f>IF(VLOOKUP($D120,$C$5:$AJ$596,13,)=0,0,((VLOOKUP($D120,$C$5:$AJ$596,13,)/VLOOKUP($D120,$C$5:$AJ$596,4,))*$F120))</f>
        <v>0</v>
      </c>
      <c r="P120" s="33">
        <f>IF(VLOOKUP($D120,$C$5:$AJ$596,14,)=0,0,((VLOOKUP($D120,$C$5:$AJ$596,14,)/VLOOKUP($D120,$C$5:$AJ$596,4,))*$F120))</f>
        <v>0</v>
      </c>
      <c r="Q120" s="33">
        <f>IF(VLOOKUP($D120,$C$5:$AJ$596,15,)=0,0,((VLOOKUP($D120,$C$5:$AJ$596,15,)/VLOOKUP($D120,$C$5:$AJ$596,4,))*$F120))</f>
        <v>0</v>
      </c>
      <c r="R120" s="33"/>
      <c r="S120" s="33">
        <f>IF(VLOOKUP($D120,$C$5:$AJ$596,17,)=0,0,((VLOOKUP($D120,$C$5:$AJ$596,17,)/VLOOKUP($D120,$C$5:$AJ$596,4,))*$F120))</f>
        <v>0</v>
      </c>
      <c r="T120" s="33">
        <f>IF(VLOOKUP($D120,$C$5:$AJ$596,18,)=0,0,((VLOOKUP($D120,$C$5:$AJ$596,18,)/VLOOKUP($D120,$C$5:$AJ$596,4,))*$F120))</f>
        <v>0</v>
      </c>
      <c r="U120" s="33">
        <f>IF(VLOOKUP($D120,$C$5:$AJ$596,19,)=0,0,((VLOOKUP($D120,$C$5:$AJ$596,19,)/VLOOKUP($D120,$C$5:$AJ$596,4,))*$F120))</f>
        <v>0</v>
      </c>
      <c r="V120" s="33">
        <f>IF(VLOOKUP($D120,$C$5:$AJ$596,20,)=0,0,((VLOOKUP($D120,$C$5:$AJ$596,20,)/VLOOKUP($D120,$C$5:$AJ$596,4,))*$F120))</f>
        <v>0</v>
      </c>
      <c r="W120" s="33">
        <f>IF(VLOOKUP($D120,$C$5:$AJ$596,21,)=0,0,((VLOOKUP($D120,$C$5:$AJ$596,21,)/VLOOKUP($D120,$C$5:$AJ$596,4,))*$F120))</f>
        <v>0</v>
      </c>
      <c r="X120" s="33">
        <f>IF(VLOOKUP($D120,$C$5:$AJ$596,22,)=0,0,((VLOOKUP($D120,$C$5:$AJ$596,22,)/VLOOKUP($D120,$C$5:$AJ$596,4,))*$F120))</f>
        <v>0</v>
      </c>
      <c r="Y120" s="33">
        <f>IF(VLOOKUP($D120,$C$5:$AJ$596,23,)=0,0,((VLOOKUP($D120,$C$5:$AJ$596,23,)/VLOOKUP($D120,$C$5:$AJ$596,4,))*$F120))</f>
        <v>0</v>
      </c>
      <c r="Z120" s="33">
        <f>IF(VLOOKUP($D120,$C$5:$AJ$596,24,)=0,0,((VLOOKUP($D120,$C$5:$AJ$596,24,)/VLOOKUP($D120,$C$5:$AJ$596,4,))*$F120))</f>
        <v>0</v>
      </c>
      <c r="AA120" s="33">
        <f>IF(VLOOKUP($D120,$C$5:$AJ$596,25,)=0,0,((VLOOKUP($D120,$C$5:$AJ$596,25,)/VLOOKUP($D120,$C$5:$AJ$596,4,))*$F120))</f>
        <v>0</v>
      </c>
      <c r="AB120" s="33">
        <f>IF(VLOOKUP($D120,$C$5:$AJ$596,26,)=0,0,((VLOOKUP($D120,$C$5:$AJ$596,26,)/VLOOKUP($D120,$C$5:$AJ$596,4,))*$F120))</f>
        <v>0</v>
      </c>
      <c r="AC120" s="33">
        <f>IF(VLOOKUP($D120,$C$5:$AJ$596,27,)=0,0,((VLOOKUP($D120,$C$5:$AJ$596,27,)/VLOOKUP($D120,$C$5:$AJ$596,4,))*$F120))</f>
        <v>0</v>
      </c>
      <c r="AD120" s="33">
        <f>IF(VLOOKUP($D120,$C$5:$AJ$596,28,)=0,0,((VLOOKUP($D120,$C$5:$AJ$596,28,)/VLOOKUP($D120,$C$5:$AJ$596,4,))*$F120))</f>
        <v>0</v>
      </c>
      <c r="AE120" s="33"/>
      <c r="AF120" s="33">
        <f>IF(VLOOKUP($D120,$C$5:$AJ$596,30,)=0,0,((VLOOKUP($D120,$C$5:$AJ$596,30,)/VLOOKUP($D120,$C$5:$AJ$596,4,))*$F120))</f>
        <v>0</v>
      </c>
      <c r="AG120" s="33"/>
      <c r="AH120" s="33">
        <f>IF(VLOOKUP($D120,$C$5:$AJ$596,32,)=0,0,((VLOOKUP($D120,$C$5:$AJ$596,32,)/VLOOKUP($D120,$C$5:$AJ$596,4,))*$F120))</f>
        <v>0</v>
      </c>
      <c r="AI120" s="33"/>
      <c r="AJ120" s="33">
        <f>IF(VLOOKUP($D120,$C$5:$AJ$596,34,)=0,0,((VLOOKUP($D120,$C$5:$AJ$596,34,)/VLOOKUP($D120,$C$5:$AJ$596,4,))*$F120))</f>
        <v>0</v>
      </c>
      <c r="AK120" s="33">
        <f>SUM(H120:AJ120)</f>
        <v>0</v>
      </c>
      <c r="AL120" s="30" t="str">
        <f>IF(ABS(AK120-F120)&lt;1,"ok","err")</f>
        <v>ok</v>
      </c>
    </row>
    <row r="121" spans="1:39" x14ac:dyDescent="0.25">
      <c r="D121" s="139"/>
      <c r="E121" s="14"/>
      <c r="Y121" s="29"/>
      <c r="AL121" s="30"/>
    </row>
    <row r="122" spans="1:39" x14ac:dyDescent="0.25">
      <c r="A122" s="3" t="s">
        <v>925</v>
      </c>
      <c r="D122" s="139"/>
      <c r="E122" s="14"/>
      <c r="Y122" s="29"/>
      <c r="AL122" s="30"/>
    </row>
    <row r="123" spans="1:39" x14ac:dyDescent="0.25">
      <c r="A123" s="29" t="s">
        <v>489</v>
      </c>
      <c r="C123" s="29" t="s">
        <v>490</v>
      </c>
      <c r="D123" s="139" t="s">
        <v>981</v>
      </c>
      <c r="E123" s="14"/>
      <c r="F123" s="32">
        <v>0</v>
      </c>
      <c r="H123" s="33">
        <f>IF(VLOOKUP($D123,$C$5:$AJ$596,6,)=0,0,((VLOOKUP($D123,$C$5:$AJ$596,6,)/VLOOKUP($D123,$C$5:$AJ$596,4,))*$F123))</f>
        <v>0</v>
      </c>
      <c r="I123" s="33">
        <f>IF(VLOOKUP($D123,$C$5:$AJ$596,7,)=0,0,((VLOOKUP($D123,$C$5:$AJ$596,7,)/VLOOKUP($D123,$C$5:$AJ$596,4,))*$F123))</f>
        <v>0</v>
      </c>
      <c r="J123" s="33">
        <f>IF(VLOOKUP($D123,$C$5:$AJ$596,8,)=0,0,((VLOOKUP($D123,$C$5:$AJ$596,8,)/VLOOKUP($D123,$C$5:$AJ$596,4,))*$F123))</f>
        <v>0</v>
      </c>
      <c r="K123" s="33">
        <f>IF(VLOOKUP($D123,$C$5:$AJ$596,9,)=0,0,((VLOOKUP($D123,$C$5:$AJ$596,9,)/VLOOKUP($D123,$C$5:$AJ$596,4,))*$F123))</f>
        <v>0</v>
      </c>
      <c r="L123" s="33">
        <f>IF(VLOOKUP($D123,$C$5:$AJ$596,10,)=0,0,((VLOOKUP($D123,$C$5:$AJ$596,10,)/VLOOKUP($D123,$C$5:$AJ$596,4,))*$F123))</f>
        <v>0</v>
      </c>
      <c r="M123" s="33">
        <f>IF(VLOOKUP($D123,$C$5:$AJ$596,11,)=0,0,((VLOOKUP($D123,$C$5:$AJ$596,11,)/VLOOKUP($D123,$C$5:$AJ$596,4,))*$F123))</f>
        <v>0</v>
      </c>
      <c r="N123" s="33"/>
      <c r="O123" s="33">
        <f>IF(VLOOKUP($D123,$C$5:$AJ$596,13,)=0,0,((VLOOKUP($D123,$C$5:$AJ$596,13,)/VLOOKUP($D123,$C$5:$AJ$596,4,))*$F123))</f>
        <v>0</v>
      </c>
      <c r="P123" s="33">
        <f>IF(VLOOKUP($D123,$C$5:$AJ$596,14,)=0,0,((VLOOKUP($D123,$C$5:$AJ$596,14,)/VLOOKUP($D123,$C$5:$AJ$596,4,))*$F123))</f>
        <v>0</v>
      </c>
      <c r="Q123" s="33">
        <f>IF(VLOOKUP($D123,$C$5:$AJ$596,15,)=0,0,((VLOOKUP($D123,$C$5:$AJ$596,15,)/VLOOKUP($D123,$C$5:$AJ$596,4,))*$F123))</f>
        <v>0</v>
      </c>
      <c r="R123" s="33"/>
      <c r="S123" s="33">
        <f>IF(VLOOKUP($D123,$C$5:$AJ$596,17,)=0,0,((VLOOKUP($D123,$C$5:$AJ$596,17,)/VLOOKUP($D123,$C$5:$AJ$596,4,))*$F123))</f>
        <v>0</v>
      </c>
      <c r="T123" s="33">
        <f>IF(VLOOKUP($D123,$C$5:$AJ$596,18,)=0,0,((VLOOKUP($D123,$C$5:$AJ$596,18,)/VLOOKUP($D123,$C$5:$AJ$596,4,))*$F123))</f>
        <v>0</v>
      </c>
      <c r="U123" s="33">
        <f>IF(VLOOKUP($D123,$C$5:$AJ$596,19,)=0,0,((VLOOKUP($D123,$C$5:$AJ$596,19,)/VLOOKUP($D123,$C$5:$AJ$596,4,))*$F123))</f>
        <v>0</v>
      </c>
      <c r="V123" s="33">
        <f>IF(VLOOKUP($D123,$C$5:$AJ$596,20,)=0,0,((VLOOKUP($D123,$C$5:$AJ$596,20,)/VLOOKUP($D123,$C$5:$AJ$596,4,))*$F123))</f>
        <v>0</v>
      </c>
      <c r="W123" s="33">
        <f>IF(VLOOKUP($D123,$C$5:$AJ$596,21,)=0,0,((VLOOKUP($D123,$C$5:$AJ$596,21,)/VLOOKUP($D123,$C$5:$AJ$596,4,))*$F123))</f>
        <v>0</v>
      </c>
      <c r="X123" s="33">
        <f>IF(VLOOKUP($D123,$C$5:$AJ$596,22,)=0,0,((VLOOKUP($D123,$C$5:$AJ$596,22,)/VLOOKUP($D123,$C$5:$AJ$596,4,))*$F123))</f>
        <v>0</v>
      </c>
      <c r="Y123" s="33">
        <f>IF(VLOOKUP($D123,$C$5:$AJ$596,23,)=0,0,((VLOOKUP($D123,$C$5:$AJ$596,23,)/VLOOKUP($D123,$C$5:$AJ$596,4,))*$F123))</f>
        <v>0</v>
      </c>
      <c r="Z123" s="33">
        <f>IF(VLOOKUP($D123,$C$5:$AJ$596,24,)=0,0,((VLOOKUP($D123,$C$5:$AJ$596,24,)/VLOOKUP($D123,$C$5:$AJ$596,4,))*$F123))</f>
        <v>0</v>
      </c>
      <c r="AA123" s="33">
        <f>IF(VLOOKUP($D123,$C$5:$AJ$596,25,)=0,0,((VLOOKUP($D123,$C$5:$AJ$596,25,)/VLOOKUP($D123,$C$5:$AJ$596,4,))*$F123))</f>
        <v>0</v>
      </c>
      <c r="AB123" s="33">
        <f>IF(VLOOKUP($D123,$C$5:$AJ$596,26,)=0,0,((VLOOKUP($D123,$C$5:$AJ$596,26,)/VLOOKUP($D123,$C$5:$AJ$596,4,))*$F123))</f>
        <v>0</v>
      </c>
      <c r="AC123" s="33">
        <f>IF(VLOOKUP($D123,$C$5:$AJ$596,27,)=0,0,((VLOOKUP($D123,$C$5:$AJ$596,27,)/VLOOKUP($D123,$C$5:$AJ$596,4,))*$F123))</f>
        <v>0</v>
      </c>
      <c r="AD123" s="33">
        <f>IF(VLOOKUP($D123,$C$5:$AJ$596,28,)=0,0,((VLOOKUP($D123,$C$5:$AJ$596,28,)/VLOOKUP($D123,$C$5:$AJ$596,4,))*$F123))</f>
        <v>0</v>
      </c>
      <c r="AE123" s="33"/>
      <c r="AF123" s="33">
        <f>IF(VLOOKUP($D123,$C$5:$AJ$596,30,)=0,0,((VLOOKUP($D123,$C$5:$AJ$596,30,)/VLOOKUP($D123,$C$5:$AJ$596,4,))*$F123))</f>
        <v>0</v>
      </c>
      <c r="AG123" s="33"/>
      <c r="AH123" s="33">
        <f>IF(VLOOKUP($D123,$C$5:$AJ$596,32,)=0,0,((VLOOKUP($D123,$C$5:$AJ$596,32,)/VLOOKUP($D123,$C$5:$AJ$596,4,))*$F123))</f>
        <v>0</v>
      </c>
      <c r="AI123" s="33"/>
      <c r="AJ123" s="33">
        <f>IF(VLOOKUP($D123,$C$5:$AJ$596,34,)=0,0,((VLOOKUP($D123,$C$5:$AJ$596,34,)/VLOOKUP($D123,$C$5:$AJ$596,4,))*$F123))</f>
        <v>0</v>
      </c>
      <c r="AK123" s="33">
        <f>SUM(H123:AJ123)</f>
        <v>0</v>
      </c>
      <c r="AL123" s="30" t="str">
        <f>IF(ABS(AK123-F123)&lt;1,"ok","err")</f>
        <v>ok</v>
      </c>
    </row>
    <row r="124" spans="1:39" ht="15.6" x14ac:dyDescent="0.3">
      <c r="A124" s="9" t="s">
        <v>659</v>
      </c>
      <c r="D124" s="139"/>
      <c r="E124" s="14"/>
      <c r="F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0"/>
    </row>
    <row r="125" spans="1:39" ht="15.6" x14ac:dyDescent="0.3">
      <c r="A125" s="9" t="s">
        <v>660</v>
      </c>
      <c r="C125" s="29" t="s">
        <v>1726</v>
      </c>
      <c r="D125" s="139" t="s">
        <v>682</v>
      </c>
      <c r="E125" s="14"/>
      <c r="F125" s="33">
        <f>'Jurisdictional Study'!F872-340185418.52</f>
        <v>511565985.86118221</v>
      </c>
      <c r="H125" s="33">
        <f>IF(VLOOKUP($D125,$C$5:$AJ$596,6,)=0,0,((VLOOKUP($D125,$C$5:$AJ$596,6,)/VLOOKUP($D125,$C$5:$AJ$596,4,))*$F125))</f>
        <v>511565985.86118221</v>
      </c>
      <c r="I125" s="33">
        <f>IF(VLOOKUP($D125,$C$5:$AJ$596,7,)=0,0,((VLOOKUP($D125,$C$5:$AJ$596,7,)/VLOOKUP($D125,$C$5:$AJ$596,4,))*$F125))</f>
        <v>0</v>
      </c>
      <c r="J125" s="33">
        <f>IF(VLOOKUP($D125,$C$5:$AJ$596,8,)=0,0,((VLOOKUP($D125,$C$5:$AJ$596,8,)/VLOOKUP($D125,$C$5:$AJ$596,4,))*$F125))</f>
        <v>0</v>
      </c>
      <c r="K125" s="33">
        <f>IF(VLOOKUP($D125,$C$5:$AJ$596,9,)=0,0,((VLOOKUP($D125,$C$5:$AJ$596,9,)/VLOOKUP($D125,$C$5:$AJ$596,4,))*$F125))</f>
        <v>0</v>
      </c>
      <c r="L125" s="33">
        <f>IF(VLOOKUP($D125,$C$5:$AJ$596,10,)=0,0,((VLOOKUP($D125,$C$5:$AJ$596,10,)/VLOOKUP($D125,$C$5:$AJ$596,4,))*$F125))</f>
        <v>0</v>
      </c>
      <c r="M125" s="33">
        <f>IF(VLOOKUP($D125,$C$5:$AJ$596,11,)=0,0,((VLOOKUP($D125,$C$5:$AJ$596,11,)/VLOOKUP($D125,$C$5:$AJ$596,4,))*$F125))</f>
        <v>0</v>
      </c>
      <c r="N125" s="33"/>
      <c r="O125" s="33">
        <f>IF(VLOOKUP($D125,$C$5:$AJ$596,13,)=0,0,((VLOOKUP($D125,$C$5:$AJ$596,13,)/VLOOKUP($D125,$C$5:$AJ$596,4,))*$F125))</f>
        <v>0</v>
      </c>
      <c r="P125" s="33">
        <f>IF(VLOOKUP($D125,$C$5:$AJ$596,14,)=0,0,((VLOOKUP($D125,$C$5:$AJ$596,14,)/VLOOKUP($D125,$C$5:$AJ$596,4,))*$F125))</f>
        <v>0</v>
      </c>
      <c r="Q125" s="33">
        <f>IF(VLOOKUP($D125,$C$5:$AJ$596,15,)=0,0,((VLOOKUP($D125,$C$5:$AJ$596,15,)/VLOOKUP($D125,$C$5:$AJ$596,4,))*$F125))</f>
        <v>0</v>
      </c>
      <c r="R125" s="33"/>
      <c r="S125" s="33">
        <f>IF(VLOOKUP($D125,$C$5:$AJ$596,17,)=0,0,((VLOOKUP($D125,$C$5:$AJ$596,17,)/VLOOKUP($D125,$C$5:$AJ$596,4,))*$F125))</f>
        <v>0</v>
      </c>
      <c r="T125" s="33">
        <f>IF(VLOOKUP($D125,$C$5:$AJ$596,18,)=0,0,((VLOOKUP($D125,$C$5:$AJ$596,18,)/VLOOKUP($D125,$C$5:$AJ$596,4,))*$F125))</f>
        <v>0</v>
      </c>
      <c r="U125" s="33">
        <f>IF(VLOOKUP($D125,$C$5:$AJ$596,19,)=0,0,((VLOOKUP($D125,$C$5:$AJ$596,19,)/VLOOKUP($D125,$C$5:$AJ$596,4,))*$F125))</f>
        <v>0</v>
      </c>
      <c r="V125" s="33">
        <f>IF(VLOOKUP($D125,$C$5:$AJ$596,20,)=0,0,((VLOOKUP($D125,$C$5:$AJ$596,20,)/VLOOKUP($D125,$C$5:$AJ$596,4,))*$F125))</f>
        <v>0</v>
      </c>
      <c r="W125" s="33">
        <f>IF(VLOOKUP($D125,$C$5:$AJ$596,21,)=0,0,((VLOOKUP($D125,$C$5:$AJ$596,21,)/VLOOKUP($D125,$C$5:$AJ$596,4,))*$F125))</f>
        <v>0</v>
      </c>
      <c r="X125" s="33">
        <f>IF(VLOOKUP($D125,$C$5:$AJ$596,22,)=0,0,((VLOOKUP($D125,$C$5:$AJ$596,22,)/VLOOKUP($D125,$C$5:$AJ$596,4,))*$F125))</f>
        <v>0</v>
      </c>
      <c r="Y125" s="33">
        <f>IF(VLOOKUP($D125,$C$5:$AJ$596,23,)=0,0,((VLOOKUP($D125,$C$5:$AJ$596,23,)/VLOOKUP($D125,$C$5:$AJ$596,4,))*$F125))</f>
        <v>0</v>
      </c>
      <c r="Z125" s="33">
        <f>IF(VLOOKUP($D125,$C$5:$AJ$596,24,)=0,0,((VLOOKUP($D125,$C$5:$AJ$596,24,)/VLOOKUP($D125,$C$5:$AJ$596,4,))*$F125))</f>
        <v>0</v>
      </c>
      <c r="AA125" s="33">
        <f>IF(VLOOKUP($D125,$C$5:$AJ$596,25,)=0,0,((VLOOKUP($D125,$C$5:$AJ$596,25,)/VLOOKUP($D125,$C$5:$AJ$596,4,))*$F125))</f>
        <v>0</v>
      </c>
      <c r="AB125" s="33">
        <f>IF(VLOOKUP($D125,$C$5:$AJ$596,26,)=0,0,((VLOOKUP($D125,$C$5:$AJ$596,26,)/VLOOKUP($D125,$C$5:$AJ$596,4,))*$F125))</f>
        <v>0</v>
      </c>
      <c r="AC125" s="33">
        <f>IF(VLOOKUP($D125,$C$5:$AJ$596,27,)=0,0,((VLOOKUP($D125,$C$5:$AJ$596,27,)/VLOOKUP($D125,$C$5:$AJ$596,4,))*$F125))</f>
        <v>0</v>
      </c>
      <c r="AD125" s="33">
        <f>IF(VLOOKUP($D125,$C$5:$AJ$596,28,)=0,0,((VLOOKUP($D125,$C$5:$AJ$596,28,)/VLOOKUP($D125,$C$5:$AJ$596,4,))*$F125))</f>
        <v>0</v>
      </c>
      <c r="AE125" s="33"/>
      <c r="AF125" s="33">
        <f>IF(VLOOKUP($D125,$C$5:$AJ$596,30,)=0,0,((VLOOKUP($D125,$C$5:$AJ$596,30,)/VLOOKUP($D125,$C$5:$AJ$596,4,))*$F125))</f>
        <v>0</v>
      </c>
      <c r="AG125" s="33"/>
      <c r="AH125" s="33">
        <f>IF(VLOOKUP($D125,$C$5:$AJ$596,32,)=0,0,((VLOOKUP($D125,$C$5:$AJ$596,32,)/VLOOKUP($D125,$C$5:$AJ$596,4,))*$F125))</f>
        <v>0</v>
      </c>
      <c r="AI125" s="33"/>
      <c r="AJ125" s="33">
        <f>IF(VLOOKUP($D125,$C$5:$AJ$596,34,)=0,0,((VLOOKUP($D125,$C$5:$AJ$596,34,)/VLOOKUP($D125,$C$5:$AJ$596,4,))*$F125))</f>
        <v>0</v>
      </c>
      <c r="AK125" s="33">
        <f>SUM(H125:AJ125)</f>
        <v>511565985.86118221</v>
      </c>
      <c r="AL125" s="30" t="str">
        <f t="shared" ref="AL125:AL130" si="80">IF(ABS(AK125-F125)&lt;1,"ok","err")</f>
        <v>ok</v>
      </c>
    </row>
    <row r="126" spans="1:39" ht="15.6" x14ac:dyDescent="0.3">
      <c r="A126" s="9" t="s">
        <v>661</v>
      </c>
      <c r="C126" s="29" t="s">
        <v>1727</v>
      </c>
      <c r="D126" s="139" t="s">
        <v>455</v>
      </c>
      <c r="E126" s="14"/>
      <c r="F126" s="33">
        <f>'Jurisdictional Study'!F880</f>
        <v>160120439.16326454</v>
      </c>
      <c r="H126" s="33">
        <f>IF(VLOOKUP($D126,$C$5:$AJ$596,6,)=0,0,((VLOOKUP($D126,$C$5:$AJ$596,6,)/VLOOKUP($D126,$C$5:$AJ$596,4,))*$F126))</f>
        <v>0</v>
      </c>
      <c r="I126" s="33">
        <f>IF(VLOOKUP($D126,$C$5:$AJ$596,7,)=0,0,((VLOOKUP($D126,$C$5:$AJ$596,7,)/VLOOKUP($D126,$C$5:$AJ$596,4,))*$F126))</f>
        <v>0</v>
      </c>
      <c r="J126" s="33">
        <f>IF(VLOOKUP($D126,$C$5:$AJ$596,8,)=0,0,((VLOOKUP($D126,$C$5:$AJ$596,8,)/VLOOKUP($D126,$C$5:$AJ$596,4,))*$F126))</f>
        <v>0</v>
      </c>
      <c r="K126" s="33">
        <f>IF(VLOOKUP($D126,$C$5:$AJ$596,9,)=0,0,((VLOOKUP($D126,$C$5:$AJ$596,9,)/VLOOKUP($D126,$C$5:$AJ$596,4,))*$F126))</f>
        <v>0</v>
      </c>
      <c r="L126" s="33">
        <f>IF(VLOOKUP($D126,$C$5:$AJ$596,10,)=0,0,((VLOOKUP($D126,$C$5:$AJ$596,10,)/VLOOKUP($D126,$C$5:$AJ$596,4,))*$F126))</f>
        <v>0</v>
      </c>
      <c r="M126" s="33">
        <f>IF(VLOOKUP($D126,$C$5:$AJ$596,11,)=0,0,((VLOOKUP($D126,$C$5:$AJ$596,11,)/VLOOKUP($D126,$C$5:$AJ$596,4,))*$F126))</f>
        <v>0</v>
      </c>
      <c r="N126" s="33"/>
      <c r="O126" s="33">
        <f>IF(VLOOKUP($D126,$C$5:$AJ$596,13,)=0,0,((VLOOKUP($D126,$C$5:$AJ$596,13,)/VLOOKUP($D126,$C$5:$AJ$596,4,))*$F126))</f>
        <v>160120439.16326454</v>
      </c>
      <c r="P126" s="33">
        <f>IF(VLOOKUP($D126,$C$5:$AJ$596,14,)=0,0,((VLOOKUP($D126,$C$5:$AJ$596,14,)/VLOOKUP($D126,$C$5:$AJ$596,4,))*$F126))</f>
        <v>0</v>
      </c>
      <c r="Q126" s="33">
        <f>IF(VLOOKUP($D126,$C$5:$AJ$596,15,)=0,0,((VLOOKUP($D126,$C$5:$AJ$596,15,)/VLOOKUP($D126,$C$5:$AJ$596,4,))*$F126))</f>
        <v>0</v>
      </c>
      <c r="R126" s="33"/>
      <c r="S126" s="33">
        <f>IF(VLOOKUP($D126,$C$5:$AJ$596,17,)=0,0,((VLOOKUP($D126,$C$5:$AJ$596,17,)/VLOOKUP($D126,$C$5:$AJ$596,4,))*$F126))</f>
        <v>0</v>
      </c>
      <c r="T126" s="33">
        <f>IF(VLOOKUP($D126,$C$5:$AJ$596,18,)=0,0,((VLOOKUP($D126,$C$5:$AJ$596,18,)/VLOOKUP($D126,$C$5:$AJ$596,4,))*$F126))</f>
        <v>0</v>
      </c>
      <c r="U126" s="33">
        <f>IF(VLOOKUP($D126,$C$5:$AJ$596,19,)=0,0,((VLOOKUP($D126,$C$5:$AJ$596,19,)/VLOOKUP($D126,$C$5:$AJ$596,4,))*$F126))</f>
        <v>0</v>
      </c>
      <c r="V126" s="33">
        <f>IF(VLOOKUP($D126,$C$5:$AJ$596,20,)=0,0,((VLOOKUP($D126,$C$5:$AJ$596,20,)/VLOOKUP($D126,$C$5:$AJ$596,4,))*$F126))</f>
        <v>0</v>
      </c>
      <c r="W126" s="33">
        <f>IF(VLOOKUP($D126,$C$5:$AJ$596,21,)=0,0,((VLOOKUP($D126,$C$5:$AJ$596,21,)/VLOOKUP($D126,$C$5:$AJ$596,4,))*$F126))</f>
        <v>0</v>
      </c>
      <c r="X126" s="33">
        <f>IF(VLOOKUP($D126,$C$5:$AJ$596,22,)=0,0,((VLOOKUP($D126,$C$5:$AJ$596,22,)/VLOOKUP($D126,$C$5:$AJ$596,4,))*$F126))</f>
        <v>0</v>
      </c>
      <c r="Y126" s="33">
        <f>IF(VLOOKUP($D126,$C$5:$AJ$596,23,)=0,0,((VLOOKUP($D126,$C$5:$AJ$596,23,)/VLOOKUP($D126,$C$5:$AJ$596,4,))*$F126))</f>
        <v>0</v>
      </c>
      <c r="Z126" s="33">
        <f>IF(VLOOKUP($D126,$C$5:$AJ$596,24,)=0,0,((VLOOKUP($D126,$C$5:$AJ$596,24,)/VLOOKUP($D126,$C$5:$AJ$596,4,))*$F126))</f>
        <v>0</v>
      </c>
      <c r="AA126" s="33">
        <f>IF(VLOOKUP($D126,$C$5:$AJ$596,25,)=0,0,((VLOOKUP($D126,$C$5:$AJ$596,25,)/VLOOKUP($D126,$C$5:$AJ$596,4,))*$F126))</f>
        <v>0</v>
      </c>
      <c r="AB126" s="33">
        <f>IF(VLOOKUP($D126,$C$5:$AJ$596,26,)=0,0,((VLOOKUP($D126,$C$5:$AJ$596,26,)/VLOOKUP($D126,$C$5:$AJ$596,4,))*$F126))</f>
        <v>0</v>
      </c>
      <c r="AC126" s="33">
        <f>IF(VLOOKUP($D126,$C$5:$AJ$596,27,)=0,0,((VLOOKUP($D126,$C$5:$AJ$596,27,)/VLOOKUP($D126,$C$5:$AJ$596,4,))*$F126))</f>
        <v>0</v>
      </c>
      <c r="AD126" s="33">
        <f>IF(VLOOKUP($D126,$C$5:$AJ$596,28,)=0,0,((VLOOKUP($D126,$C$5:$AJ$596,28,)/VLOOKUP($D126,$C$5:$AJ$596,4,))*$F126))</f>
        <v>0</v>
      </c>
      <c r="AE126" s="33"/>
      <c r="AF126" s="33">
        <f>IF(VLOOKUP($D126,$C$5:$AJ$596,30,)=0,0,((VLOOKUP($D126,$C$5:$AJ$596,30,)/VLOOKUP($D126,$C$5:$AJ$596,4,))*$F126))</f>
        <v>0</v>
      </c>
      <c r="AG126" s="33"/>
      <c r="AH126" s="33">
        <f>IF(VLOOKUP($D126,$C$5:$AJ$596,32,)=0,0,((VLOOKUP($D126,$C$5:$AJ$596,32,)/VLOOKUP($D126,$C$5:$AJ$596,4,))*$F126))</f>
        <v>0</v>
      </c>
      <c r="AI126" s="33"/>
      <c r="AJ126" s="33">
        <f>IF(VLOOKUP($D126,$C$5:$AJ$596,34,)=0,0,((VLOOKUP($D126,$C$5:$AJ$596,34,)/VLOOKUP($D126,$C$5:$AJ$596,4,))*$F126))</f>
        <v>0</v>
      </c>
      <c r="AK126" s="33">
        <f>SUM(H126:AJ126)</f>
        <v>160120439.16326454</v>
      </c>
      <c r="AL126" s="30" t="str">
        <f t="shared" si="80"/>
        <v>ok</v>
      </c>
    </row>
    <row r="127" spans="1:39" ht="15.6" x14ac:dyDescent="0.3">
      <c r="A127" s="9" t="s">
        <v>662</v>
      </c>
      <c r="C127" s="29" t="s">
        <v>657</v>
      </c>
      <c r="D127" s="139" t="s">
        <v>109</v>
      </c>
      <c r="E127" s="14"/>
      <c r="F127" s="33">
        <f>'Jurisdictional Study'!F884-1629532.01</f>
        <v>273945345.40441674</v>
      </c>
      <c r="H127" s="33">
        <f>IF(VLOOKUP($D127,$C$5:$AJ$596,6,)=0,0,((VLOOKUP($D127,$C$5:$AJ$596,6,)/VLOOKUP($D127,$C$5:$AJ$596,4,))*$F127))</f>
        <v>0</v>
      </c>
      <c r="I127" s="33">
        <f>IF(VLOOKUP($D127,$C$5:$AJ$596,7,)=0,0,((VLOOKUP($D127,$C$5:$AJ$596,7,)/VLOOKUP($D127,$C$5:$AJ$596,4,))*$F127))</f>
        <v>0</v>
      </c>
      <c r="J127" s="33">
        <f>IF(VLOOKUP($D127,$C$5:$AJ$596,8,)=0,0,((VLOOKUP($D127,$C$5:$AJ$596,8,)/VLOOKUP($D127,$C$5:$AJ$596,4,))*$F127))</f>
        <v>0</v>
      </c>
      <c r="K127" s="33">
        <f>IF(VLOOKUP($D127,$C$5:$AJ$596,9,)=0,0,((VLOOKUP($D127,$C$5:$AJ$596,9,)/VLOOKUP($D127,$C$5:$AJ$596,4,))*$F127))</f>
        <v>0</v>
      </c>
      <c r="L127" s="33">
        <f>IF(VLOOKUP($D127,$C$5:$AJ$596,10,)=0,0,((VLOOKUP($D127,$C$5:$AJ$596,10,)/VLOOKUP($D127,$C$5:$AJ$596,4,))*$F127))</f>
        <v>0</v>
      </c>
      <c r="M127" s="33">
        <f>IF(VLOOKUP($D127,$C$5:$AJ$596,11,)=0,0,((VLOOKUP($D127,$C$5:$AJ$596,11,)/VLOOKUP($D127,$C$5:$AJ$596,4,))*$F127))</f>
        <v>0</v>
      </c>
      <c r="N127" s="33"/>
      <c r="O127" s="33">
        <f>IF(VLOOKUP($D127,$C$5:$AJ$596,13,)=0,0,((VLOOKUP($D127,$C$5:$AJ$596,13,)/VLOOKUP($D127,$C$5:$AJ$596,4,))*$F127))</f>
        <v>0</v>
      </c>
      <c r="P127" s="33">
        <f>IF(VLOOKUP($D127,$C$5:$AJ$596,14,)=0,0,((VLOOKUP($D127,$C$5:$AJ$596,14,)/VLOOKUP($D127,$C$5:$AJ$596,4,))*$F127))</f>
        <v>0</v>
      </c>
      <c r="Q127" s="33">
        <f>IF(VLOOKUP($D127,$C$5:$AJ$596,15,)=0,0,((VLOOKUP($D127,$C$5:$AJ$596,15,)/VLOOKUP($D127,$C$5:$AJ$596,4,))*$F127))</f>
        <v>0</v>
      </c>
      <c r="R127" s="33"/>
      <c r="S127" s="33">
        <f>IF(VLOOKUP($D127,$C$5:$AJ$596,17,)=0,0,((VLOOKUP($D127,$C$5:$AJ$596,17,)/VLOOKUP($D127,$C$5:$AJ$596,4,))*$F127))</f>
        <v>0</v>
      </c>
      <c r="T127" s="33">
        <f>IF(VLOOKUP($D127,$C$5:$AJ$596,18,)=0,0,((VLOOKUP($D127,$C$5:$AJ$596,18,)/VLOOKUP($D127,$C$5:$AJ$596,4,))*$F127))</f>
        <v>39848094.663135588</v>
      </c>
      <c r="U127" s="33">
        <f>IF(VLOOKUP($D127,$C$5:$AJ$596,19,)=0,0,((VLOOKUP($D127,$C$5:$AJ$596,19,)/VLOOKUP($D127,$C$5:$AJ$596,4,))*$F127))</f>
        <v>0</v>
      </c>
      <c r="V127" s="33">
        <f>IF(VLOOKUP($D127,$C$5:$AJ$596,20,)=0,0,((VLOOKUP($D127,$C$5:$AJ$596,20,)/VLOOKUP($D127,$C$5:$AJ$596,4,))*$F127))</f>
        <v>32601062.400863938</v>
      </c>
      <c r="W127" s="33">
        <f>IF(VLOOKUP($D127,$C$5:$AJ$596,21,)=0,0,((VLOOKUP($D127,$C$5:$AJ$596,21,)/VLOOKUP($D127,$C$5:$AJ$596,4,))*$F127))</f>
        <v>61347404.570847087</v>
      </c>
      <c r="X127" s="33">
        <f>IF(VLOOKUP($D127,$C$5:$AJ$596,22,)=0,0,((VLOOKUP($D127,$C$5:$AJ$596,22,)/VLOOKUP($D127,$C$5:$AJ$596,4,))*$F127))</f>
        <v>17758329.220869519</v>
      </c>
      <c r="Y127" s="33">
        <f>IF(VLOOKUP($D127,$C$5:$AJ$596,23,)=0,0,((VLOOKUP($D127,$C$5:$AJ$596,23,)/VLOOKUP($D127,$C$5:$AJ$596,4,))*$F127))</f>
        <v>32896911.366609607</v>
      </c>
      <c r="Z127" s="33">
        <f>IF(VLOOKUP($D127,$C$5:$AJ$596,24,)=0,0,((VLOOKUP($D127,$C$5:$AJ$596,24,)/VLOOKUP($D127,$C$5:$AJ$596,4,))*$F127))</f>
        <v>24055768.130348954</v>
      </c>
      <c r="AA127" s="33">
        <f>IF(VLOOKUP($D127,$C$5:$AJ$596,25,)=0,0,((VLOOKUP($D127,$C$5:$AJ$596,25,)/VLOOKUP($D127,$C$5:$AJ$596,4,))*$F127))</f>
        <v>20862411.615240086</v>
      </c>
      <c r="AB127" s="33">
        <f>IF(VLOOKUP($D127,$C$5:$AJ$596,26,)=0,0,((VLOOKUP($D127,$C$5:$AJ$596,26,)/VLOOKUP($D127,$C$5:$AJ$596,4,))*$F127))</f>
        <v>15448573.222226968</v>
      </c>
      <c r="AC127" s="33">
        <f>IF(VLOOKUP($D127,$C$5:$AJ$596,27,)=0,0,((VLOOKUP($D127,$C$5:$AJ$596,27,)/VLOOKUP($D127,$C$5:$AJ$596,4,))*$F127))</f>
        <v>11038517.080089107</v>
      </c>
      <c r="AD127" s="33">
        <f>IF(VLOOKUP($D127,$C$5:$AJ$596,28,)=0,0,((VLOOKUP($D127,$C$5:$AJ$596,28,)/VLOOKUP($D127,$C$5:$AJ$596,4,))*$F127))</f>
        <v>18088273.134185888</v>
      </c>
      <c r="AE127" s="33"/>
      <c r="AF127" s="33">
        <f>IF(VLOOKUP($D127,$C$5:$AJ$596,30,)=0,0,((VLOOKUP($D127,$C$5:$AJ$596,30,)/VLOOKUP($D127,$C$5:$AJ$596,4,))*$F127))</f>
        <v>0</v>
      </c>
      <c r="AG127" s="33"/>
      <c r="AH127" s="33">
        <f>IF(VLOOKUP($D127,$C$5:$AJ$596,32,)=0,0,((VLOOKUP($D127,$C$5:$AJ$596,32,)/VLOOKUP($D127,$C$5:$AJ$596,4,))*$F127))</f>
        <v>0</v>
      </c>
      <c r="AI127" s="33"/>
      <c r="AJ127" s="33">
        <f>IF(VLOOKUP($D127,$C$5:$AJ$596,34,)=0,0,((VLOOKUP($D127,$C$5:$AJ$596,34,)/VLOOKUP($D127,$C$5:$AJ$596,4,))*$F127))</f>
        <v>0</v>
      </c>
      <c r="AK127" s="33">
        <f>SUM(H127:AJ127)</f>
        <v>273945345.4044168</v>
      </c>
      <c r="AL127" s="30" t="str">
        <f t="shared" si="80"/>
        <v>ok</v>
      </c>
    </row>
    <row r="128" spans="1:39" ht="15.6" x14ac:dyDescent="0.3">
      <c r="A128" s="9" t="s">
        <v>663</v>
      </c>
      <c r="C128" s="29" t="s">
        <v>658</v>
      </c>
      <c r="D128" s="139" t="s">
        <v>456</v>
      </c>
      <c r="E128" s="14"/>
      <c r="F128" s="33">
        <f>'Jurisdictional Study'!F886</f>
        <v>30699610.619607162</v>
      </c>
      <c r="H128" s="33">
        <f>IF(VLOOKUP($D128,$C$5:$AJ$596,6,)=0,0,((VLOOKUP($D128,$C$5:$AJ$596,6,)/VLOOKUP($D128,$C$5:$AJ$596,4,))*$F128))</f>
        <v>18452507.973673619</v>
      </c>
      <c r="I128" s="33">
        <f>IF(VLOOKUP($D128,$C$5:$AJ$596,7,)=0,0,((VLOOKUP($D128,$C$5:$AJ$596,7,)/VLOOKUP($D128,$C$5:$AJ$596,4,))*$F128))</f>
        <v>0</v>
      </c>
      <c r="J128" s="33">
        <f>IF(VLOOKUP($D128,$C$5:$AJ$596,8,)=0,0,((VLOOKUP($D128,$C$5:$AJ$596,8,)/VLOOKUP($D128,$C$5:$AJ$596,4,))*$F128))</f>
        <v>0</v>
      </c>
      <c r="K128" s="33">
        <f>IF(VLOOKUP($D128,$C$5:$AJ$596,9,)=0,0,((VLOOKUP($D128,$C$5:$AJ$596,9,)/VLOOKUP($D128,$C$5:$AJ$596,4,))*$F128))</f>
        <v>0</v>
      </c>
      <c r="L128" s="33">
        <f>IF(VLOOKUP($D128,$C$5:$AJ$596,10,)=0,0,((VLOOKUP($D128,$C$5:$AJ$596,10,)/VLOOKUP($D128,$C$5:$AJ$596,4,))*$F128))</f>
        <v>0</v>
      </c>
      <c r="M128" s="33">
        <f>IF(VLOOKUP($D128,$C$5:$AJ$596,11,)=0,0,((VLOOKUP($D128,$C$5:$AJ$596,11,)/VLOOKUP($D128,$C$5:$AJ$596,4,))*$F128))</f>
        <v>0</v>
      </c>
      <c r="N128" s="33"/>
      <c r="O128" s="33">
        <f>IF(VLOOKUP($D128,$C$5:$AJ$596,13,)=0,0,((VLOOKUP($D128,$C$5:$AJ$596,13,)/VLOOKUP($D128,$C$5:$AJ$596,4,))*$F128))</f>
        <v>4274310.1452012062</v>
      </c>
      <c r="P128" s="33">
        <f>IF(VLOOKUP($D128,$C$5:$AJ$596,14,)=0,0,((VLOOKUP($D128,$C$5:$AJ$596,14,)/VLOOKUP($D128,$C$5:$AJ$596,4,))*$F128))</f>
        <v>0</v>
      </c>
      <c r="Q128" s="33">
        <f>IF(VLOOKUP($D128,$C$5:$AJ$596,15,)=0,0,((VLOOKUP($D128,$C$5:$AJ$596,15,)/VLOOKUP($D128,$C$5:$AJ$596,4,))*$F128))</f>
        <v>0</v>
      </c>
      <c r="R128" s="33"/>
      <c r="S128" s="33">
        <f>IF(VLOOKUP($D128,$C$5:$AJ$596,17,)=0,0,((VLOOKUP($D128,$C$5:$AJ$596,17,)/VLOOKUP($D128,$C$5:$AJ$596,4,))*$F128))</f>
        <v>0</v>
      </c>
      <c r="T128" s="33">
        <f>IF(VLOOKUP($D128,$C$5:$AJ$596,18,)=0,0,((VLOOKUP($D128,$C$5:$AJ$596,18,)/VLOOKUP($D128,$C$5:$AJ$596,4,))*$F128))</f>
        <v>1159722.534543189</v>
      </c>
      <c r="U128" s="33">
        <f>IF(VLOOKUP($D128,$C$5:$AJ$596,19,)=0,0,((VLOOKUP($D128,$C$5:$AJ$596,19,)/VLOOKUP($D128,$C$5:$AJ$596,4,))*$F128))</f>
        <v>0</v>
      </c>
      <c r="V128" s="33">
        <f>IF(VLOOKUP($D128,$C$5:$AJ$596,20,)=0,0,((VLOOKUP($D128,$C$5:$AJ$596,20,)/VLOOKUP($D128,$C$5:$AJ$596,4,))*$F128))</f>
        <v>948807.89247140172</v>
      </c>
      <c r="W128" s="33">
        <f>IF(VLOOKUP($D128,$C$5:$AJ$596,21,)=0,0,((VLOOKUP($D128,$C$5:$AJ$596,21,)/VLOOKUP($D128,$C$5:$AJ$596,4,))*$F128))</f>
        <v>1785429.5950156935</v>
      </c>
      <c r="X128" s="33">
        <f>IF(VLOOKUP($D128,$C$5:$AJ$596,22,)=0,0,((VLOOKUP($D128,$C$5:$AJ$596,22,)/VLOOKUP($D128,$C$5:$AJ$596,4,))*$F128))</f>
        <v>516831.09938834398</v>
      </c>
      <c r="Y128" s="33">
        <f>IF(VLOOKUP($D128,$C$5:$AJ$596,23,)=0,0,((VLOOKUP($D128,$C$5:$AJ$596,23,)/VLOOKUP($D128,$C$5:$AJ$596,4,))*$F128))</f>
        <v>957418.15891693789</v>
      </c>
      <c r="Z128" s="33">
        <f>IF(VLOOKUP($D128,$C$5:$AJ$596,24,)=0,0,((VLOOKUP($D128,$C$5:$AJ$596,24,)/VLOOKUP($D128,$C$5:$AJ$596,4,))*$F128))</f>
        <v>700109.16763658146</v>
      </c>
      <c r="AA128" s="33">
        <f>IF(VLOOKUP($D128,$C$5:$AJ$596,25,)=0,0,((VLOOKUP($D128,$C$5:$AJ$596,25,)/VLOOKUP($D128,$C$5:$AJ$596,4,))*$F128))</f>
        <v>607171.03489247872</v>
      </c>
      <c r="AB128" s="33">
        <f>IF(VLOOKUP($D128,$C$5:$AJ$596,26,)=0,0,((VLOOKUP($D128,$C$5:$AJ$596,26,)/VLOOKUP($D128,$C$5:$AJ$596,4,))*$F128))</f>
        <v>449608.91214032535</v>
      </c>
      <c r="AC128" s="33">
        <f>IF(VLOOKUP($D128,$C$5:$AJ$596,27,)=0,0,((VLOOKUP($D128,$C$5:$AJ$596,27,)/VLOOKUP($D128,$C$5:$AJ$596,4,))*$F128))</f>
        <v>321260.45458234416</v>
      </c>
      <c r="AD128" s="33">
        <f>IF(VLOOKUP($D128,$C$5:$AJ$596,28,)=0,0,((VLOOKUP($D128,$C$5:$AJ$596,28,)/VLOOKUP($D128,$C$5:$AJ$596,4,))*$F128))</f>
        <v>526433.65114503703</v>
      </c>
      <c r="AE128" s="33"/>
      <c r="AF128" s="33">
        <f>IF(VLOOKUP($D128,$C$5:$AJ$596,30,)=0,0,((VLOOKUP($D128,$C$5:$AJ$596,30,)/VLOOKUP($D128,$C$5:$AJ$596,4,))*$F128))</f>
        <v>0</v>
      </c>
      <c r="AG128" s="33"/>
      <c r="AH128" s="33">
        <f>IF(VLOOKUP($D128,$C$5:$AJ$596,32,)=0,0,((VLOOKUP($D128,$C$5:$AJ$596,32,)/VLOOKUP($D128,$C$5:$AJ$596,4,))*$F128))</f>
        <v>0</v>
      </c>
      <c r="AI128" s="33"/>
      <c r="AJ128" s="33">
        <f>IF(VLOOKUP($D128,$C$5:$AJ$596,34,)=0,0,((VLOOKUP($D128,$C$5:$AJ$596,34,)/VLOOKUP($D128,$C$5:$AJ$596,4,))*$F128))</f>
        <v>0</v>
      </c>
      <c r="AK128" s="33">
        <f>SUM(H128:AJ128)</f>
        <v>30699610.619607158</v>
      </c>
      <c r="AL128" s="30" t="str">
        <f t="shared" si="80"/>
        <v>ok</v>
      </c>
    </row>
    <row r="129" spans="1:38" ht="15.6" x14ac:dyDescent="0.3">
      <c r="A129" s="10"/>
      <c r="D129" s="139"/>
      <c r="E129" s="14"/>
      <c r="F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0"/>
    </row>
    <row r="130" spans="1:38" ht="15.6" x14ac:dyDescent="0.3">
      <c r="A130" s="26" t="s">
        <v>665</v>
      </c>
      <c r="C130" s="29" t="s">
        <v>664</v>
      </c>
      <c r="D130" s="139"/>
      <c r="E130" s="14"/>
      <c r="F130" s="33">
        <f>SUM(F125:F129)</f>
        <v>976331381.04847074</v>
      </c>
      <c r="H130" s="33">
        <f t="shared" ref="H130:M130" si="81">SUM(H125:H129)</f>
        <v>530018493.83485585</v>
      </c>
      <c r="I130" s="33">
        <f t="shared" si="81"/>
        <v>0</v>
      </c>
      <c r="J130" s="33">
        <f t="shared" si="81"/>
        <v>0</v>
      </c>
      <c r="K130" s="33">
        <f t="shared" si="81"/>
        <v>0</v>
      </c>
      <c r="L130" s="33">
        <f t="shared" si="81"/>
        <v>0</v>
      </c>
      <c r="M130" s="33">
        <f t="shared" si="81"/>
        <v>0</v>
      </c>
      <c r="N130" s="33"/>
      <c r="O130" s="33">
        <f>SUM(O125:O129)</f>
        <v>164394749.30846575</v>
      </c>
      <c r="P130" s="33">
        <f>SUM(P125:P129)</f>
        <v>0</v>
      </c>
      <c r="Q130" s="33">
        <f>SUM(Q125:Q129)</f>
        <v>0</v>
      </c>
      <c r="R130" s="33"/>
      <c r="S130" s="33">
        <f t="shared" ref="S130:AD130" si="82">SUM(S125:S129)</f>
        <v>0</v>
      </c>
      <c r="T130" s="33">
        <f t="shared" si="82"/>
        <v>41007817.197678775</v>
      </c>
      <c r="U130" s="33">
        <f t="shared" si="82"/>
        <v>0</v>
      </c>
      <c r="V130" s="33">
        <f t="shared" si="82"/>
        <v>33549870.293335341</v>
      </c>
      <c r="W130" s="33">
        <f t="shared" si="82"/>
        <v>63132834.165862784</v>
      </c>
      <c r="X130" s="33">
        <f t="shared" si="82"/>
        <v>18275160.320257861</v>
      </c>
      <c r="Y130" s="33">
        <f t="shared" si="82"/>
        <v>33854329.525526546</v>
      </c>
      <c r="Z130" s="33">
        <f t="shared" si="82"/>
        <v>24755877.297985535</v>
      </c>
      <c r="AA130" s="33">
        <f t="shared" si="82"/>
        <v>21469582.650132563</v>
      </c>
      <c r="AB130" s="33">
        <f t="shared" si="82"/>
        <v>15898182.134367293</v>
      </c>
      <c r="AC130" s="33">
        <f t="shared" si="82"/>
        <v>11359777.534671452</v>
      </c>
      <c r="AD130" s="33">
        <f t="shared" si="82"/>
        <v>18614706.785330925</v>
      </c>
      <c r="AE130" s="33"/>
      <c r="AF130" s="33">
        <f>SUM(AF125:AF129)</f>
        <v>0</v>
      </c>
      <c r="AG130" s="33"/>
      <c r="AH130" s="33">
        <f>SUM(AH125:AH129)</f>
        <v>0</v>
      </c>
      <c r="AI130" s="33"/>
      <c r="AJ130" s="33">
        <f>SUM(AJ125:AJ129)</f>
        <v>0</v>
      </c>
      <c r="AK130" s="33">
        <f>SUM(AK125:AK129)</f>
        <v>976331381.04847074</v>
      </c>
      <c r="AL130" s="30" t="str">
        <f t="shared" si="80"/>
        <v>ok</v>
      </c>
    </row>
    <row r="131" spans="1:38" ht="15.6" x14ac:dyDescent="0.3">
      <c r="A131" s="42"/>
      <c r="D131" s="139"/>
      <c r="E131" s="14"/>
      <c r="F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0"/>
    </row>
    <row r="132" spans="1:38" ht="15.6" x14ac:dyDescent="0.3">
      <c r="A132" s="9" t="s">
        <v>673</v>
      </c>
      <c r="D132" s="139"/>
      <c r="E132" s="14"/>
      <c r="F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0"/>
    </row>
    <row r="133" spans="1:38" ht="15.6" x14ac:dyDescent="0.3">
      <c r="A133" s="9" t="s">
        <v>674</v>
      </c>
      <c r="C133" s="29" t="s">
        <v>666</v>
      </c>
      <c r="D133" s="139" t="s">
        <v>682</v>
      </c>
      <c r="E133" s="14"/>
      <c r="F133" s="32">
        <f>'Jurisdictional Study'!F891</f>
        <v>84144326.90693669</v>
      </c>
      <c r="H133" s="33">
        <f t="shared" ref="H133:H138" si="83">IF(VLOOKUP($D133,$C$5:$AJ$596,6,)=0,0,((VLOOKUP($D133,$C$5:$AJ$596,6,)/VLOOKUP($D133,$C$5:$AJ$596,4,))*$F133))</f>
        <v>84144326.90693669</v>
      </c>
      <c r="I133" s="33">
        <f t="shared" ref="I133:I138" si="84">IF(VLOOKUP($D133,$C$5:$AJ$596,7,)=0,0,((VLOOKUP($D133,$C$5:$AJ$596,7,)/VLOOKUP($D133,$C$5:$AJ$596,4,))*$F133))</f>
        <v>0</v>
      </c>
      <c r="J133" s="33">
        <f t="shared" ref="J133:J138" si="85">IF(VLOOKUP($D133,$C$5:$AJ$596,8,)=0,0,((VLOOKUP($D133,$C$5:$AJ$596,8,)/VLOOKUP($D133,$C$5:$AJ$596,4,))*$F133))</f>
        <v>0</v>
      </c>
      <c r="K133" s="33">
        <f t="shared" ref="K133:K138" si="86">IF(VLOOKUP($D133,$C$5:$AJ$596,9,)=0,0,((VLOOKUP($D133,$C$5:$AJ$596,9,)/VLOOKUP($D133,$C$5:$AJ$596,4,))*$F133))</f>
        <v>0</v>
      </c>
      <c r="L133" s="33">
        <f t="shared" ref="L133:L138" si="87">IF(VLOOKUP($D133,$C$5:$AJ$596,10,)=0,0,((VLOOKUP($D133,$C$5:$AJ$596,10,)/VLOOKUP($D133,$C$5:$AJ$596,4,))*$F133))</f>
        <v>0</v>
      </c>
      <c r="M133" s="33">
        <f t="shared" ref="M133:M138" si="88">IF(VLOOKUP($D133,$C$5:$AJ$596,11,)=0,0,((VLOOKUP($D133,$C$5:$AJ$596,11,)/VLOOKUP($D133,$C$5:$AJ$596,4,))*$F133))</f>
        <v>0</v>
      </c>
      <c r="N133" s="33"/>
      <c r="O133" s="33">
        <f t="shared" ref="O133:O138" si="89">IF(VLOOKUP($D133,$C$5:$AJ$596,13,)=0,0,((VLOOKUP($D133,$C$5:$AJ$596,13,)/VLOOKUP($D133,$C$5:$AJ$596,4,))*$F133))</f>
        <v>0</v>
      </c>
      <c r="P133" s="33">
        <f t="shared" ref="P133:P138" si="90">IF(VLOOKUP($D133,$C$5:$AJ$596,14,)=0,0,((VLOOKUP($D133,$C$5:$AJ$596,14,)/VLOOKUP($D133,$C$5:$AJ$596,4,))*$F133))</f>
        <v>0</v>
      </c>
      <c r="Q133" s="33">
        <f t="shared" ref="Q133:Q138" si="91">IF(VLOOKUP($D133,$C$5:$AJ$596,15,)=0,0,((VLOOKUP($D133,$C$5:$AJ$596,15,)/VLOOKUP($D133,$C$5:$AJ$596,4,))*$F133))</f>
        <v>0</v>
      </c>
      <c r="R133" s="33"/>
      <c r="S133" s="33">
        <f t="shared" ref="S133:S138" si="92">IF(VLOOKUP($D133,$C$5:$AJ$596,17,)=0,0,((VLOOKUP($D133,$C$5:$AJ$596,17,)/VLOOKUP($D133,$C$5:$AJ$596,4,))*$F133))</f>
        <v>0</v>
      </c>
      <c r="T133" s="33">
        <f t="shared" ref="T133:T138" si="93">IF(VLOOKUP($D133,$C$5:$AJ$596,18,)=0,0,((VLOOKUP($D133,$C$5:$AJ$596,18,)/VLOOKUP($D133,$C$5:$AJ$596,4,))*$F133))</f>
        <v>0</v>
      </c>
      <c r="U133" s="33">
        <f t="shared" ref="U133:U138" si="94">IF(VLOOKUP($D133,$C$5:$AJ$596,19,)=0,0,((VLOOKUP($D133,$C$5:$AJ$596,19,)/VLOOKUP($D133,$C$5:$AJ$596,4,))*$F133))</f>
        <v>0</v>
      </c>
      <c r="V133" s="33">
        <f t="shared" ref="V133:V138" si="95">IF(VLOOKUP($D133,$C$5:$AJ$596,20,)=0,0,((VLOOKUP($D133,$C$5:$AJ$596,20,)/VLOOKUP($D133,$C$5:$AJ$596,4,))*$F133))</f>
        <v>0</v>
      </c>
      <c r="W133" s="33">
        <f t="shared" ref="W133:W138" si="96">IF(VLOOKUP($D133,$C$5:$AJ$596,21,)=0,0,((VLOOKUP($D133,$C$5:$AJ$596,21,)/VLOOKUP($D133,$C$5:$AJ$596,4,))*$F133))</f>
        <v>0</v>
      </c>
      <c r="X133" s="33">
        <f t="shared" ref="X133:X138" si="97">IF(VLOOKUP($D133,$C$5:$AJ$596,22,)=0,0,((VLOOKUP($D133,$C$5:$AJ$596,22,)/VLOOKUP($D133,$C$5:$AJ$596,4,))*$F133))</f>
        <v>0</v>
      </c>
      <c r="Y133" s="33">
        <f t="shared" ref="Y133:Y138" si="98">IF(VLOOKUP($D133,$C$5:$AJ$596,23,)=0,0,((VLOOKUP($D133,$C$5:$AJ$596,23,)/VLOOKUP($D133,$C$5:$AJ$596,4,))*$F133))</f>
        <v>0</v>
      </c>
      <c r="Z133" s="33">
        <f t="shared" ref="Z133:Z138" si="99">IF(VLOOKUP($D133,$C$5:$AJ$596,24,)=0,0,((VLOOKUP($D133,$C$5:$AJ$596,24,)/VLOOKUP($D133,$C$5:$AJ$596,4,))*$F133))</f>
        <v>0</v>
      </c>
      <c r="AA133" s="33">
        <f t="shared" ref="AA133:AA138" si="100">IF(VLOOKUP($D133,$C$5:$AJ$596,25,)=0,0,((VLOOKUP($D133,$C$5:$AJ$596,25,)/VLOOKUP($D133,$C$5:$AJ$596,4,))*$F133))</f>
        <v>0</v>
      </c>
      <c r="AB133" s="33">
        <f t="shared" ref="AB133:AB138" si="101">IF(VLOOKUP($D133,$C$5:$AJ$596,26,)=0,0,((VLOOKUP($D133,$C$5:$AJ$596,26,)/VLOOKUP($D133,$C$5:$AJ$596,4,))*$F133))</f>
        <v>0</v>
      </c>
      <c r="AC133" s="33">
        <f t="shared" ref="AC133:AC138" si="102">IF(VLOOKUP($D133,$C$5:$AJ$596,27,)=0,0,((VLOOKUP($D133,$C$5:$AJ$596,27,)/VLOOKUP($D133,$C$5:$AJ$596,4,))*$F133))</f>
        <v>0</v>
      </c>
      <c r="AD133" s="33">
        <f t="shared" ref="AD133:AD138" si="103">IF(VLOOKUP($D133,$C$5:$AJ$596,28,)=0,0,((VLOOKUP($D133,$C$5:$AJ$596,28,)/VLOOKUP($D133,$C$5:$AJ$596,4,))*$F133))</f>
        <v>0</v>
      </c>
      <c r="AE133" s="33"/>
      <c r="AF133" s="33">
        <f t="shared" ref="AF133:AF138" si="104">IF(VLOOKUP($D133,$C$5:$AJ$596,30,)=0,0,((VLOOKUP($D133,$C$5:$AJ$596,30,)/VLOOKUP($D133,$C$5:$AJ$596,4,))*$F133))</f>
        <v>0</v>
      </c>
      <c r="AG133" s="33"/>
      <c r="AH133" s="33">
        <f t="shared" ref="AH133:AH138" si="105">IF(VLOOKUP($D133,$C$5:$AJ$596,32,)=0,0,((VLOOKUP($D133,$C$5:$AJ$596,32,)/VLOOKUP($D133,$C$5:$AJ$596,4,))*$F133))</f>
        <v>0</v>
      </c>
      <c r="AI133" s="33"/>
      <c r="AJ133" s="33">
        <f t="shared" ref="AJ133:AJ138" si="106">IF(VLOOKUP($D133,$C$5:$AJ$596,34,)=0,0,((VLOOKUP($D133,$C$5:$AJ$596,34,)/VLOOKUP($D133,$C$5:$AJ$596,4,))*$F133))</f>
        <v>0</v>
      </c>
      <c r="AK133" s="33">
        <f t="shared" ref="AK133:AK138" si="107">SUM(H133:AJ133)</f>
        <v>84144326.90693669</v>
      </c>
      <c r="AL133" s="30" t="str">
        <f t="shared" ref="AL133:AL140" si="108">IF(ABS(AK133-F133)&lt;1,"ok","err")</f>
        <v>ok</v>
      </c>
    </row>
    <row r="134" spans="1:38" ht="15.6" x14ac:dyDescent="0.3">
      <c r="A134" s="9" t="s">
        <v>675</v>
      </c>
      <c r="C134" s="29" t="s">
        <v>671</v>
      </c>
      <c r="D134" s="139" t="s">
        <v>455</v>
      </c>
      <c r="E134" s="14"/>
      <c r="F134" s="33">
        <f>'Jurisdictional Study'!F892</f>
        <v>0</v>
      </c>
      <c r="H134" s="33">
        <f t="shared" si="83"/>
        <v>0</v>
      </c>
      <c r="I134" s="33">
        <f t="shared" si="84"/>
        <v>0</v>
      </c>
      <c r="J134" s="33">
        <f t="shared" si="85"/>
        <v>0</v>
      </c>
      <c r="K134" s="33">
        <f t="shared" si="86"/>
        <v>0</v>
      </c>
      <c r="L134" s="33">
        <f t="shared" si="87"/>
        <v>0</v>
      </c>
      <c r="M134" s="33">
        <f t="shared" si="88"/>
        <v>0</v>
      </c>
      <c r="N134" s="33"/>
      <c r="O134" s="33">
        <f t="shared" si="89"/>
        <v>0</v>
      </c>
      <c r="P134" s="33">
        <f t="shared" si="90"/>
        <v>0</v>
      </c>
      <c r="Q134" s="33">
        <f t="shared" si="91"/>
        <v>0</v>
      </c>
      <c r="R134" s="33"/>
      <c r="S134" s="33">
        <f t="shared" si="92"/>
        <v>0</v>
      </c>
      <c r="T134" s="33">
        <f t="shared" si="93"/>
        <v>0</v>
      </c>
      <c r="U134" s="33">
        <f t="shared" si="94"/>
        <v>0</v>
      </c>
      <c r="V134" s="33">
        <f t="shared" si="95"/>
        <v>0</v>
      </c>
      <c r="W134" s="33">
        <f t="shared" si="96"/>
        <v>0</v>
      </c>
      <c r="X134" s="33">
        <f t="shared" si="97"/>
        <v>0</v>
      </c>
      <c r="Y134" s="33">
        <f t="shared" si="98"/>
        <v>0</v>
      </c>
      <c r="Z134" s="33">
        <f t="shared" si="99"/>
        <v>0</v>
      </c>
      <c r="AA134" s="33">
        <f t="shared" si="100"/>
        <v>0</v>
      </c>
      <c r="AB134" s="33">
        <f t="shared" si="101"/>
        <v>0</v>
      </c>
      <c r="AC134" s="33">
        <f t="shared" si="102"/>
        <v>0</v>
      </c>
      <c r="AD134" s="33">
        <f t="shared" si="103"/>
        <v>0</v>
      </c>
      <c r="AE134" s="33"/>
      <c r="AF134" s="33">
        <f t="shared" si="104"/>
        <v>0</v>
      </c>
      <c r="AG134" s="33"/>
      <c r="AH134" s="33">
        <f t="shared" si="105"/>
        <v>0</v>
      </c>
      <c r="AI134" s="33"/>
      <c r="AJ134" s="33">
        <f t="shared" si="106"/>
        <v>0</v>
      </c>
      <c r="AK134" s="33">
        <f t="shared" si="107"/>
        <v>0</v>
      </c>
      <c r="AL134" s="30" t="str">
        <f t="shared" si="108"/>
        <v>ok</v>
      </c>
    </row>
    <row r="135" spans="1:38" ht="15.6" x14ac:dyDescent="0.3">
      <c r="A135" s="9" t="s">
        <v>676</v>
      </c>
      <c r="C135" s="29" t="s">
        <v>672</v>
      </c>
      <c r="D135" s="139" t="s">
        <v>455</v>
      </c>
      <c r="E135" s="14"/>
      <c r="F135" s="33">
        <f>'Jurisdictional Study'!F893</f>
        <v>0</v>
      </c>
      <c r="H135" s="33">
        <f t="shared" si="83"/>
        <v>0</v>
      </c>
      <c r="I135" s="33">
        <f t="shared" si="84"/>
        <v>0</v>
      </c>
      <c r="J135" s="33">
        <f t="shared" si="85"/>
        <v>0</v>
      </c>
      <c r="K135" s="33">
        <f t="shared" si="86"/>
        <v>0</v>
      </c>
      <c r="L135" s="33">
        <f t="shared" si="87"/>
        <v>0</v>
      </c>
      <c r="M135" s="33">
        <f t="shared" si="88"/>
        <v>0</v>
      </c>
      <c r="N135" s="33"/>
      <c r="O135" s="33">
        <f t="shared" si="89"/>
        <v>0</v>
      </c>
      <c r="P135" s="33">
        <f t="shared" si="90"/>
        <v>0</v>
      </c>
      <c r="Q135" s="33">
        <f t="shared" si="91"/>
        <v>0</v>
      </c>
      <c r="R135" s="33"/>
      <c r="S135" s="33">
        <f t="shared" si="92"/>
        <v>0</v>
      </c>
      <c r="T135" s="33">
        <f t="shared" si="93"/>
        <v>0</v>
      </c>
      <c r="U135" s="33">
        <f t="shared" si="94"/>
        <v>0</v>
      </c>
      <c r="V135" s="33">
        <f t="shared" si="95"/>
        <v>0</v>
      </c>
      <c r="W135" s="33">
        <f t="shared" si="96"/>
        <v>0</v>
      </c>
      <c r="X135" s="33">
        <f t="shared" si="97"/>
        <v>0</v>
      </c>
      <c r="Y135" s="33">
        <f t="shared" si="98"/>
        <v>0</v>
      </c>
      <c r="Z135" s="33">
        <f t="shared" si="99"/>
        <v>0</v>
      </c>
      <c r="AA135" s="33">
        <f t="shared" si="100"/>
        <v>0</v>
      </c>
      <c r="AB135" s="33">
        <f t="shared" si="101"/>
        <v>0</v>
      </c>
      <c r="AC135" s="33">
        <f t="shared" si="102"/>
        <v>0</v>
      </c>
      <c r="AD135" s="33">
        <f t="shared" si="103"/>
        <v>0</v>
      </c>
      <c r="AE135" s="33"/>
      <c r="AF135" s="33">
        <f t="shared" si="104"/>
        <v>0</v>
      </c>
      <c r="AG135" s="33"/>
      <c r="AH135" s="33">
        <f t="shared" si="105"/>
        <v>0</v>
      </c>
      <c r="AI135" s="33"/>
      <c r="AJ135" s="33">
        <f t="shared" si="106"/>
        <v>0</v>
      </c>
      <c r="AK135" s="33">
        <f t="shared" si="107"/>
        <v>0</v>
      </c>
      <c r="AL135" s="30" t="str">
        <f t="shared" si="108"/>
        <v>ok</v>
      </c>
    </row>
    <row r="136" spans="1:38" ht="15.6" x14ac:dyDescent="0.3">
      <c r="A136" s="9" t="s">
        <v>677</v>
      </c>
      <c r="C136" s="29" t="s">
        <v>670</v>
      </c>
      <c r="D136" s="139" t="s">
        <v>109</v>
      </c>
      <c r="E136" s="14"/>
      <c r="F136" s="33">
        <f>'Jurisdictional Study'!F894</f>
        <v>0</v>
      </c>
      <c r="H136" s="33">
        <f t="shared" si="83"/>
        <v>0</v>
      </c>
      <c r="I136" s="33">
        <f t="shared" si="84"/>
        <v>0</v>
      </c>
      <c r="J136" s="33">
        <f t="shared" si="85"/>
        <v>0</v>
      </c>
      <c r="K136" s="33">
        <f t="shared" si="86"/>
        <v>0</v>
      </c>
      <c r="L136" s="33">
        <f t="shared" si="87"/>
        <v>0</v>
      </c>
      <c r="M136" s="33">
        <f t="shared" si="88"/>
        <v>0</v>
      </c>
      <c r="N136" s="33"/>
      <c r="O136" s="33">
        <f t="shared" si="89"/>
        <v>0</v>
      </c>
      <c r="P136" s="33">
        <f t="shared" si="90"/>
        <v>0</v>
      </c>
      <c r="Q136" s="33">
        <f t="shared" si="91"/>
        <v>0</v>
      </c>
      <c r="R136" s="33"/>
      <c r="S136" s="33">
        <f t="shared" si="92"/>
        <v>0</v>
      </c>
      <c r="T136" s="33">
        <f t="shared" si="93"/>
        <v>0</v>
      </c>
      <c r="U136" s="33">
        <f t="shared" si="94"/>
        <v>0</v>
      </c>
      <c r="V136" s="33">
        <f t="shared" si="95"/>
        <v>0</v>
      </c>
      <c r="W136" s="33">
        <f t="shared" si="96"/>
        <v>0</v>
      </c>
      <c r="X136" s="33">
        <f t="shared" si="97"/>
        <v>0</v>
      </c>
      <c r="Y136" s="33">
        <f t="shared" si="98"/>
        <v>0</v>
      </c>
      <c r="Z136" s="33">
        <f t="shared" si="99"/>
        <v>0</v>
      </c>
      <c r="AA136" s="33">
        <f t="shared" si="100"/>
        <v>0</v>
      </c>
      <c r="AB136" s="33">
        <f t="shared" si="101"/>
        <v>0</v>
      </c>
      <c r="AC136" s="33">
        <f t="shared" si="102"/>
        <v>0</v>
      </c>
      <c r="AD136" s="33">
        <f t="shared" si="103"/>
        <v>0</v>
      </c>
      <c r="AE136" s="33"/>
      <c r="AF136" s="33">
        <f t="shared" si="104"/>
        <v>0</v>
      </c>
      <c r="AG136" s="33"/>
      <c r="AH136" s="33">
        <f t="shared" si="105"/>
        <v>0</v>
      </c>
      <c r="AI136" s="33"/>
      <c r="AJ136" s="33">
        <f t="shared" si="106"/>
        <v>0</v>
      </c>
      <c r="AK136" s="33">
        <f t="shared" si="107"/>
        <v>0</v>
      </c>
      <c r="AL136" s="30" t="str">
        <f t="shared" si="108"/>
        <v>ok</v>
      </c>
    </row>
    <row r="137" spans="1:38" ht="15.6" x14ac:dyDescent="0.3">
      <c r="A137" s="9" t="s">
        <v>679</v>
      </c>
      <c r="C137" s="29" t="s">
        <v>669</v>
      </c>
      <c r="D137" s="139" t="s">
        <v>109</v>
      </c>
      <c r="E137" s="14"/>
      <c r="F137" s="33">
        <f>'Jurisdictional Study'!F895</f>
        <v>0</v>
      </c>
      <c r="H137" s="33">
        <f t="shared" si="83"/>
        <v>0</v>
      </c>
      <c r="I137" s="33">
        <f t="shared" si="84"/>
        <v>0</v>
      </c>
      <c r="J137" s="33">
        <f t="shared" si="85"/>
        <v>0</v>
      </c>
      <c r="K137" s="33">
        <f t="shared" si="86"/>
        <v>0</v>
      </c>
      <c r="L137" s="33">
        <f t="shared" si="87"/>
        <v>0</v>
      </c>
      <c r="M137" s="33">
        <f t="shared" si="88"/>
        <v>0</v>
      </c>
      <c r="N137" s="33"/>
      <c r="O137" s="33">
        <f t="shared" si="89"/>
        <v>0</v>
      </c>
      <c r="P137" s="33">
        <f t="shared" si="90"/>
        <v>0</v>
      </c>
      <c r="Q137" s="33">
        <f t="shared" si="91"/>
        <v>0</v>
      </c>
      <c r="R137" s="33"/>
      <c r="S137" s="33">
        <f t="shared" si="92"/>
        <v>0</v>
      </c>
      <c r="T137" s="33">
        <f t="shared" si="93"/>
        <v>0</v>
      </c>
      <c r="U137" s="33">
        <f t="shared" si="94"/>
        <v>0</v>
      </c>
      <c r="V137" s="33">
        <f t="shared" si="95"/>
        <v>0</v>
      </c>
      <c r="W137" s="33">
        <f t="shared" si="96"/>
        <v>0</v>
      </c>
      <c r="X137" s="33">
        <f t="shared" si="97"/>
        <v>0</v>
      </c>
      <c r="Y137" s="33">
        <f t="shared" si="98"/>
        <v>0</v>
      </c>
      <c r="Z137" s="33">
        <f t="shared" si="99"/>
        <v>0</v>
      </c>
      <c r="AA137" s="33">
        <f t="shared" si="100"/>
        <v>0</v>
      </c>
      <c r="AB137" s="33">
        <f t="shared" si="101"/>
        <v>0</v>
      </c>
      <c r="AC137" s="33">
        <f t="shared" si="102"/>
        <v>0</v>
      </c>
      <c r="AD137" s="33">
        <f t="shared" si="103"/>
        <v>0</v>
      </c>
      <c r="AE137" s="33"/>
      <c r="AF137" s="33">
        <f t="shared" si="104"/>
        <v>0</v>
      </c>
      <c r="AG137" s="33"/>
      <c r="AH137" s="33">
        <f t="shared" si="105"/>
        <v>0</v>
      </c>
      <c r="AI137" s="33"/>
      <c r="AJ137" s="33">
        <f t="shared" si="106"/>
        <v>0</v>
      </c>
      <c r="AK137" s="33">
        <f t="shared" si="107"/>
        <v>0</v>
      </c>
      <c r="AL137" s="30" t="str">
        <f t="shared" si="108"/>
        <v>ok</v>
      </c>
    </row>
    <row r="138" spans="1:38" ht="15.6" x14ac:dyDescent="0.3">
      <c r="A138" s="9" t="s">
        <v>147</v>
      </c>
      <c r="C138" s="29" t="s">
        <v>668</v>
      </c>
      <c r="D138" s="139" t="s">
        <v>456</v>
      </c>
      <c r="E138" s="14"/>
      <c r="F138" s="33">
        <f>'Jurisdictional Study'!F896</f>
        <v>0</v>
      </c>
      <c r="H138" s="33">
        <f t="shared" si="83"/>
        <v>0</v>
      </c>
      <c r="I138" s="33">
        <f t="shared" si="84"/>
        <v>0</v>
      </c>
      <c r="J138" s="33">
        <f t="shared" si="85"/>
        <v>0</v>
      </c>
      <c r="K138" s="33">
        <f t="shared" si="86"/>
        <v>0</v>
      </c>
      <c r="L138" s="33">
        <f t="shared" si="87"/>
        <v>0</v>
      </c>
      <c r="M138" s="33">
        <f t="shared" si="88"/>
        <v>0</v>
      </c>
      <c r="N138" s="33"/>
      <c r="O138" s="33">
        <f t="shared" si="89"/>
        <v>0</v>
      </c>
      <c r="P138" s="33">
        <f t="shared" si="90"/>
        <v>0</v>
      </c>
      <c r="Q138" s="33">
        <f t="shared" si="91"/>
        <v>0</v>
      </c>
      <c r="R138" s="33"/>
      <c r="S138" s="33">
        <f t="shared" si="92"/>
        <v>0</v>
      </c>
      <c r="T138" s="33">
        <f t="shared" si="93"/>
        <v>0</v>
      </c>
      <c r="U138" s="33">
        <f t="shared" si="94"/>
        <v>0</v>
      </c>
      <c r="V138" s="33">
        <f t="shared" si="95"/>
        <v>0</v>
      </c>
      <c r="W138" s="33">
        <f t="shared" si="96"/>
        <v>0</v>
      </c>
      <c r="X138" s="33">
        <f t="shared" si="97"/>
        <v>0</v>
      </c>
      <c r="Y138" s="33">
        <f t="shared" si="98"/>
        <v>0</v>
      </c>
      <c r="Z138" s="33">
        <f t="shared" si="99"/>
        <v>0</v>
      </c>
      <c r="AA138" s="33">
        <f t="shared" si="100"/>
        <v>0</v>
      </c>
      <c r="AB138" s="33">
        <f t="shared" si="101"/>
        <v>0</v>
      </c>
      <c r="AC138" s="33">
        <f t="shared" si="102"/>
        <v>0</v>
      </c>
      <c r="AD138" s="33">
        <f t="shared" si="103"/>
        <v>0</v>
      </c>
      <c r="AE138" s="33"/>
      <c r="AF138" s="33">
        <f t="shared" si="104"/>
        <v>0</v>
      </c>
      <c r="AG138" s="33"/>
      <c r="AH138" s="33">
        <f t="shared" si="105"/>
        <v>0</v>
      </c>
      <c r="AI138" s="33"/>
      <c r="AJ138" s="33">
        <f t="shared" si="106"/>
        <v>0</v>
      </c>
      <c r="AK138" s="33">
        <f t="shared" si="107"/>
        <v>0</v>
      </c>
      <c r="AL138" s="30" t="str">
        <f t="shared" si="108"/>
        <v>ok</v>
      </c>
    </row>
    <row r="139" spans="1:38" ht="15.6" x14ac:dyDescent="0.3">
      <c r="A139" s="9"/>
      <c r="D139" s="139"/>
      <c r="E139" s="14"/>
      <c r="F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0"/>
    </row>
    <row r="140" spans="1:38" ht="15.6" x14ac:dyDescent="0.3">
      <c r="A140" s="26" t="s">
        <v>678</v>
      </c>
      <c r="C140" s="29" t="s">
        <v>667</v>
      </c>
      <c r="D140" s="139"/>
      <c r="E140" s="14"/>
      <c r="F140" s="33">
        <f>SUM(F133:F139)</f>
        <v>84144326.90693669</v>
      </c>
      <c r="H140" s="33">
        <f t="shared" ref="H140:M140" si="109">SUM(H133:H139)</f>
        <v>84144326.90693669</v>
      </c>
      <c r="I140" s="33">
        <f t="shared" si="109"/>
        <v>0</v>
      </c>
      <c r="J140" s="33">
        <f t="shared" si="109"/>
        <v>0</v>
      </c>
      <c r="K140" s="33">
        <f t="shared" si="109"/>
        <v>0</v>
      </c>
      <c r="L140" s="33">
        <f t="shared" si="109"/>
        <v>0</v>
      </c>
      <c r="M140" s="33">
        <f t="shared" si="109"/>
        <v>0</v>
      </c>
      <c r="N140" s="33"/>
      <c r="O140" s="33">
        <f>SUM(O133:O139)</f>
        <v>0</v>
      </c>
      <c r="P140" s="33">
        <f>SUM(P133:P139)</f>
        <v>0</v>
      </c>
      <c r="Q140" s="33">
        <f>SUM(Q133:Q139)</f>
        <v>0</v>
      </c>
      <c r="R140" s="33"/>
      <c r="S140" s="33">
        <f t="shared" ref="S140:AD140" si="110">SUM(S133:S139)</f>
        <v>0</v>
      </c>
      <c r="T140" s="33">
        <f t="shared" si="110"/>
        <v>0</v>
      </c>
      <c r="U140" s="33">
        <f t="shared" si="110"/>
        <v>0</v>
      </c>
      <c r="V140" s="33">
        <f t="shared" si="110"/>
        <v>0</v>
      </c>
      <c r="W140" s="33">
        <f t="shared" si="110"/>
        <v>0</v>
      </c>
      <c r="X140" s="33">
        <f t="shared" si="110"/>
        <v>0</v>
      </c>
      <c r="Y140" s="33">
        <f t="shared" si="110"/>
        <v>0</v>
      </c>
      <c r="Z140" s="33">
        <f t="shared" si="110"/>
        <v>0</v>
      </c>
      <c r="AA140" s="33">
        <f t="shared" si="110"/>
        <v>0</v>
      </c>
      <c r="AB140" s="33">
        <f t="shared" si="110"/>
        <v>0</v>
      </c>
      <c r="AC140" s="33">
        <f t="shared" si="110"/>
        <v>0</v>
      </c>
      <c r="AD140" s="33">
        <f t="shared" si="110"/>
        <v>0</v>
      </c>
      <c r="AE140" s="33"/>
      <c r="AF140" s="33">
        <f>SUM(AF133:AF139)</f>
        <v>0</v>
      </c>
      <c r="AG140" s="33"/>
      <c r="AH140" s="33">
        <f>SUM(AH133:AH139)</f>
        <v>0</v>
      </c>
      <c r="AI140" s="33"/>
      <c r="AJ140" s="33">
        <f>SUM(AJ133:AJ139)</f>
        <v>0</v>
      </c>
      <c r="AK140" s="33">
        <f>SUM(AK133:AK139)</f>
        <v>84144326.90693669</v>
      </c>
      <c r="AL140" s="30" t="str">
        <f t="shared" si="108"/>
        <v>ok</v>
      </c>
    </row>
    <row r="141" spans="1:38" x14ac:dyDescent="0.25">
      <c r="D141" s="139"/>
      <c r="E141" s="14"/>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0"/>
    </row>
    <row r="142" spans="1:38" x14ac:dyDescent="0.25">
      <c r="A142" s="29" t="s">
        <v>435</v>
      </c>
      <c r="D142" s="164"/>
      <c r="E142" s="17"/>
      <c r="F142" s="34">
        <f>F130+F140</f>
        <v>1060475707.9554074</v>
      </c>
      <c r="G142" s="34"/>
      <c r="H142" s="34">
        <f t="shared" ref="H142:M142" si="111">H130+H140</f>
        <v>614162820.74179256</v>
      </c>
      <c r="I142" s="34">
        <f t="shared" si="111"/>
        <v>0</v>
      </c>
      <c r="J142" s="34">
        <f t="shared" si="111"/>
        <v>0</v>
      </c>
      <c r="K142" s="34">
        <f t="shared" si="111"/>
        <v>0</v>
      </c>
      <c r="L142" s="34">
        <f t="shared" si="111"/>
        <v>0</v>
      </c>
      <c r="M142" s="34">
        <f t="shared" si="111"/>
        <v>0</v>
      </c>
      <c r="N142" s="34"/>
      <c r="O142" s="34">
        <f>O130+O140</f>
        <v>164394749.30846575</v>
      </c>
      <c r="P142" s="34">
        <f>P130+P140</f>
        <v>0</v>
      </c>
      <c r="Q142" s="34">
        <f>Q130+Q140</f>
        <v>0</v>
      </c>
      <c r="R142" s="34"/>
      <c r="S142" s="34">
        <f t="shared" ref="S142:AD142" si="112">S130+S140</f>
        <v>0</v>
      </c>
      <c r="T142" s="34">
        <f t="shared" si="112"/>
        <v>41007817.197678775</v>
      </c>
      <c r="U142" s="34">
        <f t="shared" si="112"/>
        <v>0</v>
      </c>
      <c r="V142" s="34">
        <f t="shared" si="112"/>
        <v>33549870.293335341</v>
      </c>
      <c r="W142" s="34">
        <f t="shared" si="112"/>
        <v>63132834.165862784</v>
      </c>
      <c r="X142" s="34">
        <f t="shared" si="112"/>
        <v>18275160.320257861</v>
      </c>
      <c r="Y142" s="34">
        <f t="shared" si="112"/>
        <v>33854329.525526546</v>
      </c>
      <c r="Z142" s="34">
        <f t="shared" si="112"/>
        <v>24755877.297985535</v>
      </c>
      <c r="AA142" s="34">
        <f t="shared" si="112"/>
        <v>21469582.650132563</v>
      </c>
      <c r="AB142" s="34">
        <f t="shared" si="112"/>
        <v>15898182.134367293</v>
      </c>
      <c r="AC142" s="34">
        <f t="shared" si="112"/>
        <v>11359777.534671452</v>
      </c>
      <c r="AD142" s="34">
        <f t="shared" si="112"/>
        <v>18614706.785330925</v>
      </c>
      <c r="AE142" s="34"/>
      <c r="AF142" s="34">
        <f>AF130+AF140</f>
        <v>0</v>
      </c>
      <c r="AG142" s="34"/>
      <c r="AH142" s="34">
        <f>AH130+AH140</f>
        <v>0</v>
      </c>
      <c r="AI142" s="34"/>
      <c r="AJ142" s="34">
        <f>AJ130+AJ140</f>
        <v>0</v>
      </c>
      <c r="AK142" s="34">
        <f>AK130+AK140</f>
        <v>1060475707.9554074</v>
      </c>
      <c r="AL142" s="30" t="str">
        <f>IF(ABS(AK142-F142)&lt;1,"ok","err")</f>
        <v>ok</v>
      </c>
    </row>
    <row r="143" spans="1:38" x14ac:dyDescent="0.25">
      <c r="A143" s="29" t="s">
        <v>1208</v>
      </c>
      <c r="C143" s="29" t="s">
        <v>751</v>
      </c>
      <c r="D143" s="139" t="s">
        <v>529</v>
      </c>
      <c r="E143" s="14"/>
      <c r="F143" s="32">
        <f>'Jurisdictional Study'!F899</f>
        <v>951646.55364259344</v>
      </c>
      <c r="H143" s="33">
        <f>IF(VLOOKUP($D143,$C$5:$AJ$596,6,)=0,0,((VLOOKUP($D143,$C$5:$AJ$596,6,)/VLOOKUP($D143,$C$5:$AJ$596,4,))*$F143))</f>
        <v>0</v>
      </c>
      <c r="I143" s="33">
        <f>IF(VLOOKUP($D143,$C$5:$AJ$596,7,)=0,0,((VLOOKUP($D143,$C$5:$AJ$596,7,)/VLOOKUP($D143,$C$5:$AJ$596,4,))*$F143))</f>
        <v>0</v>
      </c>
      <c r="J143" s="33">
        <f>IF(VLOOKUP($D143,$C$5:$AJ$596,8,)=0,0,((VLOOKUP($D143,$C$5:$AJ$596,8,)/VLOOKUP($D143,$C$5:$AJ$596,4,))*$F143))</f>
        <v>0</v>
      </c>
      <c r="K143" s="33">
        <f>IF(VLOOKUP($D143,$C$5:$AJ$596,9,)=0,0,((VLOOKUP($D143,$C$5:$AJ$596,9,)/VLOOKUP($D143,$C$5:$AJ$596,4,))*$F143))</f>
        <v>0</v>
      </c>
      <c r="L143" s="33">
        <f>IF(VLOOKUP($D143,$C$5:$AJ$596,10,)=0,0,((VLOOKUP($D143,$C$5:$AJ$596,10,)/VLOOKUP($D143,$C$5:$AJ$596,4,))*$F143))</f>
        <v>0</v>
      </c>
      <c r="M143" s="33">
        <f>IF(VLOOKUP($D143,$C$5:$AJ$596,11,)=0,0,((VLOOKUP($D143,$C$5:$AJ$596,11,)/VLOOKUP($D143,$C$5:$AJ$596,4,))*$F143))</f>
        <v>0</v>
      </c>
      <c r="N143" s="33"/>
      <c r="O143" s="33">
        <f>IF(VLOOKUP($D143,$C$5:$AJ$596,13,)=0,0,((VLOOKUP($D143,$C$5:$AJ$596,13,)/VLOOKUP($D143,$C$5:$AJ$596,4,))*$F143))</f>
        <v>0</v>
      </c>
      <c r="P143" s="33">
        <f>IF(VLOOKUP($D143,$C$5:$AJ$596,14,)=0,0,((VLOOKUP($D143,$C$5:$AJ$596,14,)/VLOOKUP($D143,$C$5:$AJ$596,4,))*$F143))</f>
        <v>0</v>
      </c>
      <c r="Q143" s="33">
        <f>IF(VLOOKUP($D143,$C$5:$AJ$596,15,)=0,0,((VLOOKUP($D143,$C$5:$AJ$596,15,)/VLOOKUP($D143,$C$5:$AJ$596,4,))*$F143))</f>
        <v>0</v>
      </c>
      <c r="R143" s="33"/>
      <c r="S143" s="33">
        <f>IF(VLOOKUP($D143,$C$5:$AJ$596,17,)=0,0,((VLOOKUP($D143,$C$5:$AJ$596,17,)/VLOOKUP($D143,$C$5:$AJ$596,4,))*$F143))</f>
        <v>0</v>
      </c>
      <c r="T143" s="33">
        <f>IF(VLOOKUP($D143,$C$5:$AJ$596,18,)=0,0,((VLOOKUP($D143,$C$5:$AJ$596,18,)/VLOOKUP($D143,$C$5:$AJ$596,4,))*$F143))</f>
        <v>0</v>
      </c>
      <c r="U143" s="33">
        <f>IF(VLOOKUP($D143,$C$5:$AJ$596,19,)=0,0,((VLOOKUP($D143,$C$5:$AJ$596,19,)/VLOOKUP($D143,$C$5:$AJ$596,4,))*$F143))</f>
        <v>0</v>
      </c>
      <c r="V143" s="33">
        <f>IF(VLOOKUP($D143,$C$5:$AJ$596,20,)=0,0,((VLOOKUP($D143,$C$5:$AJ$596,20,)/VLOOKUP($D143,$C$5:$AJ$596,4,))*$F143))</f>
        <v>214549.74566381756</v>
      </c>
      <c r="W143" s="33">
        <f>IF(VLOOKUP($D143,$C$5:$AJ$596,21,)=0,0,((VLOOKUP($D143,$C$5:$AJ$596,21,)/VLOOKUP($D143,$C$5:$AJ$596,4,))*$F143))</f>
        <v>403731.3228007491</v>
      </c>
      <c r="X143" s="33">
        <f>IF(VLOOKUP($D143,$C$5:$AJ$596,22,)=0,0,((VLOOKUP($D143,$C$5:$AJ$596,22,)/VLOOKUP($D143,$C$5:$AJ$596,4,))*$F143))</f>
        <v>116868.73792342817</v>
      </c>
      <c r="Y143" s="33">
        <f>IF(VLOOKUP($D143,$C$5:$AJ$596,23,)=0,0,((VLOOKUP($D143,$C$5:$AJ$596,23,)/VLOOKUP($D143,$C$5:$AJ$596,4,))*$F143))</f>
        <v>216496.74725459871</v>
      </c>
      <c r="Z143" s="33">
        <f>IF(VLOOKUP($D143,$C$5:$AJ$596,24,)=0,0,((VLOOKUP($D143,$C$5:$AJ$596,24,)/VLOOKUP($D143,$C$5:$AJ$596,4,))*$F143))</f>
        <v>0</v>
      </c>
      <c r="AA143" s="33">
        <f>IF(VLOOKUP($D143,$C$5:$AJ$596,25,)=0,0,((VLOOKUP($D143,$C$5:$AJ$596,25,)/VLOOKUP($D143,$C$5:$AJ$596,4,))*$F143))</f>
        <v>0</v>
      </c>
      <c r="AB143" s="33">
        <f>IF(VLOOKUP($D143,$C$5:$AJ$596,26,)=0,0,((VLOOKUP($D143,$C$5:$AJ$596,26,)/VLOOKUP($D143,$C$5:$AJ$596,4,))*$F143))</f>
        <v>0</v>
      </c>
      <c r="AC143" s="33">
        <f>IF(VLOOKUP($D143,$C$5:$AJ$596,27,)=0,0,((VLOOKUP($D143,$C$5:$AJ$596,27,)/VLOOKUP($D143,$C$5:$AJ$596,4,))*$F143))</f>
        <v>0</v>
      </c>
      <c r="AD143" s="33">
        <f>IF(VLOOKUP($D143,$C$5:$AJ$596,28,)=0,0,((VLOOKUP($D143,$C$5:$AJ$596,28,)/VLOOKUP($D143,$C$5:$AJ$596,4,))*$F143))</f>
        <v>0</v>
      </c>
      <c r="AE143" s="33"/>
      <c r="AF143" s="33">
        <f>IF(VLOOKUP($D143,$C$5:$AJ$596,30,)=0,0,((VLOOKUP($D143,$C$5:$AJ$596,30,)/VLOOKUP($D143,$C$5:$AJ$596,4,))*$F143))</f>
        <v>0</v>
      </c>
      <c r="AG143" s="33"/>
      <c r="AH143" s="33">
        <f>IF(VLOOKUP($D143,$C$5:$AJ$596,32,)=0,0,((VLOOKUP($D143,$C$5:$AJ$596,32,)/VLOOKUP($D143,$C$5:$AJ$596,4,))*$F143))</f>
        <v>0</v>
      </c>
      <c r="AI143" s="33"/>
      <c r="AJ143" s="33">
        <f>IF(VLOOKUP($D143,$C$5:$AJ$596,34,)=0,0,((VLOOKUP($D143,$C$5:$AJ$596,34,)/VLOOKUP($D143,$C$5:$AJ$596,4,))*$F143))</f>
        <v>0</v>
      </c>
      <c r="AK143" s="33">
        <f>SUM(H143:AJ143)</f>
        <v>951646.55364259356</v>
      </c>
      <c r="AL143" s="30" t="str">
        <f>IF(ABS(AK143-F143)&lt;1,"ok","err")</f>
        <v>ok</v>
      </c>
    </row>
    <row r="144" spans="1:38" x14ac:dyDescent="0.25">
      <c r="A144" s="29" t="s">
        <v>1751</v>
      </c>
      <c r="D144" s="139" t="s">
        <v>682</v>
      </c>
      <c r="E144" s="14"/>
      <c r="F144" s="32"/>
      <c r="H144" s="33">
        <f>IF(VLOOKUP($D144,$C$5:$AJ$596,6,)=0,0,((VLOOKUP($D144,$C$5:$AJ$596,6,)/VLOOKUP($D144,$C$5:$AJ$596,4,))*$F144))</f>
        <v>0</v>
      </c>
      <c r="I144" s="33">
        <f>IF(VLOOKUP($D144,$C$5:$AJ$596,7,)=0,0,((VLOOKUP($D144,$C$5:$AJ$596,7,)/VLOOKUP($D144,$C$5:$AJ$596,4,))*$F144))</f>
        <v>0</v>
      </c>
      <c r="J144" s="33">
        <f>IF(VLOOKUP($D144,$C$5:$AJ$596,8,)=0,0,((VLOOKUP($D144,$C$5:$AJ$596,8,)/VLOOKUP($D144,$C$5:$AJ$596,4,))*$F144))</f>
        <v>0</v>
      </c>
      <c r="K144" s="33">
        <f>IF(VLOOKUP($D144,$C$5:$AJ$596,9,)=0,0,((VLOOKUP($D144,$C$5:$AJ$596,9,)/VLOOKUP($D144,$C$5:$AJ$596,4,))*$F144))</f>
        <v>0</v>
      </c>
      <c r="L144" s="33">
        <f>IF(VLOOKUP($D144,$C$5:$AJ$596,10,)=0,0,((VLOOKUP($D144,$C$5:$AJ$596,10,)/VLOOKUP($D144,$C$5:$AJ$596,4,))*$F144))</f>
        <v>0</v>
      </c>
      <c r="M144" s="33">
        <f>IF(VLOOKUP($D144,$C$5:$AJ$596,11,)=0,0,((VLOOKUP($D144,$C$5:$AJ$596,11,)/VLOOKUP($D144,$C$5:$AJ$596,4,))*$F144))</f>
        <v>0</v>
      </c>
      <c r="N144" s="33"/>
      <c r="O144" s="33">
        <f>IF(VLOOKUP($D144,$C$5:$AJ$596,13,)=0,0,((VLOOKUP($D144,$C$5:$AJ$596,13,)/VLOOKUP($D144,$C$5:$AJ$596,4,))*$F144))</f>
        <v>0</v>
      </c>
      <c r="P144" s="33">
        <f>IF(VLOOKUP($D144,$C$5:$AJ$596,14,)=0,0,((VLOOKUP($D144,$C$5:$AJ$596,14,)/VLOOKUP($D144,$C$5:$AJ$596,4,))*$F144))</f>
        <v>0</v>
      </c>
      <c r="Q144" s="33">
        <f>IF(VLOOKUP($D144,$C$5:$AJ$596,15,)=0,0,((VLOOKUP($D144,$C$5:$AJ$596,15,)/VLOOKUP($D144,$C$5:$AJ$596,4,))*$F144))</f>
        <v>0</v>
      </c>
      <c r="R144" s="33"/>
      <c r="S144" s="33">
        <f>IF(VLOOKUP($D144,$C$5:$AJ$596,17,)=0,0,((VLOOKUP($D144,$C$5:$AJ$596,17,)/VLOOKUP($D144,$C$5:$AJ$596,4,))*$F144))</f>
        <v>0</v>
      </c>
      <c r="T144" s="33">
        <f>IF(VLOOKUP($D144,$C$5:$AJ$596,18,)=0,0,((VLOOKUP($D144,$C$5:$AJ$596,18,)/VLOOKUP($D144,$C$5:$AJ$596,4,))*$F144))</f>
        <v>0</v>
      </c>
      <c r="U144" s="33">
        <f>IF(VLOOKUP($D144,$C$5:$AJ$596,19,)=0,0,((VLOOKUP($D144,$C$5:$AJ$596,19,)/VLOOKUP($D144,$C$5:$AJ$596,4,))*$F144))</f>
        <v>0</v>
      </c>
      <c r="V144" s="33">
        <f>IF(VLOOKUP($D144,$C$5:$AJ$596,20,)=0,0,((VLOOKUP($D144,$C$5:$AJ$596,20,)/VLOOKUP($D144,$C$5:$AJ$596,4,))*$F144))</f>
        <v>0</v>
      </c>
      <c r="W144" s="33">
        <f>IF(VLOOKUP($D144,$C$5:$AJ$596,21,)=0,0,((VLOOKUP($D144,$C$5:$AJ$596,21,)/VLOOKUP($D144,$C$5:$AJ$596,4,))*$F144))</f>
        <v>0</v>
      </c>
      <c r="X144" s="33">
        <f>IF(VLOOKUP($D144,$C$5:$AJ$596,22,)=0,0,((VLOOKUP($D144,$C$5:$AJ$596,22,)/VLOOKUP($D144,$C$5:$AJ$596,4,))*$F144))</f>
        <v>0</v>
      </c>
      <c r="Y144" s="33">
        <f>IF(VLOOKUP($D144,$C$5:$AJ$596,23,)=0,0,((VLOOKUP($D144,$C$5:$AJ$596,23,)/VLOOKUP($D144,$C$5:$AJ$596,4,))*$F144))</f>
        <v>0</v>
      </c>
      <c r="Z144" s="33">
        <f>IF(VLOOKUP($D144,$C$5:$AJ$596,24,)=0,0,((VLOOKUP($D144,$C$5:$AJ$596,24,)/VLOOKUP($D144,$C$5:$AJ$596,4,))*$F144))</f>
        <v>0</v>
      </c>
      <c r="AA144" s="33">
        <f>IF(VLOOKUP($D144,$C$5:$AJ$596,25,)=0,0,((VLOOKUP($D144,$C$5:$AJ$596,25,)/VLOOKUP($D144,$C$5:$AJ$596,4,))*$F144))</f>
        <v>0</v>
      </c>
      <c r="AB144" s="33">
        <f>IF(VLOOKUP($D144,$C$5:$AJ$596,26,)=0,0,((VLOOKUP($D144,$C$5:$AJ$596,26,)/VLOOKUP($D144,$C$5:$AJ$596,4,))*$F144))</f>
        <v>0</v>
      </c>
      <c r="AC144" s="33">
        <f>IF(VLOOKUP($D144,$C$5:$AJ$596,27,)=0,0,((VLOOKUP($D144,$C$5:$AJ$596,27,)/VLOOKUP($D144,$C$5:$AJ$596,4,))*$F144))</f>
        <v>0</v>
      </c>
      <c r="AD144" s="33">
        <f>IF(VLOOKUP($D144,$C$5:$AJ$596,28,)=0,0,((VLOOKUP($D144,$C$5:$AJ$596,28,)/VLOOKUP($D144,$C$5:$AJ$596,4,))*$F144))</f>
        <v>0</v>
      </c>
      <c r="AE144" s="33"/>
      <c r="AF144" s="33">
        <f>IF(VLOOKUP($D144,$C$5:$AJ$596,30,)=0,0,((VLOOKUP($D144,$C$5:$AJ$596,30,)/VLOOKUP($D144,$C$5:$AJ$596,4,))*$F144))</f>
        <v>0</v>
      </c>
      <c r="AG144" s="33"/>
      <c r="AH144" s="33">
        <f>IF(VLOOKUP($D144,$C$5:$AJ$596,32,)=0,0,((VLOOKUP($D144,$C$5:$AJ$596,32,)/VLOOKUP($D144,$C$5:$AJ$596,4,))*$F144))</f>
        <v>0</v>
      </c>
      <c r="AI144" s="33"/>
      <c r="AJ144" s="33">
        <f>IF(VLOOKUP($D144,$C$5:$AJ$596,34,)=0,0,((VLOOKUP($D144,$C$5:$AJ$596,34,)/VLOOKUP($D144,$C$5:$AJ$596,4,))*$F144))</f>
        <v>0</v>
      </c>
      <c r="AK144" s="33">
        <f>SUM(H144:AJ144)</f>
        <v>0</v>
      </c>
      <c r="AL144" s="30" t="str">
        <f>IF(ABS(AK144-F144)&lt;1,"ok","err")</f>
        <v>ok</v>
      </c>
    </row>
    <row r="145" spans="1:39" x14ac:dyDescent="0.25">
      <c r="D145" s="139"/>
      <c r="E145" s="14"/>
      <c r="F145" s="32"/>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0"/>
    </row>
    <row r="146" spans="1:39" x14ac:dyDescent="0.25">
      <c r="A146" s="4" t="s">
        <v>752</v>
      </c>
      <c r="C146" s="29" t="s">
        <v>753</v>
      </c>
      <c r="D146" s="139"/>
      <c r="E146" s="14"/>
      <c r="F146" s="34">
        <f>F96-F109+F118-F143+F120-F142-F144</f>
        <v>4045218982.2825308</v>
      </c>
      <c r="G146" s="34">
        <f>G96-G109+G118-G143+G120-G142</f>
        <v>0</v>
      </c>
      <c r="H146" s="34">
        <f t="shared" ref="H146:AJ146" si="113">H96-H109+H118-H143+H120-H142-H144</f>
        <v>2253628854.7489562</v>
      </c>
      <c r="I146" s="34">
        <f t="shared" si="113"/>
        <v>0</v>
      </c>
      <c r="J146" s="34">
        <f t="shared" si="113"/>
        <v>0</v>
      </c>
      <c r="K146" s="34">
        <f t="shared" si="113"/>
        <v>60528491.942099355</v>
      </c>
      <c r="L146" s="34">
        <f t="shared" si="113"/>
        <v>0</v>
      </c>
      <c r="M146" s="34">
        <f t="shared" si="113"/>
        <v>0</v>
      </c>
      <c r="N146" s="34">
        <f t="shared" si="113"/>
        <v>0</v>
      </c>
      <c r="O146" s="34">
        <f t="shared" si="113"/>
        <v>653087623.67655969</v>
      </c>
      <c r="P146" s="34">
        <f t="shared" si="113"/>
        <v>0</v>
      </c>
      <c r="Q146" s="34">
        <f t="shared" si="113"/>
        <v>0</v>
      </c>
      <c r="R146" s="34">
        <f t="shared" si="113"/>
        <v>0</v>
      </c>
      <c r="S146" s="34">
        <f t="shared" si="113"/>
        <v>0</v>
      </c>
      <c r="T146" s="34">
        <f t="shared" si="113"/>
        <v>155547291.50650045</v>
      </c>
      <c r="U146" s="34">
        <f t="shared" si="113"/>
        <v>0</v>
      </c>
      <c r="V146" s="34">
        <f t="shared" si="113"/>
        <v>127721035.01035312</v>
      </c>
      <c r="W146" s="34">
        <f t="shared" si="113"/>
        <v>240082274.30560106</v>
      </c>
      <c r="X146" s="34">
        <f t="shared" si="113"/>
        <v>69581062.942207456</v>
      </c>
      <c r="Y146" s="34">
        <f t="shared" si="113"/>
        <v>128769742.20323366</v>
      </c>
      <c r="Z146" s="34">
        <f t="shared" si="113"/>
        <v>93644199.517810032</v>
      </c>
      <c r="AA146" s="34">
        <f t="shared" si="113"/>
        <v>81213113.841727078</v>
      </c>
      <c r="AB146" s="34">
        <f t="shared" si="113"/>
        <v>60133861.462727927</v>
      </c>
      <c r="AC146" s="34">
        <f t="shared" si="113"/>
        <v>44037762.876980335</v>
      </c>
      <c r="AD146" s="34">
        <f t="shared" si="113"/>
        <v>70408942.95572497</v>
      </c>
      <c r="AE146" s="34">
        <f t="shared" si="113"/>
        <v>0</v>
      </c>
      <c r="AF146" s="34">
        <f t="shared" si="113"/>
        <v>6133963.9691142943</v>
      </c>
      <c r="AG146" s="34">
        <f t="shared" si="113"/>
        <v>0</v>
      </c>
      <c r="AH146" s="34">
        <f t="shared" si="113"/>
        <v>700761.32293291285</v>
      </c>
      <c r="AI146" s="34">
        <f t="shared" si="113"/>
        <v>0</v>
      </c>
      <c r="AJ146" s="34">
        <f t="shared" si="113"/>
        <v>0</v>
      </c>
      <c r="AK146" s="33">
        <f>SUM(H146:AJ146)</f>
        <v>4045218982.2825289</v>
      </c>
      <c r="AL146" s="30" t="str">
        <f>IF(ABS(AK146-F146)&lt;1,"ok","err")</f>
        <v>ok</v>
      </c>
      <c r="AM146" s="41">
        <f>+AK146-F146</f>
        <v>0</v>
      </c>
    </row>
    <row r="147" spans="1:39" x14ac:dyDescent="0.25">
      <c r="D147" s="139"/>
      <c r="E147" s="14"/>
      <c r="Y147" s="29"/>
      <c r="AL147" s="30"/>
    </row>
    <row r="148" spans="1:39" x14ac:dyDescent="0.25">
      <c r="D148" s="139"/>
      <c r="E148" s="14"/>
      <c r="F148" s="34"/>
      <c r="Y148" s="29"/>
      <c r="AL148" s="30"/>
    </row>
    <row r="149" spans="1:39" x14ac:dyDescent="0.25">
      <c r="A149" s="3" t="s">
        <v>744</v>
      </c>
      <c r="D149" s="139"/>
      <c r="E149" s="14"/>
      <c r="Y149" s="29"/>
      <c r="AL149" s="30"/>
    </row>
    <row r="150" spans="1:39" x14ac:dyDescent="0.25">
      <c r="A150" s="3"/>
      <c r="D150" s="139"/>
      <c r="E150" s="14"/>
      <c r="Y150" s="29"/>
      <c r="AL150" s="30"/>
    </row>
    <row r="151" spans="1:39" x14ac:dyDescent="0.25">
      <c r="A151" s="4" t="s">
        <v>1461</v>
      </c>
      <c r="D151" s="139"/>
      <c r="E151" s="14"/>
      <c r="Y151" s="29"/>
      <c r="AL151" s="30"/>
    </row>
    <row r="152" spans="1:39" x14ac:dyDescent="0.25">
      <c r="A152" s="29">
        <v>500</v>
      </c>
      <c r="B152" s="29" t="s">
        <v>1453</v>
      </c>
      <c r="C152" s="29" t="s">
        <v>1454</v>
      </c>
      <c r="D152" s="139" t="s">
        <v>683</v>
      </c>
      <c r="E152" s="14"/>
      <c r="F152" s="32">
        <f>'Jurisdictional Study'!F952</f>
        <v>8739204.9662397169</v>
      </c>
      <c r="H152" s="33">
        <f>IF(VLOOKUP($D152,$C$5:$AJ$596,6,)=0,0,((VLOOKUP($D152,$C$5:$AJ$596,6,)/VLOOKUP($D152,$C$5:$AJ$596,4,))*$F152))</f>
        <v>7747821.2497507986</v>
      </c>
      <c r="I152" s="33">
        <f>IF(VLOOKUP($D152,$C$5:$AJ$596,7,)=0,0,((VLOOKUP($D152,$C$5:$AJ$596,7,)/VLOOKUP($D152,$C$5:$AJ$596,4,))*$F152))</f>
        <v>0</v>
      </c>
      <c r="J152" s="33">
        <f>IF(VLOOKUP($D152,$C$5:$AJ$596,8,)=0,0,((VLOOKUP($D152,$C$5:$AJ$596,8,)/VLOOKUP($D152,$C$5:$AJ$596,4,))*$F152))</f>
        <v>0</v>
      </c>
      <c r="K152" s="33">
        <f>IF(VLOOKUP($D152,$C$5:$AJ$596,9,)=0,0,((VLOOKUP($D152,$C$5:$AJ$596,9,)/VLOOKUP($D152,$C$5:$AJ$596,4,))*$F152))</f>
        <v>991383.71648891864</v>
      </c>
      <c r="L152" s="33">
        <f>IF(VLOOKUP($D152,$C$5:$AJ$596,10,)=0,0,((VLOOKUP($D152,$C$5:$AJ$596,10,)/VLOOKUP($D152,$C$5:$AJ$596,4,))*$F152))</f>
        <v>0</v>
      </c>
      <c r="M152" s="33">
        <f>IF(VLOOKUP($D152,$C$5:$AJ$596,11,)=0,0,((VLOOKUP($D152,$C$5:$AJ$596,11,)/VLOOKUP($D152,$C$5:$AJ$596,4,))*$F152))</f>
        <v>0</v>
      </c>
      <c r="N152" s="33"/>
      <c r="O152" s="33">
        <f>IF(VLOOKUP($D152,$C$5:$AJ$596,13,)=0,0,((VLOOKUP($D152,$C$5:$AJ$596,13,)/VLOOKUP($D152,$C$5:$AJ$596,4,))*$F152))</f>
        <v>0</v>
      </c>
      <c r="P152" s="33">
        <f>IF(VLOOKUP($D152,$C$5:$AJ$596,14,)=0,0,((VLOOKUP($D152,$C$5:$AJ$596,14,)/VLOOKUP($D152,$C$5:$AJ$596,4,))*$F152))</f>
        <v>0</v>
      </c>
      <c r="Q152" s="33">
        <f>IF(VLOOKUP($D152,$C$5:$AJ$596,15,)=0,0,((VLOOKUP($D152,$C$5:$AJ$596,15,)/VLOOKUP($D152,$C$5:$AJ$596,4,))*$F152))</f>
        <v>0</v>
      </c>
      <c r="R152" s="33"/>
      <c r="S152" s="33">
        <f>IF(VLOOKUP($D152,$C$5:$AJ$596,17,)=0,0,((VLOOKUP($D152,$C$5:$AJ$596,17,)/VLOOKUP($D152,$C$5:$AJ$596,4,))*$F152))</f>
        <v>0</v>
      </c>
      <c r="T152" s="33">
        <f>IF(VLOOKUP($D152,$C$5:$AJ$596,18,)=0,0,((VLOOKUP($D152,$C$5:$AJ$596,18,)/VLOOKUP($D152,$C$5:$AJ$596,4,))*$F152))</f>
        <v>0</v>
      </c>
      <c r="U152" s="33">
        <f>IF(VLOOKUP($D152,$C$5:$AJ$596,19,)=0,0,((VLOOKUP($D152,$C$5:$AJ$596,19,)/VLOOKUP($D152,$C$5:$AJ$596,4,))*$F152))</f>
        <v>0</v>
      </c>
      <c r="V152" s="33">
        <f>IF(VLOOKUP($D152,$C$5:$AJ$596,20,)=0,0,((VLOOKUP($D152,$C$5:$AJ$596,20,)/VLOOKUP($D152,$C$5:$AJ$596,4,))*$F152))</f>
        <v>0</v>
      </c>
      <c r="W152" s="33">
        <f>IF(VLOOKUP($D152,$C$5:$AJ$596,21,)=0,0,((VLOOKUP($D152,$C$5:$AJ$596,21,)/VLOOKUP($D152,$C$5:$AJ$596,4,))*$F152))</f>
        <v>0</v>
      </c>
      <c r="X152" s="33">
        <f>IF(VLOOKUP($D152,$C$5:$AJ$596,22,)=0,0,((VLOOKUP($D152,$C$5:$AJ$596,22,)/VLOOKUP($D152,$C$5:$AJ$596,4,))*$F152))</f>
        <v>0</v>
      </c>
      <c r="Y152" s="33">
        <f>IF(VLOOKUP($D152,$C$5:$AJ$596,23,)=0,0,((VLOOKUP($D152,$C$5:$AJ$596,23,)/VLOOKUP($D152,$C$5:$AJ$596,4,))*$F152))</f>
        <v>0</v>
      </c>
      <c r="Z152" s="33">
        <f>IF(VLOOKUP($D152,$C$5:$AJ$596,24,)=0,0,((VLOOKUP($D152,$C$5:$AJ$596,24,)/VLOOKUP($D152,$C$5:$AJ$596,4,))*$F152))</f>
        <v>0</v>
      </c>
      <c r="AA152" s="33">
        <f>IF(VLOOKUP($D152,$C$5:$AJ$596,25,)=0,0,((VLOOKUP($D152,$C$5:$AJ$596,25,)/VLOOKUP($D152,$C$5:$AJ$596,4,))*$F152))</f>
        <v>0</v>
      </c>
      <c r="AB152" s="33">
        <f>IF(VLOOKUP($D152,$C$5:$AJ$596,26,)=0,0,((VLOOKUP($D152,$C$5:$AJ$596,26,)/VLOOKUP($D152,$C$5:$AJ$596,4,))*$F152))</f>
        <v>0</v>
      </c>
      <c r="AC152" s="33">
        <f>IF(VLOOKUP($D152,$C$5:$AJ$596,27,)=0,0,((VLOOKUP($D152,$C$5:$AJ$596,27,)/VLOOKUP($D152,$C$5:$AJ$596,4,))*$F152))</f>
        <v>0</v>
      </c>
      <c r="AD152" s="33">
        <f>IF(VLOOKUP($D152,$C$5:$AJ$596,28,)=0,0,((VLOOKUP($D152,$C$5:$AJ$596,28,)/VLOOKUP($D152,$C$5:$AJ$596,4,))*$F152))</f>
        <v>0</v>
      </c>
      <c r="AE152" s="33"/>
      <c r="AF152" s="33">
        <f>IF(VLOOKUP($D152,$C$5:$AJ$596,30,)=0,0,((VLOOKUP($D152,$C$5:$AJ$596,30,)/VLOOKUP($D152,$C$5:$AJ$596,4,))*$F152))</f>
        <v>0</v>
      </c>
      <c r="AG152" s="33"/>
      <c r="AH152" s="33">
        <f>IF(VLOOKUP($D152,$C$5:$AJ$596,32,)=0,0,((VLOOKUP($D152,$C$5:$AJ$596,32,)/VLOOKUP($D152,$C$5:$AJ$596,4,))*$F152))</f>
        <v>0</v>
      </c>
      <c r="AI152" s="33"/>
      <c r="AJ152" s="33">
        <f>IF(VLOOKUP($D152,$C$5:$AJ$596,34,)=0,0,((VLOOKUP($D152,$C$5:$AJ$596,34,)/VLOOKUP($D152,$C$5:$AJ$596,4,))*$F152))</f>
        <v>0</v>
      </c>
      <c r="AK152" s="33">
        <f t="shared" ref="AK152:AK157" si="114">SUM(H152:AJ152)</f>
        <v>8739204.9662397169</v>
      </c>
      <c r="AL152" s="30" t="str">
        <f t="shared" ref="AL152:AL157" si="115">IF(ABS(AK152-F152)&lt;1,"ok","err")</f>
        <v>ok</v>
      </c>
    </row>
    <row r="153" spans="1:39" x14ac:dyDescent="0.25">
      <c r="A153" s="43">
        <v>501</v>
      </c>
      <c r="B153" s="29" t="s">
        <v>1455</v>
      </c>
      <c r="C153" s="29" t="s">
        <v>1456</v>
      </c>
      <c r="D153" s="139" t="s">
        <v>104</v>
      </c>
      <c r="E153" s="14"/>
      <c r="F153" s="33">
        <f>'Jurisdictional Study'!F953+32761309.12</f>
        <v>317373051.86677903</v>
      </c>
      <c r="H153" s="33">
        <f>IF(VLOOKUP($D153,$C$5:$AJ$596,6,)=0,0,((VLOOKUP($D153,$C$5:$AJ$596,6,)/VLOOKUP($D153,$C$5:$AJ$596,4,))*$F153))</f>
        <v>0</v>
      </c>
      <c r="I153" s="33">
        <f>IF(VLOOKUP($D153,$C$5:$AJ$596,7,)=0,0,((VLOOKUP($D153,$C$5:$AJ$596,7,)/VLOOKUP($D153,$C$5:$AJ$596,4,))*$F153))</f>
        <v>0</v>
      </c>
      <c r="J153" s="33">
        <f>IF(VLOOKUP($D153,$C$5:$AJ$596,8,)=0,0,((VLOOKUP($D153,$C$5:$AJ$596,8,)/VLOOKUP($D153,$C$5:$AJ$596,4,))*$F153))</f>
        <v>0</v>
      </c>
      <c r="K153" s="33">
        <f>IF(VLOOKUP($D153,$C$5:$AJ$596,9,)=0,0,((VLOOKUP($D153,$C$5:$AJ$596,9,)/VLOOKUP($D153,$C$5:$AJ$596,4,))*$F153))</f>
        <v>317373051.86677903</v>
      </c>
      <c r="L153" s="33">
        <f>IF(VLOOKUP($D153,$C$5:$AJ$596,10,)=0,0,((VLOOKUP($D153,$C$5:$AJ$596,10,)/VLOOKUP($D153,$C$5:$AJ$596,4,))*$F153))</f>
        <v>0</v>
      </c>
      <c r="M153" s="33">
        <f>IF(VLOOKUP($D153,$C$5:$AJ$596,11,)=0,0,((VLOOKUP($D153,$C$5:$AJ$596,11,)/VLOOKUP($D153,$C$5:$AJ$596,4,))*$F153))</f>
        <v>0</v>
      </c>
      <c r="N153" s="33"/>
      <c r="O153" s="33">
        <f>IF(VLOOKUP($D153,$C$5:$AJ$596,13,)=0,0,((VLOOKUP($D153,$C$5:$AJ$596,13,)/VLOOKUP($D153,$C$5:$AJ$596,4,))*$F153))</f>
        <v>0</v>
      </c>
      <c r="P153" s="33">
        <f>IF(VLOOKUP($D153,$C$5:$AJ$596,14,)=0,0,((VLOOKUP($D153,$C$5:$AJ$596,14,)/VLOOKUP($D153,$C$5:$AJ$596,4,))*$F153))</f>
        <v>0</v>
      </c>
      <c r="Q153" s="33">
        <f>IF(VLOOKUP($D153,$C$5:$AJ$596,15,)=0,0,((VLOOKUP($D153,$C$5:$AJ$596,15,)/VLOOKUP($D153,$C$5:$AJ$596,4,))*$F153))</f>
        <v>0</v>
      </c>
      <c r="R153" s="33"/>
      <c r="S153" s="33">
        <f>IF(VLOOKUP($D153,$C$5:$AJ$596,17,)=0,0,((VLOOKUP($D153,$C$5:$AJ$596,17,)/VLOOKUP($D153,$C$5:$AJ$596,4,))*$F153))</f>
        <v>0</v>
      </c>
      <c r="T153" s="33">
        <f>IF(VLOOKUP($D153,$C$5:$AJ$596,18,)=0,0,((VLOOKUP($D153,$C$5:$AJ$596,18,)/VLOOKUP($D153,$C$5:$AJ$596,4,))*$F153))</f>
        <v>0</v>
      </c>
      <c r="U153" s="33">
        <f>IF(VLOOKUP($D153,$C$5:$AJ$596,19,)=0,0,((VLOOKUP($D153,$C$5:$AJ$596,19,)/VLOOKUP($D153,$C$5:$AJ$596,4,))*$F153))</f>
        <v>0</v>
      </c>
      <c r="V153" s="33">
        <f>IF(VLOOKUP($D153,$C$5:$AJ$596,20,)=0,0,((VLOOKUP($D153,$C$5:$AJ$596,20,)/VLOOKUP($D153,$C$5:$AJ$596,4,))*$F153))</f>
        <v>0</v>
      </c>
      <c r="W153" s="33">
        <f>IF(VLOOKUP($D153,$C$5:$AJ$596,21,)=0,0,((VLOOKUP($D153,$C$5:$AJ$596,21,)/VLOOKUP($D153,$C$5:$AJ$596,4,))*$F153))</f>
        <v>0</v>
      </c>
      <c r="X153" s="33">
        <f>IF(VLOOKUP($D153,$C$5:$AJ$596,22,)=0,0,((VLOOKUP($D153,$C$5:$AJ$596,22,)/VLOOKUP($D153,$C$5:$AJ$596,4,))*$F153))</f>
        <v>0</v>
      </c>
      <c r="Y153" s="33">
        <f>IF(VLOOKUP($D153,$C$5:$AJ$596,23,)=0,0,((VLOOKUP($D153,$C$5:$AJ$596,23,)/VLOOKUP($D153,$C$5:$AJ$596,4,))*$F153))</f>
        <v>0</v>
      </c>
      <c r="Z153" s="33">
        <f>IF(VLOOKUP($D153,$C$5:$AJ$596,24,)=0,0,((VLOOKUP($D153,$C$5:$AJ$596,24,)/VLOOKUP($D153,$C$5:$AJ$596,4,))*$F153))</f>
        <v>0</v>
      </c>
      <c r="AA153" s="33">
        <f>IF(VLOOKUP($D153,$C$5:$AJ$596,25,)=0,0,((VLOOKUP($D153,$C$5:$AJ$596,25,)/VLOOKUP($D153,$C$5:$AJ$596,4,))*$F153))</f>
        <v>0</v>
      </c>
      <c r="AB153" s="33">
        <f>IF(VLOOKUP($D153,$C$5:$AJ$596,26,)=0,0,((VLOOKUP($D153,$C$5:$AJ$596,26,)/VLOOKUP($D153,$C$5:$AJ$596,4,))*$F153))</f>
        <v>0</v>
      </c>
      <c r="AC153" s="33">
        <f>IF(VLOOKUP($D153,$C$5:$AJ$596,27,)=0,0,((VLOOKUP($D153,$C$5:$AJ$596,27,)/VLOOKUP($D153,$C$5:$AJ$596,4,))*$F153))</f>
        <v>0</v>
      </c>
      <c r="AD153" s="33">
        <f>IF(VLOOKUP($D153,$C$5:$AJ$596,28,)=0,0,((VLOOKUP($D153,$C$5:$AJ$596,28,)/VLOOKUP($D153,$C$5:$AJ$596,4,))*$F153))</f>
        <v>0</v>
      </c>
      <c r="AE153" s="33"/>
      <c r="AF153" s="33">
        <f>IF(VLOOKUP($D153,$C$5:$AJ$596,30,)=0,0,((VLOOKUP($D153,$C$5:$AJ$596,30,)/VLOOKUP($D153,$C$5:$AJ$596,4,))*$F153))</f>
        <v>0</v>
      </c>
      <c r="AG153" s="33"/>
      <c r="AH153" s="33">
        <f>IF(VLOOKUP($D153,$C$5:$AJ$596,32,)=0,0,((VLOOKUP($D153,$C$5:$AJ$596,32,)/VLOOKUP($D153,$C$5:$AJ$596,4,))*$F153))</f>
        <v>0</v>
      </c>
      <c r="AI153" s="33"/>
      <c r="AJ153" s="33">
        <f>IF(VLOOKUP($D153,$C$5:$AJ$596,34,)=0,0,((VLOOKUP($D153,$C$5:$AJ$596,34,)/VLOOKUP($D153,$C$5:$AJ$596,4,))*$F153))</f>
        <v>0</v>
      </c>
      <c r="AK153" s="33">
        <f t="shared" si="114"/>
        <v>317373051.86677903</v>
      </c>
      <c r="AL153" s="30" t="str">
        <f t="shared" si="115"/>
        <v>ok</v>
      </c>
    </row>
    <row r="154" spans="1:39" x14ac:dyDescent="0.25">
      <c r="A154" s="29">
        <v>502</v>
      </c>
      <c r="B154" s="29" t="s">
        <v>1457</v>
      </c>
      <c r="C154" s="29" t="s">
        <v>1458</v>
      </c>
      <c r="D154" s="139"/>
      <c r="E154" s="14"/>
      <c r="F154" s="33">
        <f>'Jurisdictional Study'!F954-3882899.76</f>
        <v>17664719.872299172</v>
      </c>
      <c r="H154" s="33">
        <f t="shared" ref="H154:J155" si="116">H342</f>
        <v>8641791.8611679953</v>
      </c>
      <c r="I154" s="33">
        <f t="shared" si="116"/>
        <v>0</v>
      </c>
      <c r="J154" s="33">
        <f t="shared" si="116"/>
        <v>0</v>
      </c>
      <c r="K154" s="33">
        <f>F154-H154-I154-J154</f>
        <v>9022928.0111311767</v>
      </c>
      <c r="L154" s="33">
        <v>0</v>
      </c>
      <c r="M154" s="33">
        <v>0</v>
      </c>
      <c r="N154" s="33"/>
      <c r="O154" s="33">
        <v>0</v>
      </c>
      <c r="P154" s="33">
        <v>0</v>
      </c>
      <c r="Q154" s="33">
        <v>0</v>
      </c>
      <c r="R154" s="33"/>
      <c r="S154" s="33">
        <v>0</v>
      </c>
      <c r="T154" s="33">
        <v>0</v>
      </c>
      <c r="U154" s="33">
        <v>0</v>
      </c>
      <c r="V154" s="33">
        <v>0</v>
      </c>
      <c r="W154" s="33">
        <v>0</v>
      </c>
      <c r="X154" s="33">
        <v>0</v>
      </c>
      <c r="Y154" s="33">
        <v>0</v>
      </c>
      <c r="Z154" s="33">
        <v>0</v>
      </c>
      <c r="AA154" s="33">
        <v>0</v>
      </c>
      <c r="AB154" s="33">
        <v>0</v>
      </c>
      <c r="AC154" s="33">
        <v>0</v>
      </c>
      <c r="AD154" s="33">
        <v>0</v>
      </c>
      <c r="AE154" s="33"/>
      <c r="AF154" s="33">
        <v>0</v>
      </c>
      <c r="AG154" s="33"/>
      <c r="AH154" s="33">
        <v>0</v>
      </c>
      <c r="AI154" s="33"/>
      <c r="AJ154" s="33">
        <v>0</v>
      </c>
      <c r="AK154" s="33">
        <f t="shared" si="114"/>
        <v>17664719.872299172</v>
      </c>
      <c r="AL154" s="30" t="str">
        <f t="shared" si="115"/>
        <v>ok</v>
      </c>
    </row>
    <row r="155" spans="1:39" x14ac:dyDescent="0.25">
      <c r="A155" s="29">
        <v>505</v>
      </c>
      <c r="B155" s="29" t="s">
        <v>1459</v>
      </c>
      <c r="C155" s="29" t="s">
        <v>1460</v>
      </c>
      <c r="D155" s="139"/>
      <c r="E155" s="14"/>
      <c r="F155" s="33">
        <f>'Jurisdictional Study'!F956</f>
        <v>8200264.8075951161</v>
      </c>
      <c r="H155" s="33">
        <f t="shared" si="116"/>
        <v>6269064.475614504</v>
      </c>
      <c r="I155" s="33">
        <f t="shared" si="116"/>
        <v>0</v>
      </c>
      <c r="J155" s="33">
        <f t="shared" si="116"/>
        <v>0</v>
      </c>
      <c r="K155" s="33">
        <f>F155-H155-I155-J155</f>
        <v>1931200.3319806121</v>
      </c>
      <c r="L155" s="33">
        <v>0</v>
      </c>
      <c r="M155" s="33">
        <v>0</v>
      </c>
      <c r="N155" s="33"/>
      <c r="O155" s="33">
        <v>0</v>
      </c>
      <c r="P155" s="33">
        <v>0</v>
      </c>
      <c r="Q155" s="33">
        <v>0</v>
      </c>
      <c r="R155" s="33"/>
      <c r="S155" s="33">
        <v>0</v>
      </c>
      <c r="T155" s="33">
        <v>0</v>
      </c>
      <c r="U155" s="33">
        <v>0</v>
      </c>
      <c r="V155" s="33">
        <v>0</v>
      </c>
      <c r="W155" s="33">
        <v>0</v>
      </c>
      <c r="X155" s="33">
        <v>0</v>
      </c>
      <c r="Y155" s="33">
        <v>0</v>
      </c>
      <c r="Z155" s="33">
        <v>0</v>
      </c>
      <c r="AA155" s="33">
        <v>0</v>
      </c>
      <c r="AB155" s="33">
        <v>0</v>
      </c>
      <c r="AC155" s="33">
        <v>0</v>
      </c>
      <c r="AD155" s="33">
        <v>0</v>
      </c>
      <c r="AE155" s="33"/>
      <c r="AF155" s="33">
        <v>0</v>
      </c>
      <c r="AG155" s="33"/>
      <c r="AH155" s="33">
        <v>0</v>
      </c>
      <c r="AI155" s="33"/>
      <c r="AJ155" s="33">
        <v>0</v>
      </c>
      <c r="AK155" s="33">
        <f t="shared" si="114"/>
        <v>8200264.8075951161</v>
      </c>
      <c r="AL155" s="30" t="str">
        <f t="shared" si="115"/>
        <v>ok</v>
      </c>
    </row>
    <row r="156" spans="1:39" x14ac:dyDescent="0.25">
      <c r="A156" s="29">
        <v>506</v>
      </c>
      <c r="B156" s="29" t="s">
        <v>1462</v>
      </c>
      <c r="C156" s="29" t="s">
        <v>1463</v>
      </c>
      <c r="D156" s="139" t="s">
        <v>685</v>
      </c>
      <c r="E156" s="14"/>
      <c r="F156" s="33">
        <f>'Jurisdictional Study'!F957-10223903</f>
        <v>14263829.964810729</v>
      </c>
      <c r="H156" s="33">
        <f>IF(VLOOKUP($D156,$C$5:$AJ$596,6,)=0,0,((VLOOKUP($D156,$C$5:$AJ$596,6,)/VLOOKUP($D156,$C$5:$AJ$596,4,))*$F156))</f>
        <v>14263829.964810729</v>
      </c>
      <c r="I156" s="33">
        <f>IF(VLOOKUP($D156,$C$5:$AJ$596,7,)=0,0,((VLOOKUP($D156,$C$5:$AJ$596,7,)/VLOOKUP($D156,$C$5:$AJ$596,4,))*$F156))</f>
        <v>0</v>
      </c>
      <c r="J156" s="33">
        <f>IF(VLOOKUP($D156,$C$5:$AJ$596,8,)=0,0,((VLOOKUP($D156,$C$5:$AJ$596,8,)/VLOOKUP($D156,$C$5:$AJ$596,4,))*$F156))</f>
        <v>0</v>
      </c>
      <c r="K156" s="33">
        <f>IF(VLOOKUP($D156,$C$5:$AJ$596,9,)=0,0,((VLOOKUP($D156,$C$5:$AJ$596,9,)/VLOOKUP($D156,$C$5:$AJ$596,4,))*$F156))</f>
        <v>0</v>
      </c>
      <c r="L156" s="33">
        <f>IF(VLOOKUP($D156,$C$5:$AJ$596,10,)=0,0,((VLOOKUP($D156,$C$5:$AJ$596,10,)/VLOOKUP($D156,$C$5:$AJ$596,4,))*$F156))</f>
        <v>0</v>
      </c>
      <c r="M156" s="33">
        <f>IF(VLOOKUP($D156,$C$5:$AJ$596,11,)=0,0,((VLOOKUP($D156,$C$5:$AJ$596,11,)/VLOOKUP($D156,$C$5:$AJ$596,4,))*$F156))</f>
        <v>0</v>
      </c>
      <c r="N156" s="33"/>
      <c r="O156" s="33">
        <f>IF(VLOOKUP($D156,$C$5:$AJ$596,13,)=0,0,((VLOOKUP($D156,$C$5:$AJ$596,13,)/VLOOKUP($D156,$C$5:$AJ$596,4,))*$F156))</f>
        <v>0</v>
      </c>
      <c r="P156" s="33">
        <f>IF(VLOOKUP($D156,$C$5:$AJ$596,14,)=0,0,((VLOOKUP($D156,$C$5:$AJ$596,14,)/VLOOKUP($D156,$C$5:$AJ$596,4,))*$F156))</f>
        <v>0</v>
      </c>
      <c r="Q156" s="33">
        <f>IF(VLOOKUP($D156,$C$5:$AJ$596,15,)=0,0,((VLOOKUP($D156,$C$5:$AJ$596,15,)/VLOOKUP($D156,$C$5:$AJ$596,4,))*$F156))</f>
        <v>0</v>
      </c>
      <c r="R156" s="33"/>
      <c r="S156" s="33">
        <f>IF(VLOOKUP($D156,$C$5:$AJ$596,17,)=0,0,((VLOOKUP($D156,$C$5:$AJ$596,17,)/VLOOKUP($D156,$C$5:$AJ$596,4,))*$F156))</f>
        <v>0</v>
      </c>
      <c r="T156" s="33">
        <f>IF(VLOOKUP($D156,$C$5:$AJ$596,18,)=0,0,((VLOOKUP($D156,$C$5:$AJ$596,18,)/VLOOKUP($D156,$C$5:$AJ$596,4,))*$F156))</f>
        <v>0</v>
      </c>
      <c r="U156" s="33">
        <f>IF(VLOOKUP($D156,$C$5:$AJ$596,19,)=0,0,((VLOOKUP($D156,$C$5:$AJ$596,19,)/VLOOKUP($D156,$C$5:$AJ$596,4,))*$F156))</f>
        <v>0</v>
      </c>
      <c r="V156" s="33">
        <f>IF(VLOOKUP($D156,$C$5:$AJ$596,20,)=0,0,((VLOOKUP($D156,$C$5:$AJ$596,20,)/VLOOKUP($D156,$C$5:$AJ$596,4,))*$F156))</f>
        <v>0</v>
      </c>
      <c r="W156" s="33">
        <f>IF(VLOOKUP($D156,$C$5:$AJ$596,21,)=0,0,((VLOOKUP($D156,$C$5:$AJ$596,21,)/VLOOKUP($D156,$C$5:$AJ$596,4,))*$F156))</f>
        <v>0</v>
      </c>
      <c r="X156" s="33">
        <f>IF(VLOOKUP($D156,$C$5:$AJ$596,22,)=0,0,((VLOOKUP($D156,$C$5:$AJ$596,22,)/VLOOKUP($D156,$C$5:$AJ$596,4,))*$F156))</f>
        <v>0</v>
      </c>
      <c r="Y156" s="33">
        <f>IF(VLOOKUP($D156,$C$5:$AJ$596,23,)=0,0,((VLOOKUP($D156,$C$5:$AJ$596,23,)/VLOOKUP($D156,$C$5:$AJ$596,4,))*$F156))</f>
        <v>0</v>
      </c>
      <c r="Z156" s="33">
        <f>IF(VLOOKUP($D156,$C$5:$AJ$596,24,)=0,0,((VLOOKUP($D156,$C$5:$AJ$596,24,)/VLOOKUP($D156,$C$5:$AJ$596,4,))*$F156))</f>
        <v>0</v>
      </c>
      <c r="AA156" s="33">
        <f>IF(VLOOKUP($D156,$C$5:$AJ$596,25,)=0,0,((VLOOKUP($D156,$C$5:$AJ$596,25,)/VLOOKUP($D156,$C$5:$AJ$596,4,))*$F156))</f>
        <v>0</v>
      </c>
      <c r="AB156" s="33">
        <f>IF(VLOOKUP($D156,$C$5:$AJ$596,26,)=0,0,((VLOOKUP($D156,$C$5:$AJ$596,26,)/VLOOKUP($D156,$C$5:$AJ$596,4,))*$F156))</f>
        <v>0</v>
      </c>
      <c r="AC156" s="33">
        <f>IF(VLOOKUP($D156,$C$5:$AJ$596,27,)=0,0,((VLOOKUP($D156,$C$5:$AJ$596,27,)/VLOOKUP($D156,$C$5:$AJ$596,4,))*$F156))</f>
        <v>0</v>
      </c>
      <c r="AD156" s="33">
        <f>IF(VLOOKUP($D156,$C$5:$AJ$596,28,)=0,0,((VLOOKUP($D156,$C$5:$AJ$596,28,)/VLOOKUP($D156,$C$5:$AJ$596,4,))*$F156))</f>
        <v>0</v>
      </c>
      <c r="AE156" s="33"/>
      <c r="AF156" s="33">
        <f>IF(VLOOKUP($D156,$C$5:$AJ$596,30,)=0,0,((VLOOKUP($D156,$C$5:$AJ$596,30,)/VLOOKUP($D156,$C$5:$AJ$596,4,))*$F156))</f>
        <v>0</v>
      </c>
      <c r="AG156" s="33"/>
      <c r="AH156" s="33">
        <f>IF(VLOOKUP($D156,$C$5:$AJ$596,32,)=0,0,((VLOOKUP($D156,$C$5:$AJ$596,32,)/VLOOKUP($D156,$C$5:$AJ$596,4,))*$F156))</f>
        <v>0</v>
      </c>
      <c r="AI156" s="33"/>
      <c r="AJ156" s="33">
        <f>IF(VLOOKUP($D156,$C$5:$AJ$596,34,)=0,0,((VLOOKUP($D156,$C$5:$AJ$596,34,)/VLOOKUP($D156,$C$5:$AJ$596,4,))*$F156))</f>
        <v>0</v>
      </c>
      <c r="AK156" s="33">
        <f t="shared" si="114"/>
        <v>14263829.964810729</v>
      </c>
      <c r="AL156" s="30" t="str">
        <f t="shared" si="115"/>
        <v>ok</v>
      </c>
    </row>
    <row r="157" spans="1:39" x14ac:dyDescent="0.25">
      <c r="A157" s="29">
        <v>507</v>
      </c>
      <c r="B157" s="29" t="s">
        <v>341</v>
      </c>
      <c r="C157" s="29" t="s">
        <v>1588</v>
      </c>
      <c r="D157" s="139" t="s">
        <v>685</v>
      </c>
      <c r="E157" s="14"/>
      <c r="F157" s="33">
        <f>'Jurisdictional Study'!F959-4677.18</f>
        <v>-5.8600021930033108E-4</v>
      </c>
      <c r="H157" s="33">
        <f>IF(VLOOKUP($D157,$C$5:$AJ$596,6,)=0,0,((VLOOKUP($D157,$C$5:$AJ$596,6,)/VLOOKUP($D157,$C$5:$AJ$596,4,))*$F157))</f>
        <v>-5.8600021930033108E-4</v>
      </c>
      <c r="I157" s="33">
        <f>IF(VLOOKUP($D157,$C$5:$AJ$596,7,)=0,0,((VLOOKUP($D157,$C$5:$AJ$596,7,)/VLOOKUP($D157,$C$5:$AJ$596,4,))*$F157))</f>
        <v>0</v>
      </c>
      <c r="J157" s="33">
        <f>IF(VLOOKUP($D157,$C$5:$AJ$596,8,)=0,0,((VLOOKUP($D157,$C$5:$AJ$596,8,)/VLOOKUP($D157,$C$5:$AJ$596,4,))*$F157))</f>
        <v>0</v>
      </c>
      <c r="K157" s="33">
        <f>IF(VLOOKUP($D157,$C$5:$AJ$596,9,)=0,0,((VLOOKUP($D157,$C$5:$AJ$596,9,)/VLOOKUP($D157,$C$5:$AJ$596,4,))*$F157))</f>
        <v>0</v>
      </c>
      <c r="L157" s="33">
        <f>IF(VLOOKUP($D157,$C$5:$AJ$596,10,)=0,0,((VLOOKUP($D157,$C$5:$AJ$596,10,)/VLOOKUP($D157,$C$5:$AJ$596,4,))*$F157))</f>
        <v>0</v>
      </c>
      <c r="M157" s="33">
        <f>IF(VLOOKUP($D157,$C$5:$AJ$596,11,)=0,0,((VLOOKUP($D157,$C$5:$AJ$596,11,)/VLOOKUP($D157,$C$5:$AJ$596,4,))*$F157))</f>
        <v>0</v>
      </c>
      <c r="N157" s="33"/>
      <c r="O157" s="33">
        <f>IF(VLOOKUP($D157,$C$5:$AJ$596,13,)=0,0,((VLOOKUP($D157,$C$5:$AJ$596,13,)/VLOOKUP($D157,$C$5:$AJ$596,4,))*$F157))</f>
        <v>0</v>
      </c>
      <c r="P157" s="33">
        <f>IF(VLOOKUP($D157,$C$5:$AJ$596,14,)=0,0,((VLOOKUP($D157,$C$5:$AJ$596,14,)/VLOOKUP($D157,$C$5:$AJ$596,4,))*$F157))</f>
        <v>0</v>
      </c>
      <c r="Q157" s="33">
        <f>IF(VLOOKUP($D157,$C$5:$AJ$596,15,)=0,0,((VLOOKUP($D157,$C$5:$AJ$596,15,)/VLOOKUP($D157,$C$5:$AJ$596,4,))*$F157))</f>
        <v>0</v>
      </c>
      <c r="R157" s="33"/>
      <c r="S157" s="33">
        <f>IF(VLOOKUP($D157,$C$5:$AJ$596,17,)=0,0,((VLOOKUP($D157,$C$5:$AJ$596,17,)/VLOOKUP($D157,$C$5:$AJ$596,4,))*$F157))</f>
        <v>0</v>
      </c>
      <c r="T157" s="33">
        <f>IF(VLOOKUP($D157,$C$5:$AJ$596,18,)=0,0,((VLOOKUP($D157,$C$5:$AJ$596,18,)/VLOOKUP($D157,$C$5:$AJ$596,4,))*$F157))</f>
        <v>0</v>
      </c>
      <c r="U157" s="33">
        <f>IF(VLOOKUP($D157,$C$5:$AJ$596,19,)=0,0,((VLOOKUP($D157,$C$5:$AJ$596,19,)/VLOOKUP($D157,$C$5:$AJ$596,4,))*$F157))</f>
        <v>0</v>
      </c>
      <c r="V157" s="33">
        <f>IF(VLOOKUP($D157,$C$5:$AJ$596,20,)=0,0,((VLOOKUP($D157,$C$5:$AJ$596,20,)/VLOOKUP($D157,$C$5:$AJ$596,4,))*$F157))</f>
        <v>0</v>
      </c>
      <c r="W157" s="33">
        <f>IF(VLOOKUP($D157,$C$5:$AJ$596,21,)=0,0,((VLOOKUP($D157,$C$5:$AJ$596,21,)/VLOOKUP($D157,$C$5:$AJ$596,4,))*$F157))</f>
        <v>0</v>
      </c>
      <c r="X157" s="33">
        <f>IF(VLOOKUP($D157,$C$5:$AJ$596,22,)=0,0,((VLOOKUP($D157,$C$5:$AJ$596,22,)/VLOOKUP($D157,$C$5:$AJ$596,4,))*$F157))</f>
        <v>0</v>
      </c>
      <c r="Y157" s="33">
        <f>IF(VLOOKUP($D157,$C$5:$AJ$596,23,)=0,0,((VLOOKUP($D157,$C$5:$AJ$596,23,)/VLOOKUP($D157,$C$5:$AJ$596,4,))*$F157))</f>
        <v>0</v>
      </c>
      <c r="Z157" s="33">
        <f>IF(VLOOKUP($D157,$C$5:$AJ$596,24,)=0,0,((VLOOKUP($D157,$C$5:$AJ$596,24,)/VLOOKUP($D157,$C$5:$AJ$596,4,))*$F157))</f>
        <v>0</v>
      </c>
      <c r="AA157" s="33">
        <f>IF(VLOOKUP($D157,$C$5:$AJ$596,25,)=0,0,((VLOOKUP($D157,$C$5:$AJ$596,25,)/VLOOKUP($D157,$C$5:$AJ$596,4,))*$F157))</f>
        <v>0</v>
      </c>
      <c r="AB157" s="33">
        <f>IF(VLOOKUP($D157,$C$5:$AJ$596,26,)=0,0,((VLOOKUP($D157,$C$5:$AJ$596,26,)/VLOOKUP($D157,$C$5:$AJ$596,4,))*$F157))</f>
        <v>0</v>
      </c>
      <c r="AC157" s="33">
        <f>IF(VLOOKUP($D157,$C$5:$AJ$596,27,)=0,0,((VLOOKUP($D157,$C$5:$AJ$596,27,)/VLOOKUP($D157,$C$5:$AJ$596,4,))*$F157))</f>
        <v>0</v>
      </c>
      <c r="AD157" s="33">
        <f>IF(VLOOKUP($D157,$C$5:$AJ$596,28,)=0,0,((VLOOKUP($D157,$C$5:$AJ$596,28,)/VLOOKUP($D157,$C$5:$AJ$596,4,))*$F157))</f>
        <v>0</v>
      </c>
      <c r="AE157" s="33"/>
      <c r="AF157" s="33">
        <f>IF(VLOOKUP($D157,$C$5:$AJ$596,30,)=0,0,((VLOOKUP($D157,$C$5:$AJ$596,30,)/VLOOKUP($D157,$C$5:$AJ$596,4,))*$F157))</f>
        <v>0</v>
      </c>
      <c r="AG157" s="33"/>
      <c r="AH157" s="33">
        <f>IF(VLOOKUP($D157,$C$5:$AJ$596,32,)=0,0,((VLOOKUP($D157,$C$5:$AJ$596,32,)/VLOOKUP($D157,$C$5:$AJ$596,4,))*$F157))</f>
        <v>0</v>
      </c>
      <c r="AI157" s="33"/>
      <c r="AJ157" s="33">
        <f>IF(VLOOKUP($D157,$C$5:$AJ$596,34,)=0,0,((VLOOKUP($D157,$C$5:$AJ$596,34,)/VLOOKUP($D157,$C$5:$AJ$596,4,))*$F157))</f>
        <v>0</v>
      </c>
      <c r="AK157" s="33">
        <f t="shared" si="114"/>
        <v>-5.8600021930033108E-4</v>
      </c>
      <c r="AL157" s="30" t="str">
        <f t="shared" si="115"/>
        <v>ok</v>
      </c>
    </row>
    <row r="158" spans="1:39" x14ac:dyDescent="0.25">
      <c r="A158" s="29">
        <v>509</v>
      </c>
      <c r="B158" s="29" t="s">
        <v>2097</v>
      </c>
      <c r="C158" s="29" t="s">
        <v>2096</v>
      </c>
      <c r="D158" s="139" t="s">
        <v>685</v>
      </c>
      <c r="E158" s="14"/>
      <c r="F158" s="33">
        <v>0</v>
      </c>
      <c r="H158" s="33">
        <f>IF(VLOOKUP($D158,$C$5:$AJ$596,6,)=0,0,((VLOOKUP($D158,$C$5:$AJ$596,6,)/VLOOKUP($D158,$C$5:$AJ$596,4,))*$F158))</f>
        <v>0</v>
      </c>
      <c r="I158" s="33">
        <f>IF(VLOOKUP($D158,$C$5:$AJ$596,7,)=0,0,((VLOOKUP($D158,$C$5:$AJ$596,7,)/VLOOKUP($D158,$C$5:$AJ$596,4,))*$F158))</f>
        <v>0</v>
      </c>
      <c r="J158" s="33">
        <f>IF(VLOOKUP($D158,$C$5:$AJ$596,8,)=0,0,((VLOOKUP($D158,$C$5:$AJ$596,8,)/VLOOKUP($D158,$C$5:$AJ$596,4,))*$F158))</f>
        <v>0</v>
      </c>
      <c r="K158" s="33">
        <f>IF(VLOOKUP($D158,$C$5:$AJ$596,9,)=0,0,((VLOOKUP($D158,$C$5:$AJ$596,9,)/VLOOKUP($D158,$C$5:$AJ$596,4,))*$F158))</f>
        <v>0</v>
      </c>
      <c r="L158" s="33">
        <f>IF(VLOOKUP($D158,$C$5:$AJ$596,10,)=0,0,((VLOOKUP($D158,$C$5:$AJ$596,10,)/VLOOKUP($D158,$C$5:$AJ$596,4,))*$F158))</f>
        <v>0</v>
      </c>
      <c r="M158" s="33">
        <f>IF(VLOOKUP($D158,$C$5:$AJ$596,11,)=0,0,((VLOOKUP($D158,$C$5:$AJ$596,11,)/VLOOKUP($D158,$C$5:$AJ$596,4,))*$F158))</f>
        <v>0</v>
      </c>
      <c r="N158" s="33"/>
      <c r="O158" s="33">
        <f>IF(VLOOKUP($D158,$C$5:$AJ$596,13,)=0,0,((VLOOKUP($D158,$C$5:$AJ$596,13,)/VLOOKUP($D158,$C$5:$AJ$596,4,))*$F158))</f>
        <v>0</v>
      </c>
      <c r="P158" s="33">
        <f>IF(VLOOKUP($D158,$C$5:$AJ$596,14,)=0,0,((VLOOKUP($D158,$C$5:$AJ$596,14,)/VLOOKUP($D158,$C$5:$AJ$596,4,))*$F158))</f>
        <v>0</v>
      </c>
      <c r="Q158" s="33">
        <f>IF(VLOOKUP($D158,$C$5:$AJ$596,15,)=0,0,((VLOOKUP($D158,$C$5:$AJ$596,15,)/VLOOKUP($D158,$C$5:$AJ$596,4,))*$F158))</f>
        <v>0</v>
      </c>
      <c r="R158" s="33"/>
      <c r="S158" s="33">
        <f>IF(VLOOKUP($D158,$C$5:$AJ$596,17,)=0,0,((VLOOKUP($D158,$C$5:$AJ$596,17,)/VLOOKUP($D158,$C$5:$AJ$596,4,))*$F158))</f>
        <v>0</v>
      </c>
      <c r="T158" s="33">
        <f>IF(VLOOKUP($D158,$C$5:$AJ$596,18,)=0,0,((VLOOKUP($D158,$C$5:$AJ$596,18,)/VLOOKUP($D158,$C$5:$AJ$596,4,))*$F158))</f>
        <v>0</v>
      </c>
      <c r="U158" s="33">
        <f>IF(VLOOKUP($D158,$C$5:$AJ$596,19,)=0,0,((VLOOKUP($D158,$C$5:$AJ$596,19,)/VLOOKUP($D158,$C$5:$AJ$596,4,))*$F158))</f>
        <v>0</v>
      </c>
      <c r="V158" s="33">
        <f>IF(VLOOKUP($D158,$C$5:$AJ$596,20,)=0,0,((VLOOKUP($D158,$C$5:$AJ$596,20,)/VLOOKUP($D158,$C$5:$AJ$596,4,))*$F158))</f>
        <v>0</v>
      </c>
      <c r="W158" s="33">
        <f>IF(VLOOKUP($D158,$C$5:$AJ$596,21,)=0,0,((VLOOKUP($D158,$C$5:$AJ$596,21,)/VLOOKUP($D158,$C$5:$AJ$596,4,))*$F158))</f>
        <v>0</v>
      </c>
      <c r="X158" s="33">
        <f>IF(VLOOKUP($D158,$C$5:$AJ$596,22,)=0,0,((VLOOKUP($D158,$C$5:$AJ$596,22,)/VLOOKUP($D158,$C$5:$AJ$596,4,))*$F158))</f>
        <v>0</v>
      </c>
      <c r="Y158" s="33">
        <f>IF(VLOOKUP($D158,$C$5:$AJ$596,23,)=0,0,((VLOOKUP($D158,$C$5:$AJ$596,23,)/VLOOKUP($D158,$C$5:$AJ$596,4,))*$F158))</f>
        <v>0</v>
      </c>
      <c r="Z158" s="33">
        <f>IF(VLOOKUP($D158,$C$5:$AJ$596,24,)=0,0,((VLOOKUP($D158,$C$5:$AJ$596,24,)/VLOOKUP($D158,$C$5:$AJ$596,4,))*$F158))</f>
        <v>0</v>
      </c>
      <c r="AA158" s="33">
        <f>IF(VLOOKUP($D158,$C$5:$AJ$596,25,)=0,0,((VLOOKUP($D158,$C$5:$AJ$596,25,)/VLOOKUP($D158,$C$5:$AJ$596,4,))*$F158))</f>
        <v>0</v>
      </c>
      <c r="AB158" s="33">
        <f>IF(VLOOKUP($D158,$C$5:$AJ$596,26,)=0,0,((VLOOKUP($D158,$C$5:$AJ$596,26,)/VLOOKUP($D158,$C$5:$AJ$596,4,))*$F158))</f>
        <v>0</v>
      </c>
      <c r="AC158" s="33">
        <f>IF(VLOOKUP($D158,$C$5:$AJ$596,27,)=0,0,((VLOOKUP($D158,$C$5:$AJ$596,27,)/VLOOKUP($D158,$C$5:$AJ$596,4,))*$F158))</f>
        <v>0</v>
      </c>
      <c r="AD158" s="33">
        <f>IF(VLOOKUP($D158,$C$5:$AJ$596,28,)=0,0,((VLOOKUP($D158,$C$5:$AJ$596,28,)/VLOOKUP($D158,$C$5:$AJ$596,4,))*$F158))</f>
        <v>0</v>
      </c>
      <c r="AE158" s="33"/>
      <c r="AF158" s="33">
        <f>IF(VLOOKUP($D158,$C$5:$AJ$596,30,)=0,0,((VLOOKUP($D158,$C$5:$AJ$596,30,)/VLOOKUP($D158,$C$5:$AJ$596,4,))*$F158))</f>
        <v>0</v>
      </c>
      <c r="AG158" s="33"/>
      <c r="AH158" s="33">
        <f>IF(VLOOKUP($D158,$C$5:$AJ$596,32,)=0,0,((VLOOKUP($D158,$C$5:$AJ$596,32,)/VLOOKUP($D158,$C$5:$AJ$596,4,))*$F158))</f>
        <v>0</v>
      </c>
      <c r="AI158" s="33"/>
      <c r="AJ158" s="33">
        <f>IF(VLOOKUP($D158,$C$5:$AJ$596,34,)=0,0,((VLOOKUP($D158,$C$5:$AJ$596,34,)/VLOOKUP($D158,$C$5:$AJ$596,4,))*$F158))</f>
        <v>0</v>
      </c>
      <c r="AK158" s="33">
        <f t="shared" ref="AK158" si="117">SUM(H158:AJ158)</f>
        <v>0</v>
      </c>
      <c r="AL158" s="30" t="str">
        <f t="shared" ref="AL158" si="118">IF(ABS(AK158-F158)&lt;1,"ok","err")</f>
        <v>ok</v>
      </c>
    </row>
    <row r="159" spans="1:39" x14ac:dyDescent="0.25">
      <c r="D159" s="139"/>
      <c r="E159" s="14"/>
      <c r="F159" s="32"/>
      <c r="Y159" s="29"/>
      <c r="AL159" s="30"/>
    </row>
    <row r="160" spans="1:39" x14ac:dyDescent="0.25">
      <c r="B160" s="29" t="s">
        <v>1464</v>
      </c>
      <c r="D160" s="139"/>
      <c r="E160" s="14"/>
      <c r="F160" s="32">
        <f>SUM(F152:F159)</f>
        <v>366241071.4771378</v>
      </c>
      <c r="H160" s="32">
        <f>SUM(H152:H159)</f>
        <v>36922507.550758019</v>
      </c>
      <c r="I160" s="32">
        <f t="shared" ref="I160:AK160" si="119">SUM(I152:I159)</f>
        <v>0</v>
      </c>
      <c r="J160" s="32">
        <f t="shared" si="119"/>
        <v>0</v>
      </c>
      <c r="K160" s="32">
        <f t="shared" si="119"/>
        <v>329318563.92637968</v>
      </c>
      <c r="L160" s="32">
        <f t="shared" si="119"/>
        <v>0</v>
      </c>
      <c r="M160" s="32">
        <f t="shared" si="119"/>
        <v>0</v>
      </c>
      <c r="O160" s="32">
        <f t="shared" si="119"/>
        <v>0</v>
      </c>
      <c r="P160" s="32">
        <f>SUM(P152:P159)</f>
        <v>0</v>
      </c>
      <c r="Q160" s="32">
        <f>SUM(Q152:Q159)</f>
        <v>0</v>
      </c>
      <c r="S160" s="32">
        <f t="shared" si="119"/>
        <v>0</v>
      </c>
      <c r="T160" s="32">
        <f t="shared" si="119"/>
        <v>0</v>
      </c>
      <c r="U160" s="32">
        <f t="shared" si="119"/>
        <v>0</v>
      </c>
      <c r="V160" s="32">
        <f t="shared" si="119"/>
        <v>0</v>
      </c>
      <c r="W160" s="32">
        <f>SUM(W152:W159)</f>
        <v>0</v>
      </c>
      <c r="X160" s="32">
        <f>SUM(X152:X159)</f>
        <v>0</v>
      </c>
      <c r="Y160" s="32">
        <f>SUM(Y152:Y159)</f>
        <v>0</v>
      </c>
      <c r="Z160" s="32">
        <f t="shared" si="119"/>
        <v>0</v>
      </c>
      <c r="AA160" s="32">
        <f t="shared" si="119"/>
        <v>0</v>
      </c>
      <c r="AB160" s="32">
        <f>SUM(AB152:AB159)</f>
        <v>0</v>
      </c>
      <c r="AC160" s="32">
        <f>SUM(AC152:AC159)</f>
        <v>0</v>
      </c>
      <c r="AD160" s="32">
        <f t="shared" si="119"/>
        <v>0</v>
      </c>
      <c r="AF160" s="32">
        <f t="shared" si="119"/>
        <v>0</v>
      </c>
      <c r="AH160" s="32">
        <f t="shared" si="119"/>
        <v>0</v>
      </c>
      <c r="AJ160" s="32">
        <f t="shared" si="119"/>
        <v>0</v>
      </c>
      <c r="AK160" s="32">
        <f t="shared" si="119"/>
        <v>366241071.4771378</v>
      </c>
      <c r="AL160" s="30" t="str">
        <f>IF(ABS(AK160-F160)&lt;1,"ok","err")</f>
        <v>ok</v>
      </c>
    </row>
    <row r="161" spans="1:38" x14ac:dyDescent="0.25">
      <c r="D161" s="139"/>
      <c r="E161" s="14"/>
      <c r="F161" s="32"/>
      <c r="Y161" s="29"/>
      <c r="AL161" s="30"/>
    </row>
    <row r="162" spans="1:38" x14ac:dyDescent="0.25">
      <c r="A162" s="4" t="s">
        <v>1465</v>
      </c>
      <c r="D162" s="139"/>
      <c r="E162" s="14"/>
      <c r="F162" s="32"/>
      <c r="Y162" s="29"/>
      <c r="AL162" s="30"/>
    </row>
    <row r="163" spans="1:38" x14ac:dyDescent="0.25">
      <c r="A163" s="29">
        <v>510</v>
      </c>
      <c r="B163" s="29" t="s">
        <v>541</v>
      </c>
      <c r="C163" s="29" t="s">
        <v>1466</v>
      </c>
      <c r="D163" s="139" t="s">
        <v>969</v>
      </c>
      <c r="E163" s="14"/>
      <c r="F163" s="32">
        <f>'Jurisdictional Study'!F961</f>
        <v>9552200.4769985341</v>
      </c>
      <c r="H163" s="33">
        <f>IF(VLOOKUP($D163,$C$5:$AJ$596,6,)=0,0,((VLOOKUP($D163,$C$5:$AJ$596,6,)/VLOOKUP($D163,$C$5:$AJ$596,4,))*$F163))</f>
        <v>772776.45669832441</v>
      </c>
      <c r="I163" s="33">
        <f>IF(VLOOKUP($D163,$C$5:$AJ$596,7,)=0,0,((VLOOKUP($D163,$C$5:$AJ$596,7,)/VLOOKUP($D163,$C$5:$AJ$596,4,))*$F163))</f>
        <v>0</v>
      </c>
      <c r="J163" s="33">
        <f>IF(VLOOKUP($D163,$C$5:$AJ$596,8,)=0,0,((VLOOKUP($D163,$C$5:$AJ$596,8,)/VLOOKUP($D163,$C$5:$AJ$596,4,))*$F163))</f>
        <v>0</v>
      </c>
      <c r="K163" s="33">
        <f>IF(VLOOKUP($D163,$C$5:$AJ$596,9,)=0,0,((VLOOKUP($D163,$C$5:$AJ$596,9,)/VLOOKUP($D163,$C$5:$AJ$596,4,))*$F163))</f>
        <v>8779424.0203002114</v>
      </c>
      <c r="L163" s="33">
        <f>IF(VLOOKUP($D163,$C$5:$AJ$596,10,)=0,0,((VLOOKUP($D163,$C$5:$AJ$596,10,)/VLOOKUP($D163,$C$5:$AJ$596,4,))*$F163))</f>
        <v>0</v>
      </c>
      <c r="M163" s="33">
        <f>IF(VLOOKUP($D163,$C$5:$AJ$596,11,)=0,0,((VLOOKUP($D163,$C$5:$AJ$596,11,)/VLOOKUP($D163,$C$5:$AJ$596,4,))*$F163))</f>
        <v>0</v>
      </c>
      <c r="N163" s="33"/>
      <c r="O163" s="33">
        <f>IF(VLOOKUP($D163,$C$5:$AJ$596,13,)=0,0,((VLOOKUP($D163,$C$5:$AJ$596,13,)/VLOOKUP($D163,$C$5:$AJ$596,4,))*$F163))</f>
        <v>0</v>
      </c>
      <c r="P163" s="33">
        <f>IF(VLOOKUP($D163,$C$5:$AJ$596,14,)=0,0,((VLOOKUP($D163,$C$5:$AJ$596,14,)/VLOOKUP($D163,$C$5:$AJ$596,4,))*$F163))</f>
        <v>0</v>
      </c>
      <c r="Q163" s="33">
        <f>IF(VLOOKUP($D163,$C$5:$AJ$596,15,)=0,0,((VLOOKUP($D163,$C$5:$AJ$596,15,)/VLOOKUP($D163,$C$5:$AJ$596,4,))*$F163))</f>
        <v>0</v>
      </c>
      <c r="R163" s="33"/>
      <c r="S163" s="33">
        <f>IF(VLOOKUP($D163,$C$5:$AJ$596,17,)=0,0,((VLOOKUP($D163,$C$5:$AJ$596,17,)/VLOOKUP($D163,$C$5:$AJ$596,4,))*$F163))</f>
        <v>0</v>
      </c>
      <c r="T163" s="33">
        <f>IF(VLOOKUP($D163,$C$5:$AJ$596,18,)=0,0,((VLOOKUP($D163,$C$5:$AJ$596,18,)/VLOOKUP($D163,$C$5:$AJ$596,4,))*$F163))</f>
        <v>0</v>
      </c>
      <c r="U163" s="33">
        <f>IF(VLOOKUP($D163,$C$5:$AJ$596,19,)=0,0,((VLOOKUP($D163,$C$5:$AJ$596,19,)/VLOOKUP($D163,$C$5:$AJ$596,4,))*$F163))</f>
        <v>0</v>
      </c>
      <c r="V163" s="33">
        <f>IF(VLOOKUP($D163,$C$5:$AJ$596,20,)=0,0,((VLOOKUP($D163,$C$5:$AJ$596,20,)/VLOOKUP($D163,$C$5:$AJ$596,4,))*$F163))</f>
        <v>0</v>
      </c>
      <c r="W163" s="33">
        <f>IF(VLOOKUP($D163,$C$5:$AJ$596,21,)=0,0,((VLOOKUP($D163,$C$5:$AJ$596,21,)/VLOOKUP($D163,$C$5:$AJ$596,4,))*$F163))</f>
        <v>0</v>
      </c>
      <c r="X163" s="33">
        <f>IF(VLOOKUP($D163,$C$5:$AJ$596,22,)=0,0,((VLOOKUP($D163,$C$5:$AJ$596,22,)/VLOOKUP($D163,$C$5:$AJ$596,4,))*$F163))</f>
        <v>0</v>
      </c>
      <c r="Y163" s="33">
        <f>IF(VLOOKUP($D163,$C$5:$AJ$596,23,)=0,0,((VLOOKUP($D163,$C$5:$AJ$596,23,)/VLOOKUP($D163,$C$5:$AJ$596,4,))*$F163))</f>
        <v>0</v>
      </c>
      <c r="Z163" s="33">
        <f>IF(VLOOKUP($D163,$C$5:$AJ$596,24,)=0,0,((VLOOKUP($D163,$C$5:$AJ$596,24,)/VLOOKUP($D163,$C$5:$AJ$596,4,))*$F163))</f>
        <v>0</v>
      </c>
      <c r="AA163" s="33">
        <f>IF(VLOOKUP($D163,$C$5:$AJ$596,25,)=0,0,((VLOOKUP($D163,$C$5:$AJ$596,25,)/VLOOKUP($D163,$C$5:$AJ$596,4,))*$F163))</f>
        <v>0</v>
      </c>
      <c r="AB163" s="33">
        <f>IF(VLOOKUP($D163,$C$5:$AJ$596,26,)=0,0,((VLOOKUP($D163,$C$5:$AJ$596,26,)/VLOOKUP($D163,$C$5:$AJ$596,4,))*$F163))</f>
        <v>0</v>
      </c>
      <c r="AC163" s="33">
        <f>IF(VLOOKUP($D163,$C$5:$AJ$596,27,)=0,0,((VLOOKUP($D163,$C$5:$AJ$596,27,)/VLOOKUP($D163,$C$5:$AJ$596,4,))*$F163))</f>
        <v>0</v>
      </c>
      <c r="AD163" s="33">
        <f>IF(VLOOKUP($D163,$C$5:$AJ$596,28,)=0,0,((VLOOKUP($D163,$C$5:$AJ$596,28,)/VLOOKUP($D163,$C$5:$AJ$596,4,))*$F163))</f>
        <v>0</v>
      </c>
      <c r="AE163" s="33"/>
      <c r="AF163" s="33">
        <f>IF(VLOOKUP($D163,$C$5:$AJ$596,30,)=0,0,((VLOOKUP($D163,$C$5:$AJ$596,30,)/VLOOKUP($D163,$C$5:$AJ$596,4,))*$F163))</f>
        <v>0</v>
      </c>
      <c r="AG163" s="33"/>
      <c r="AH163" s="33">
        <f>IF(VLOOKUP($D163,$C$5:$AJ$596,32,)=0,0,((VLOOKUP($D163,$C$5:$AJ$596,32,)/VLOOKUP($D163,$C$5:$AJ$596,4,))*$F163))</f>
        <v>0</v>
      </c>
      <c r="AI163" s="33"/>
      <c r="AJ163" s="33">
        <f>IF(VLOOKUP($D163,$C$5:$AJ$596,34,)=0,0,((VLOOKUP($D163,$C$5:$AJ$596,34,)/VLOOKUP($D163,$C$5:$AJ$596,4,))*$F163))</f>
        <v>0</v>
      </c>
      <c r="AK163" s="33">
        <f>SUM(H163:AJ163)</f>
        <v>9552200.4769985359</v>
      </c>
      <c r="AL163" s="30" t="str">
        <f>IF(ABS(AK163-F163)&lt;1,"ok","err")</f>
        <v>ok</v>
      </c>
    </row>
    <row r="164" spans="1:38" x14ac:dyDescent="0.25">
      <c r="A164" s="29">
        <v>511</v>
      </c>
      <c r="B164" s="29" t="s">
        <v>540</v>
      </c>
      <c r="C164" s="29" t="s">
        <v>1467</v>
      </c>
      <c r="D164" s="139" t="s">
        <v>685</v>
      </c>
      <c r="E164" s="14"/>
      <c r="F164" s="33">
        <f>'Jurisdictional Study'!F962</f>
        <v>6796834.9695966337</v>
      </c>
      <c r="H164" s="33">
        <f>IF(VLOOKUP($D164,$C$5:$AJ$596,6,)=0,0,((VLOOKUP($D164,$C$5:$AJ$596,6,)/VLOOKUP($D164,$C$5:$AJ$596,4,))*$F164))</f>
        <v>6796834.9695966337</v>
      </c>
      <c r="I164" s="33">
        <f>IF(VLOOKUP($D164,$C$5:$AJ$596,7,)=0,0,((VLOOKUP($D164,$C$5:$AJ$596,7,)/VLOOKUP($D164,$C$5:$AJ$596,4,))*$F164))</f>
        <v>0</v>
      </c>
      <c r="J164" s="33">
        <f>IF(VLOOKUP($D164,$C$5:$AJ$596,8,)=0,0,((VLOOKUP($D164,$C$5:$AJ$596,8,)/VLOOKUP($D164,$C$5:$AJ$596,4,))*$F164))</f>
        <v>0</v>
      </c>
      <c r="K164" s="33">
        <f>IF(VLOOKUP($D164,$C$5:$AJ$596,9,)=0,0,((VLOOKUP($D164,$C$5:$AJ$596,9,)/VLOOKUP($D164,$C$5:$AJ$596,4,))*$F164))</f>
        <v>0</v>
      </c>
      <c r="L164" s="33">
        <f>IF(VLOOKUP($D164,$C$5:$AJ$596,10,)=0,0,((VLOOKUP($D164,$C$5:$AJ$596,10,)/VLOOKUP($D164,$C$5:$AJ$596,4,))*$F164))</f>
        <v>0</v>
      </c>
      <c r="M164" s="33">
        <f>IF(VLOOKUP($D164,$C$5:$AJ$596,11,)=0,0,((VLOOKUP($D164,$C$5:$AJ$596,11,)/VLOOKUP($D164,$C$5:$AJ$596,4,))*$F164))</f>
        <v>0</v>
      </c>
      <c r="N164" s="33"/>
      <c r="O164" s="33">
        <f>IF(VLOOKUP($D164,$C$5:$AJ$596,13,)=0,0,((VLOOKUP($D164,$C$5:$AJ$596,13,)/VLOOKUP($D164,$C$5:$AJ$596,4,))*$F164))</f>
        <v>0</v>
      </c>
      <c r="P164" s="33">
        <f>IF(VLOOKUP($D164,$C$5:$AJ$596,14,)=0,0,((VLOOKUP($D164,$C$5:$AJ$596,14,)/VLOOKUP($D164,$C$5:$AJ$596,4,))*$F164))</f>
        <v>0</v>
      </c>
      <c r="Q164" s="33">
        <f>IF(VLOOKUP($D164,$C$5:$AJ$596,15,)=0,0,((VLOOKUP($D164,$C$5:$AJ$596,15,)/VLOOKUP($D164,$C$5:$AJ$596,4,))*$F164))</f>
        <v>0</v>
      </c>
      <c r="R164" s="33"/>
      <c r="S164" s="33">
        <f>IF(VLOOKUP($D164,$C$5:$AJ$596,17,)=0,0,((VLOOKUP($D164,$C$5:$AJ$596,17,)/VLOOKUP($D164,$C$5:$AJ$596,4,))*$F164))</f>
        <v>0</v>
      </c>
      <c r="T164" s="33">
        <f>IF(VLOOKUP($D164,$C$5:$AJ$596,18,)=0,0,((VLOOKUP($D164,$C$5:$AJ$596,18,)/VLOOKUP($D164,$C$5:$AJ$596,4,))*$F164))</f>
        <v>0</v>
      </c>
      <c r="U164" s="33">
        <f>IF(VLOOKUP($D164,$C$5:$AJ$596,19,)=0,0,((VLOOKUP($D164,$C$5:$AJ$596,19,)/VLOOKUP($D164,$C$5:$AJ$596,4,))*$F164))</f>
        <v>0</v>
      </c>
      <c r="V164" s="33">
        <f>IF(VLOOKUP($D164,$C$5:$AJ$596,20,)=0,0,((VLOOKUP($D164,$C$5:$AJ$596,20,)/VLOOKUP($D164,$C$5:$AJ$596,4,))*$F164))</f>
        <v>0</v>
      </c>
      <c r="W164" s="33">
        <f>IF(VLOOKUP($D164,$C$5:$AJ$596,21,)=0,0,((VLOOKUP($D164,$C$5:$AJ$596,21,)/VLOOKUP($D164,$C$5:$AJ$596,4,))*$F164))</f>
        <v>0</v>
      </c>
      <c r="X164" s="33">
        <f>IF(VLOOKUP($D164,$C$5:$AJ$596,22,)=0,0,((VLOOKUP($D164,$C$5:$AJ$596,22,)/VLOOKUP($D164,$C$5:$AJ$596,4,))*$F164))</f>
        <v>0</v>
      </c>
      <c r="Y164" s="33">
        <f>IF(VLOOKUP($D164,$C$5:$AJ$596,23,)=0,0,((VLOOKUP($D164,$C$5:$AJ$596,23,)/VLOOKUP($D164,$C$5:$AJ$596,4,))*$F164))</f>
        <v>0</v>
      </c>
      <c r="Z164" s="33">
        <f>IF(VLOOKUP($D164,$C$5:$AJ$596,24,)=0,0,((VLOOKUP($D164,$C$5:$AJ$596,24,)/VLOOKUP($D164,$C$5:$AJ$596,4,))*$F164))</f>
        <v>0</v>
      </c>
      <c r="AA164" s="33">
        <f>IF(VLOOKUP($D164,$C$5:$AJ$596,25,)=0,0,((VLOOKUP($D164,$C$5:$AJ$596,25,)/VLOOKUP($D164,$C$5:$AJ$596,4,))*$F164))</f>
        <v>0</v>
      </c>
      <c r="AB164" s="33">
        <f>IF(VLOOKUP($D164,$C$5:$AJ$596,26,)=0,0,((VLOOKUP($D164,$C$5:$AJ$596,26,)/VLOOKUP($D164,$C$5:$AJ$596,4,))*$F164))</f>
        <v>0</v>
      </c>
      <c r="AC164" s="33">
        <f>IF(VLOOKUP($D164,$C$5:$AJ$596,27,)=0,0,((VLOOKUP($D164,$C$5:$AJ$596,27,)/VLOOKUP($D164,$C$5:$AJ$596,4,))*$F164))</f>
        <v>0</v>
      </c>
      <c r="AD164" s="33">
        <f>IF(VLOOKUP($D164,$C$5:$AJ$596,28,)=0,0,((VLOOKUP($D164,$C$5:$AJ$596,28,)/VLOOKUP($D164,$C$5:$AJ$596,4,))*$F164))</f>
        <v>0</v>
      </c>
      <c r="AE164" s="33"/>
      <c r="AF164" s="33">
        <f>IF(VLOOKUP($D164,$C$5:$AJ$596,30,)=0,0,((VLOOKUP($D164,$C$5:$AJ$596,30,)/VLOOKUP($D164,$C$5:$AJ$596,4,))*$F164))</f>
        <v>0</v>
      </c>
      <c r="AG164" s="33"/>
      <c r="AH164" s="33">
        <f>IF(VLOOKUP($D164,$C$5:$AJ$596,32,)=0,0,((VLOOKUP($D164,$C$5:$AJ$596,32,)/VLOOKUP($D164,$C$5:$AJ$596,4,))*$F164))</f>
        <v>0</v>
      </c>
      <c r="AI164" s="33"/>
      <c r="AJ164" s="33">
        <f>IF(VLOOKUP($D164,$C$5:$AJ$596,34,)=0,0,((VLOOKUP($D164,$C$5:$AJ$596,34,)/VLOOKUP($D164,$C$5:$AJ$596,4,))*$F164))</f>
        <v>0</v>
      </c>
      <c r="AK164" s="33">
        <f>SUM(H164:AJ164)</f>
        <v>6796834.9695966337</v>
      </c>
      <c r="AL164" s="30" t="str">
        <f>IF(ABS(AK164-F164)&lt;1,"ok","err")</f>
        <v>ok</v>
      </c>
    </row>
    <row r="165" spans="1:38" x14ac:dyDescent="0.25">
      <c r="A165" s="29">
        <v>512</v>
      </c>
      <c r="B165" s="29" t="s">
        <v>1468</v>
      </c>
      <c r="C165" s="29" t="s">
        <v>1470</v>
      </c>
      <c r="D165" s="139" t="s">
        <v>104</v>
      </c>
      <c r="E165" s="14"/>
      <c r="F165" s="33">
        <f>'Jurisdictional Study'!F963-5188675.33</f>
        <v>41428190.324066199</v>
      </c>
      <c r="H165" s="33">
        <f>IF(VLOOKUP($D165,$C$5:$AJ$596,6,)=0,0,((VLOOKUP($D165,$C$5:$AJ$596,6,)/VLOOKUP($D165,$C$5:$AJ$596,4,))*$F165))</f>
        <v>0</v>
      </c>
      <c r="I165" s="33">
        <f>IF(VLOOKUP($D165,$C$5:$AJ$596,7,)=0,0,((VLOOKUP($D165,$C$5:$AJ$596,7,)/VLOOKUP($D165,$C$5:$AJ$596,4,))*$F165))</f>
        <v>0</v>
      </c>
      <c r="J165" s="33">
        <f>IF(VLOOKUP($D165,$C$5:$AJ$596,8,)=0,0,((VLOOKUP($D165,$C$5:$AJ$596,8,)/VLOOKUP($D165,$C$5:$AJ$596,4,))*$F165))</f>
        <v>0</v>
      </c>
      <c r="K165" s="33">
        <f>IF(VLOOKUP($D165,$C$5:$AJ$596,9,)=0,0,((VLOOKUP($D165,$C$5:$AJ$596,9,)/VLOOKUP($D165,$C$5:$AJ$596,4,))*$F165))</f>
        <v>41428190.324066199</v>
      </c>
      <c r="L165" s="33">
        <f>IF(VLOOKUP($D165,$C$5:$AJ$596,10,)=0,0,((VLOOKUP($D165,$C$5:$AJ$596,10,)/VLOOKUP($D165,$C$5:$AJ$596,4,))*$F165))</f>
        <v>0</v>
      </c>
      <c r="M165" s="33">
        <f>IF(VLOOKUP($D165,$C$5:$AJ$596,11,)=0,0,((VLOOKUP($D165,$C$5:$AJ$596,11,)/VLOOKUP($D165,$C$5:$AJ$596,4,))*$F165))</f>
        <v>0</v>
      </c>
      <c r="N165" s="33"/>
      <c r="O165" s="33">
        <f>IF(VLOOKUP($D165,$C$5:$AJ$596,13,)=0,0,((VLOOKUP($D165,$C$5:$AJ$596,13,)/VLOOKUP($D165,$C$5:$AJ$596,4,))*$F165))</f>
        <v>0</v>
      </c>
      <c r="P165" s="33">
        <f>IF(VLOOKUP($D165,$C$5:$AJ$596,14,)=0,0,((VLOOKUP($D165,$C$5:$AJ$596,14,)/VLOOKUP($D165,$C$5:$AJ$596,4,))*$F165))</f>
        <v>0</v>
      </c>
      <c r="Q165" s="33">
        <f>IF(VLOOKUP($D165,$C$5:$AJ$596,15,)=0,0,((VLOOKUP($D165,$C$5:$AJ$596,15,)/VLOOKUP($D165,$C$5:$AJ$596,4,))*$F165))</f>
        <v>0</v>
      </c>
      <c r="R165" s="33"/>
      <c r="S165" s="33">
        <f>IF(VLOOKUP($D165,$C$5:$AJ$596,17,)=0,0,((VLOOKUP($D165,$C$5:$AJ$596,17,)/VLOOKUP($D165,$C$5:$AJ$596,4,))*$F165))</f>
        <v>0</v>
      </c>
      <c r="T165" s="33">
        <f>IF(VLOOKUP($D165,$C$5:$AJ$596,18,)=0,0,((VLOOKUP($D165,$C$5:$AJ$596,18,)/VLOOKUP($D165,$C$5:$AJ$596,4,))*$F165))</f>
        <v>0</v>
      </c>
      <c r="U165" s="33">
        <f>IF(VLOOKUP($D165,$C$5:$AJ$596,19,)=0,0,((VLOOKUP($D165,$C$5:$AJ$596,19,)/VLOOKUP($D165,$C$5:$AJ$596,4,))*$F165))</f>
        <v>0</v>
      </c>
      <c r="V165" s="33">
        <f>IF(VLOOKUP($D165,$C$5:$AJ$596,20,)=0,0,((VLOOKUP($D165,$C$5:$AJ$596,20,)/VLOOKUP($D165,$C$5:$AJ$596,4,))*$F165))</f>
        <v>0</v>
      </c>
      <c r="W165" s="33">
        <f>IF(VLOOKUP($D165,$C$5:$AJ$596,21,)=0,0,((VLOOKUP($D165,$C$5:$AJ$596,21,)/VLOOKUP($D165,$C$5:$AJ$596,4,))*$F165))</f>
        <v>0</v>
      </c>
      <c r="X165" s="33">
        <f>IF(VLOOKUP($D165,$C$5:$AJ$596,22,)=0,0,((VLOOKUP($D165,$C$5:$AJ$596,22,)/VLOOKUP($D165,$C$5:$AJ$596,4,))*$F165))</f>
        <v>0</v>
      </c>
      <c r="Y165" s="33">
        <f>IF(VLOOKUP($D165,$C$5:$AJ$596,23,)=0,0,((VLOOKUP($D165,$C$5:$AJ$596,23,)/VLOOKUP($D165,$C$5:$AJ$596,4,))*$F165))</f>
        <v>0</v>
      </c>
      <c r="Z165" s="33">
        <f>IF(VLOOKUP($D165,$C$5:$AJ$596,24,)=0,0,((VLOOKUP($D165,$C$5:$AJ$596,24,)/VLOOKUP($D165,$C$5:$AJ$596,4,))*$F165))</f>
        <v>0</v>
      </c>
      <c r="AA165" s="33">
        <f>IF(VLOOKUP($D165,$C$5:$AJ$596,25,)=0,0,((VLOOKUP($D165,$C$5:$AJ$596,25,)/VLOOKUP($D165,$C$5:$AJ$596,4,))*$F165))</f>
        <v>0</v>
      </c>
      <c r="AB165" s="33">
        <f>IF(VLOOKUP($D165,$C$5:$AJ$596,26,)=0,0,((VLOOKUP($D165,$C$5:$AJ$596,26,)/VLOOKUP($D165,$C$5:$AJ$596,4,))*$F165))</f>
        <v>0</v>
      </c>
      <c r="AC165" s="33">
        <f>IF(VLOOKUP($D165,$C$5:$AJ$596,27,)=0,0,((VLOOKUP($D165,$C$5:$AJ$596,27,)/VLOOKUP($D165,$C$5:$AJ$596,4,))*$F165))</f>
        <v>0</v>
      </c>
      <c r="AD165" s="33">
        <f>IF(VLOOKUP($D165,$C$5:$AJ$596,28,)=0,0,((VLOOKUP($D165,$C$5:$AJ$596,28,)/VLOOKUP($D165,$C$5:$AJ$596,4,))*$F165))</f>
        <v>0</v>
      </c>
      <c r="AE165" s="33"/>
      <c r="AF165" s="33">
        <f>IF(VLOOKUP($D165,$C$5:$AJ$596,30,)=0,0,((VLOOKUP($D165,$C$5:$AJ$596,30,)/VLOOKUP($D165,$C$5:$AJ$596,4,))*$F165))</f>
        <v>0</v>
      </c>
      <c r="AG165" s="33"/>
      <c r="AH165" s="33">
        <f>IF(VLOOKUP($D165,$C$5:$AJ$596,32,)=0,0,((VLOOKUP($D165,$C$5:$AJ$596,32,)/VLOOKUP($D165,$C$5:$AJ$596,4,))*$F165))</f>
        <v>0</v>
      </c>
      <c r="AI165" s="33"/>
      <c r="AJ165" s="33">
        <f>IF(VLOOKUP($D165,$C$5:$AJ$596,34,)=0,0,((VLOOKUP($D165,$C$5:$AJ$596,34,)/VLOOKUP($D165,$C$5:$AJ$596,4,))*$F165))</f>
        <v>0</v>
      </c>
      <c r="AK165" s="33">
        <f>SUM(H165:AJ165)</f>
        <v>41428190.324066199</v>
      </c>
      <c r="AL165" s="30" t="str">
        <f>IF(ABS(AK165-F165)&lt;1,"ok","err")</f>
        <v>ok</v>
      </c>
    </row>
    <row r="166" spans="1:38" x14ac:dyDescent="0.25">
      <c r="A166" s="29">
        <v>513</v>
      </c>
      <c r="B166" s="29" t="s">
        <v>1469</v>
      </c>
      <c r="C166" s="29" t="s">
        <v>1471</v>
      </c>
      <c r="D166" s="13" t="s">
        <v>104</v>
      </c>
      <c r="E166" s="13"/>
      <c r="F166" s="33">
        <f>'Jurisdictional Study'!F964</f>
        <v>9170674.2072980218</v>
      </c>
      <c r="H166" s="33">
        <f>IF(VLOOKUP($D166,$C$5:$AJ$596,6,)=0,0,((VLOOKUP($D166,$C$5:$AJ$596,6,)/VLOOKUP($D166,$C$5:$AJ$596,4,))*$F166))</f>
        <v>0</v>
      </c>
      <c r="I166" s="33">
        <f>IF(VLOOKUP($D166,$C$5:$AJ$596,7,)=0,0,((VLOOKUP($D166,$C$5:$AJ$596,7,)/VLOOKUP($D166,$C$5:$AJ$596,4,))*$F166))</f>
        <v>0</v>
      </c>
      <c r="J166" s="33">
        <f>IF(VLOOKUP($D166,$C$5:$AJ$596,8,)=0,0,((VLOOKUP($D166,$C$5:$AJ$596,8,)/VLOOKUP($D166,$C$5:$AJ$596,4,))*$F166))</f>
        <v>0</v>
      </c>
      <c r="K166" s="33">
        <f>IF(VLOOKUP($D166,$C$5:$AJ$596,9,)=0,0,((VLOOKUP($D166,$C$5:$AJ$596,9,)/VLOOKUP($D166,$C$5:$AJ$596,4,))*$F166))</f>
        <v>9170674.2072980218</v>
      </c>
      <c r="L166" s="33">
        <f>IF(VLOOKUP($D166,$C$5:$AJ$596,10,)=0,0,((VLOOKUP($D166,$C$5:$AJ$596,10,)/VLOOKUP($D166,$C$5:$AJ$596,4,))*$F166))</f>
        <v>0</v>
      </c>
      <c r="M166" s="33">
        <f>IF(VLOOKUP($D166,$C$5:$AJ$596,11,)=0,0,((VLOOKUP($D166,$C$5:$AJ$596,11,)/VLOOKUP($D166,$C$5:$AJ$596,4,))*$F166))</f>
        <v>0</v>
      </c>
      <c r="N166" s="33"/>
      <c r="O166" s="33">
        <f>IF(VLOOKUP($D166,$C$5:$AJ$596,13,)=0,0,((VLOOKUP($D166,$C$5:$AJ$596,13,)/VLOOKUP($D166,$C$5:$AJ$596,4,))*$F166))</f>
        <v>0</v>
      </c>
      <c r="P166" s="33">
        <f>IF(VLOOKUP($D166,$C$5:$AJ$596,14,)=0,0,((VLOOKUP($D166,$C$5:$AJ$596,14,)/VLOOKUP($D166,$C$5:$AJ$596,4,))*$F166))</f>
        <v>0</v>
      </c>
      <c r="Q166" s="33">
        <f>IF(VLOOKUP($D166,$C$5:$AJ$596,15,)=0,0,((VLOOKUP($D166,$C$5:$AJ$596,15,)/VLOOKUP($D166,$C$5:$AJ$596,4,))*$F166))</f>
        <v>0</v>
      </c>
      <c r="R166" s="33"/>
      <c r="S166" s="33">
        <f>IF(VLOOKUP($D166,$C$5:$AJ$596,17,)=0,0,((VLOOKUP($D166,$C$5:$AJ$596,17,)/VLOOKUP($D166,$C$5:$AJ$596,4,))*$F166))</f>
        <v>0</v>
      </c>
      <c r="T166" s="33">
        <f>IF(VLOOKUP($D166,$C$5:$AJ$596,18,)=0,0,((VLOOKUP($D166,$C$5:$AJ$596,18,)/VLOOKUP($D166,$C$5:$AJ$596,4,))*$F166))</f>
        <v>0</v>
      </c>
      <c r="U166" s="33">
        <f>IF(VLOOKUP($D166,$C$5:$AJ$596,19,)=0,0,((VLOOKUP($D166,$C$5:$AJ$596,19,)/VLOOKUP($D166,$C$5:$AJ$596,4,))*$F166))</f>
        <v>0</v>
      </c>
      <c r="V166" s="33">
        <f>IF(VLOOKUP($D166,$C$5:$AJ$596,20,)=0,0,((VLOOKUP($D166,$C$5:$AJ$596,20,)/VLOOKUP($D166,$C$5:$AJ$596,4,))*$F166))</f>
        <v>0</v>
      </c>
      <c r="W166" s="33">
        <f>IF(VLOOKUP($D166,$C$5:$AJ$596,21,)=0,0,((VLOOKUP($D166,$C$5:$AJ$596,21,)/VLOOKUP($D166,$C$5:$AJ$596,4,))*$F166))</f>
        <v>0</v>
      </c>
      <c r="X166" s="33">
        <f>IF(VLOOKUP($D166,$C$5:$AJ$596,22,)=0,0,((VLOOKUP($D166,$C$5:$AJ$596,22,)/VLOOKUP($D166,$C$5:$AJ$596,4,))*$F166))</f>
        <v>0</v>
      </c>
      <c r="Y166" s="33">
        <f>IF(VLOOKUP($D166,$C$5:$AJ$596,23,)=0,0,((VLOOKUP($D166,$C$5:$AJ$596,23,)/VLOOKUP($D166,$C$5:$AJ$596,4,))*$F166))</f>
        <v>0</v>
      </c>
      <c r="Z166" s="33">
        <f>IF(VLOOKUP($D166,$C$5:$AJ$596,24,)=0,0,((VLOOKUP($D166,$C$5:$AJ$596,24,)/VLOOKUP($D166,$C$5:$AJ$596,4,))*$F166))</f>
        <v>0</v>
      </c>
      <c r="AA166" s="33">
        <f>IF(VLOOKUP($D166,$C$5:$AJ$596,25,)=0,0,((VLOOKUP($D166,$C$5:$AJ$596,25,)/VLOOKUP($D166,$C$5:$AJ$596,4,))*$F166))</f>
        <v>0</v>
      </c>
      <c r="AB166" s="33">
        <f>IF(VLOOKUP($D166,$C$5:$AJ$596,26,)=0,0,((VLOOKUP($D166,$C$5:$AJ$596,26,)/VLOOKUP($D166,$C$5:$AJ$596,4,))*$F166))</f>
        <v>0</v>
      </c>
      <c r="AC166" s="33">
        <f>IF(VLOOKUP($D166,$C$5:$AJ$596,27,)=0,0,((VLOOKUP($D166,$C$5:$AJ$596,27,)/VLOOKUP($D166,$C$5:$AJ$596,4,))*$F166))</f>
        <v>0</v>
      </c>
      <c r="AD166" s="33">
        <f>IF(VLOOKUP($D166,$C$5:$AJ$596,28,)=0,0,((VLOOKUP($D166,$C$5:$AJ$596,28,)/VLOOKUP($D166,$C$5:$AJ$596,4,))*$F166))</f>
        <v>0</v>
      </c>
      <c r="AE166" s="33"/>
      <c r="AF166" s="33">
        <f>IF(VLOOKUP($D166,$C$5:$AJ$596,30,)=0,0,((VLOOKUP($D166,$C$5:$AJ$596,30,)/VLOOKUP($D166,$C$5:$AJ$596,4,))*$F166))</f>
        <v>0</v>
      </c>
      <c r="AG166" s="33"/>
      <c r="AH166" s="33">
        <f>IF(VLOOKUP($D166,$C$5:$AJ$596,32,)=0,0,((VLOOKUP($D166,$C$5:$AJ$596,32,)/VLOOKUP($D166,$C$5:$AJ$596,4,))*$F166))</f>
        <v>0</v>
      </c>
      <c r="AI166" s="33"/>
      <c r="AJ166" s="33">
        <f>IF(VLOOKUP($D166,$C$5:$AJ$596,34,)=0,0,((VLOOKUP($D166,$C$5:$AJ$596,34,)/VLOOKUP($D166,$C$5:$AJ$596,4,))*$F166))</f>
        <v>0</v>
      </c>
      <c r="AK166" s="33">
        <f>SUM(H166:AJ166)</f>
        <v>9170674.2072980218</v>
      </c>
      <c r="AL166" s="30" t="str">
        <f>IF(ABS(AK166-F166)&lt;1,"ok","err")</f>
        <v>ok</v>
      </c>
    </row>
    <row r="167" spans="1:38" x14ac:dyDescent="0.25">
      <c r="A167" s="29">
        <v>514</v>
      </c>
      <c r="B167" s="29" t="s">
        <v>1472</v>
      </c>
      <c r="C167" s="29" t="s">
        <v>1473</v>
      </c>
      <c r="D167" s="13" t="s">
        <v>104</v>
      </c>
      <c r="E167" s="13"/>
      <c r="F167" s="33">
        <f>'Jurisdictional Study'!F965</f>
        <v>2538466.9035179908</v>
      </c>
      <c r="H167" s="33">
        <f>IF(VLOOKUP($D167,$C$5:$AJ$596,6,)=0,0,((VLOOKUP($D167,$C$5:$AJ$596,6,)/VLOOKUP($D167,$C$5:$AJ$596,4,))*$F167))</f>
        <v>0</v>
      </c>
      <c r="I167" s="33">
        <f>IF(VLOOKUP($D167,$C$5:$AJ$596,7,)=0,0,((VLOOKUP($D167,$C$5:$AJ$596,7,)/VLOOKUP($D167,$C$5:$AJ$596,4,))*$F167))</f>
        <v>0</v>
      </c>
      <c r="J167" s="33">
        <f>IF(VLOOKUP($D167,$C$5:$AJ$596,8,)=0,0,((VLOOKUP($D167,$C$5:$AJ$596,8,)/VLOOKUP($D167,$C$5:$AJ$596,4,))*$F167))</f>
        <v>0</v>
      </c>
      <c r="K167" s="33">
        <f>IF(VLOOKUP($D167,$C$5:$AJ$596,9,)=0,0,((VLOOKUP($D167,$C$5:$AJ$596,9,)/VLOOKUP($D167,$C$5:$AJ$596,4,))*$F167))</f>
        <v>2538466.9035179908</v>
      </c>
      <c r="L167" s="33">
        <f>IF(VLOOKUP($D167,$C$5:$AJ$596,10,)=0,0,((VLOOKUP($D167,$C$5:$AJ$596,10,)/VLOOKUP($D167,$C$5:$AJ$596,4,))*$F167))</f>
        <v>0</v>
      </c>
      <c r="M167" s="33">
        <f>IF(VLOOKUP($D167,$C$5:$AJ$596,11,)=0,0,((VLOOKUP($D167,$C$5:$AJ$596,11,)/VLOOKUP($D167,$C$5:$AJ$596,4,))*$F167))</f>
        <v>0</v>
      </c>
      <c r="N167" s="33"/>
      <c r="O167" s="33">
        <f>IF(VLOOKUP($D167,$C$5:$AJ$596,13,)=0,0,((VLOOKUP($D167,$C$5:$AJ$596,13,)/VLOOKUP($D167,$C$5:$AJ$596,4,))*$F167))</f>
        <v>0</v>
      </c>
      <c r="P167" s="33">
        <f>IF(VLOOKUP($D167,$C$5:$AJ$596,14,)=0,0,((VLOOKUP($D167,$C$5:$AJ$596,14,)/VLOOKUP($D167,$C$5:$AJ$596,4,))*$F167))</f>
        <v>0</v>
      </c>
      <c r="Q167" s="33">
        <f>IF(VLOOKUP($D167,$C$5:$AJ$596,15,)=0,0,((VLOOKUP($D167,$C$5:$AJ$596,15,)/VLOOKUP($D167,$C$5:$AJ$596,4,))*$F167))</f>
        <v>0</v>
      </c>
      <c r="R167" s="33"/>
      <c r="S167" s="33">
        <f>IF(VLOOKUP($D167,$C$5:$AJ$596,17,)=0,0,((VLOOKUP($D167,$C$5:$AJ$596,17,)/VLOOKUP($D167,$C$5:$AJ$596,4,))*$F167))</f>
        <v>0</v>
      </c>
      <c r="T167" s="33">
        <f>IF(VLOOKUP($D167,$C$5:$AJ$596,18,)=0,0,((VLOOKUP($D167,$C$5:$AJ$596,18,)/VLOOKUP($D167,$C$5:$AJ$596,4,))*$F167))</f>
        <v>0</v>
      </c>
      <c r="U167" s="33">
        <f>IF(VLOOKUP($D167,$C$5:$AJ$596,19,)=0,0,((VLOOKUP($D167,$C$5:$AJ$596,19,)/VLOOKUP($D167,$C$5:$AJ$596,4,))*$F167))</f>
        <v>0</v>
      </c>
      <c r="V167" s="33">
        <f>IF(VLOOKUP($D167,$C$5:$AJ$596,20,)=0,0,((VLOOKUP($D167,$C$5:$AJ$596,20,)/VLOOKUP($D167,$C$5:$AJ$596,4,))*$F167))</f>
        <v>0</v>
      </c>
      <c r="W167" s="33">
        <f>IF(VLOOKUP($D167,$C$5:$AJ$596,21,)=0,0,((VLOOKUP($D167,$C$5:$AJ$596,21,)/VLOOKUP($D167,$C$5:$AJ$596,4,))*$F167))</f>
        <v>0</v>
      </c>
      <c r="X167" s="33">
        <f>IF(VLOOKUP($D167,$C$5:$AJ$596,22,)=0,0,((VLOOKUP($D167,$C$5:$AJ$596,22,)/VLOOKUP($D167,$C$5:$AJ$596,4,))*$F167))</f>
        <v>0</v>
      </c>
      <c r="Y167" s="33">
        <f>IF(VLOOKUP($D167,$C$5:$AJ$596,23,)=0,0,((VLOOKUP($D167,$C$5:$AJ$596,23,)/VLOOKUP($D167,$C$5:$AJ$596,4,))*$F167))</f>
        <v>0</v>
      </c>
      <c r="Z167" s="33">
        <f>IF(VLOOKUP($D167,$C$5:$AJ$596,24,)=0,0,((VLOOKUP($D167,$C$5:$AJ$596,24,)/VLOOKUP($D167,$C$5:$AJ$596,4,))*$F167))</f>
        <v>0</v>
      </c>
      <c r="AA167" s="33">
        <f>IF(VLOOKUP($D167,$C$5:$AJ$596,25,)=0,0,((VLOOKUP($D167,$C$5:$AJ$596,25,)/VLOOKUP($D167,$C$5:$AJ$596,4,))*$F167))</f>
        <v>0</v>
      </c>
      <c r="AB167" s="33">
        <f>IF(VLOOKUP($D167,$C$5:$AJ$596,26,)=0,0,((VLOOKUP($D167,$C$5:$AJ$596,26,)/VLOOKUP($D167,$C$5:$AJ$596,4,))*$F167))</f>
        <v>0</v>
      </c>
      <c r="AC167" s="33">
        <f>IF(VLOOKUP($D167,$C$5:$AJ$596,27,)=0,0,((VLOOKUP($D167,$C$5:$AJ$596,27,)/VLOOKUP($D167,$C$5:$AJ$596,4,))*$F167))</f>
        <v>0</v>
      </c>
      <c r="AD167" s="33">
        <f>IF(VLOOKUP($D167,$C$5:$AJ$596,28,)=0,0,((VLOOKUP($D167,$C$5:$AJ$596,28,)/VLOOKUP($D167,$C$5:$AJ$596,4,))*$F167))</f>
        <v>0</v>
      </c>
      <c r="AE167" s="33"/>
      <c r="AF167" s="33">
        <f>IF(VLOOKUP($D167,$C$5:$AJ$596,30,)=0,0,((VLOOKUP($D167,$C$5:$AJ$596,30,)/VLOOKUP($D167,$C$5:$AJ$596,4,))*$F167))</f>
        <v>0</v>
      </c>
      <c r="AG167" s="33"/>
      <c r="AH167" s="33">
        <f>IF(VLOOKUP($D167,$C$5:$AJ$596,32,)=0,0,((VLOOKUP($D167,$C$5:$AJ$596,32,)/VLOOKUP($D167,$C$5:$AJ$596,4,))*$F167))</f>
        <v>0</v>
      </c>
      <c r="AI167" s="33"/>
      <c r="AJ167" s="33">
        <f>IF(VLOOKUP($D167,$C$5:$AJ$596,34,)=0,0,((VLOOKUP($D167,$C$5:$AJ$596,34,)/VLOOKUP($D167,$C$5:$AJ$596,4,))*$F167))</f>
        <v>0</v>
      </c>
      <c r="AK167" s="33">
        <f>SUM(H167:AJ167)</f>
        <v>2538466.9035179908</v>
      </c>
      <c r="AL167" s="30" t="str">
        <f>IF(ABS(AK167-F167)&lt;1,"ok","err")</f>
        <v>ok</v>
      </c>
    </row>
    <row r="168" spans="1:38" x14ac:dyDescent="0.25">
      <c r="D168" s="13"/>
      <c r="E168" s="13"/>
      <c r="F168" s="32"/>
      <c r="Y168" s="29"/>
      <c r="AK168" s="33"/>
      <c r="AL168" s="30"/>
    </row>
    <row r="169" spans="1:38" x14ac:dyDescent="0.25">
      <c r="B169" s="29" t="s">
        <v>1474</v>
      </c>
      <c r="D169" s="139"/>
      <c r="E169" s="14"/>
      <c r="F169" s="32">
        <f>SUM(F163:F168)</f>
        <v>69486366.881477386</v>
      </c>
      <c r="H169" s="32">
        <f t="shared" ref="H169:M169" si="120">SUM(H163:H168)</f>
        <v>7569611.4262949582</v>
      </c>
      <c r="I169" s="32">
        <f t="shared" si="120"/>
        <v>0</v>
      </c>
      <c r="J169" s="32">
        <f t="shared" si="120"/>
        <v>0</v>
      </c>
      <c r="K169" s="32">
        <f t="shared" si="120"/>
        <v>61916755.455182418</v>
      </c>
      <c r="L169" s="32">
        <f t="shared" si="120"/>
        <v>0</v>
      </c>
      <c r="M169" s="32">
        <f t="shared" si="120"/>
        <v>0</v>
      </c>
      <c r="O169" s="32">
        <f>SUM(O163:O168)</f>
        <v>0</v>
      </c>
      <c r="P169" s="32">
        <f>SUM(P163:P168)</f>
        <v>0</v>
      </c>
      <c r="Q169" s="32">
        <f>SUM(Q163:Q168)</f>
        <v>0</v>
      </c>
      <c r="S169" s="32">
        <f t="shared" ref="S169:AD169" si="121">SUM(S163:S168)</f>
        <v>0</v>
      </c>
      <c r="T169" s="32">
        <f t="shared" si="121"/>
        <v>0</v>
      </c>
      <c r="U169" s="32">
        <f t="shared" si="121"/>
        <v>0</v>
      </c>
      <c r="V169" s="32">
        <f t="shared" si="121"/>
        <v>0</v>
      </c>
      <c r="W169" s="32">
        <f t="shared" si="121"/>
        <v>0</v>
      </c>
      <c r="X169" s="32">
        <f t="shared" si="121"/>
        <v>0</v>
      </c>
      <c r="Y169" s="32">
        <f t="shared" si="121"/>
        <v>0</v>
      </c>
      <c r="Z169" s="32">
        <f t="shared" si="121"/>
        <v>0</v>
      </c>
      <c r="AA169" s="32">
        <f t="shared" si="121"/>
        <v>0</v>
      </c>
      <c r="AB169" s="32">
        <f t="shared" si="121"/>
        <v>0</v>
      </c>
      <c r="AC169" s="32">
        <f t="shared" si="121"/>
        <v>0</v>
      </c>
      <c r="AD169" s="32">
        <f t="shared" si="121"/>
        <v>0</v>
      </c>
      <c r="AF169" s="32">
        <f>SUM(AF163:AF168)</f>
        <v>0</v>
      </c>
      <c r="AH169" s="32">
        <f>SUM(AH163:AH168)</f>
        <v>0</v>
      </c>
      <c r="AJ169" s="32">
        <f>SUM(AJ163:AJ168)</f>
        <v>0</v>
      </c>
      <c r="AK169" s="33">
        <f>SUM(H169:AJ169)</f>
        <v>69486366.881477371</v>
      </c>
      <c r="AL169" s="30" t="str">
        <f>IF(ABS(AK169-F169)&lt;1,"ok","err")</f>
        <v>ok</v>
      </c>
    </row>
    <row r="170" spans="1:38" x14ac:dyDescent="0.25">
      <c r="D170" s="139"/>
      <c r="E170" s="14"/>
      <c r="F170" s="32"/>
      <c r="H170" s="32"/>
      <c r="I170" s="32"/>
      <c r="J170" s="32"/>
      <c r="K170" s="32"/>
      <c r="L170" s="32"/>
      <c r="M170" s="32"/>
      <c r="O170" s="32"/>
      <c r="P170" s="32"/>
      <c r="Q170" s="32"/>
      <c r="S170" s="32"/>
      <c r="T170" s="32"/>
      <c r="U170" s="32"/>
      <c r="V170" s="32"/>
      <c r="W170" s="32"/>
      <c r="X170" s="32"/>
      <c r="Y170" s="32"/>
      <c r="Z170" s="32"/>
      <c r="AA170" s="32"/>
      <c r="AB170" s="32"/>
      <c r="AC170" s="32"/>
      <c r="AD170" s="32"/>
      <c r="AF170" s="32"/>
      <c r="AH170" s="32"/>
      <c r="AJ170" s="32"/>
      <c r="AK170" s="33"/>
      <c r="AL170" s="30"/>
    </row>
    <row r="171" spans="1:38" x14ac:dyDescent="0.25">
      <c r="B171" s="29" t="s">
        <v>1475</v>
      </c>
      <c r="D171" s="164"/>
      <c r="E171" s="17"/>
      <c r="F171" s="32">
        <f>F160+F169</f>
        <v>435727438.35861516</v>
      </c>
      <c r="H171" s="32">
        <f t="shared" ref="H171:M171" si="122">H160+H169</f>
        <v>44492118.977052979</v>
      </c>
      <c r="I171" s="32">
        <f t="shared" si="122"/>
        <v>0</v>
      </c>
      <c r="J171" s="32">
        <f t="shared" si="122"/>
        <v>0</v>
      </c>
      <c r="K171" s="32">
        <f t="shared" si="122"/>
        <v>391235319.38156211</v>
      </c>
      <c r="L171" s="32">
        <f t="shared" si="122"/>
        <v>0</v>
      </c>
      <c r="M171" s="32">
        <f t="shared" si="122"/>
        <v>0</v>
      </c>
      <c r="O171" s="32">
        <f>O160+O169</f>
        <v>0</v>
      </c>
      <c r="P171" s="32">
        <f>P160+P169</f>
        <v>0</v>
      </c>
      <c r="Q171" s="32">
        <f>Q160+Q169</f>
        <v>0</v>
      </c>
      <c r="S171" s="32">
        <f t="shared" ref="S171:AD171" si="123">S160+S169</f>
        <v>0</v>
      </c>
      <c r="T171" s="32">
        <f t="shared" si="123"/>
        <v>0</v>
      </c>
      <c r="U171" s="32">
        <f t="shared" si="123"/>
        <v>0</v>
      </c>
      <c r="V171" s="32">
        <f t="shared" si="123"/>
        <v>0</v>
      </c>
      <c r="W171" s="32">
        <f t="shared" si="123"/>
        <v>0</v>
      </c>
      <c r="X171" s="32">
        <f t="shared" si="123"/>
        <v>0</v>
      </c>
      <c r="Y171" s="32">
        <f t="shared" si="123"/>
        <v>0</v>
      </c>
      <c r="Z171" s="32">
        <f t="shared" si="123"/>
        <v>0</v>
      </c>
      <c r="AA171" s="32">
        <f t="shared" si="123"/>
        <v>0</v>
      </c>
      <c r="AB171" s="32">
        <f t="shared" si="123"/>
        <v>0</v>
      </c>
      <c r="AC171" s="32">
        <f t="shared" si="123"/>
        <v>0</v>
      </c>
      <c r="AD171" s="32">
        <f t="shared" si="123"/>
        <v>0</v>
      </c>
      <c r="AF171" s="32">
        <f>AF160+AF169</f>
        <v>0</v>
      </c>
      <c r="AH171" s="32">
        <f>AH160+AH169</f>
        <v>0</v>
      </c>
      <c r="AJ171" s="32">
        <f>AJ160+AJ169</f>
        <v>0</v>
      </c>
      <c r="AK171" s="33">
        <f>SUM(H171:AJ171)</f>
        <v>435727438.3586151</v>
      </c>
      <c r="AL171" s="30" t="str">
        <f>IF(ABS(AK171-F171)&lt;1,"ok","err")</f>
        <v>ok</v>
      </c>
    </row>
    <row r="172" spans="1:38" x14ac:dyDescent="0.25">
      <c r="D172" s="164"/>
      <c r="E172" s="17"/>
      <c r="F172" s="32"/>
      <c r="Y172" s="29"/>
      <c r="AL172" s="30"/>
    </row>
    <row r="173" spans="1:38" x14ac:dyDescent="0.25">
      <c r="A173" s="4" t="s">
        <v>1565</v>
      </c>
      <c r="D173" s="164"/>
      <c r="E173" s="17"/>
      <c r="Y173" s="29"/>
      <c r="AL173" s="30"/>
    </row>
    <row r="174" spans="1:38" x14ac:dyDescent="0.25">
      <c r="A174" s="44">
        <v>535</v>
      </c>
      <c r="B174" s="29" t="s">
        <v>1453</v>
      </c>
      <c r="C174" s="29" t="s">
        <v>1574</v>
      </c>
      <c r="D174" s="164" t="s">
        <v>686</v>
      </c>
      <c r="E174" s="17"/>
      <c r="F174" s="32">
        <f>'Jurisdictional Study'!F971</f>
        <v>0</v>
      </c>
      <c r="H174" s="33">
        <f t="shared" ref="H174:H179" si="124">IF(VLOOKUP($D174,$C$5:$AJ$596,6,)=0,0,((VLOOKUP($D174,$C$5:$AJ$596,6,)/VLOOKUP($D174,$C$5:$AJ$596,4,))*$F174))</f>
        <v>0</v>
      </c>
      <c r="I174" s="33">
        <f t="shared" ref="I174:I179" si="125">IF(VLOOKUP($D174,$C$5:$AJ$596,7,)=0,0,((VLOOKUP($D174,$C$5:$AJ$596,7,)/VLOOKUP($D174,$C$5:$AJ$596,4,))*$F174))</f>
        <v>0</v>
      </c>
      <c r="J174" s="33">
        <f t="shared" ref="J174:J179" si="126">IF(VLOOKUP($D174,$C$5:$AJ$596,8,)=0,0,((VLOOKUP($D174,$C$5:$AJ$596,8,)/VLOOKUP($D174,$C$5:$AJ$596,4,))*$F174))</f>
        <v>0</v>
      </c>
      <c r="K174" s="33">
        <f t="shared" ref="K174:K179" si="127">IF(VLOOKUP($D174,$C$5:$AJ$596,9,)=0,0,((VLOOKUP($D174,$C$5:$AJ$596,9,)/VLOOKUP($D174,$C$5:$AJ$596,4,))*$F174))</f>
        <v>0</v>
      </c>
      <c r="L174" s="33">
        <f t="shared" ref="L174:L179" si="128">IF(VLOOKUP($D174,$C$5:$AJ$596,10,)=0,0,((VLOOKUP($D174,$C$5:$AJ$596,10,)/VLOOKUP($D174,$C$5:$AJ$596,4,))*$F174))</f>
        <v>0</v>
      </c>
      <c r="M174" s="33">
        <f t="shared" ref="M174:M179" si="129">IF(VLOOKUP($D174,$C$5:$AJ$596,11,)=0,0,((VLOOKUP($D174,$C$5:$AJ$596,11,)/VLOOKUP($D174,$C$5:$AJ$596,4,))*$F174))</f>
        <v>0</v>
      </c>
      <c r="N174" s="33"/>
      <c r="O174" s="33">
        <f t="shared" ref="O174:O179" si="130">IF(VLOOKUP($D174,$C$5:$AJ$596,13,)=0,0,((VLOOKUP($D174,$C$5:$AJ$596,13,)/VLOOKUP($D174,$C$5:$AJ$596,4,))*$F174))</f>
        <v>0</v>
      </c>
      <c r="P174" s="33">
        <f t="shared" ref="P174:P179" si="131">IF(VLOOKUP($D174,$C$5:$AJ$596,14,)=0,0,((VLOOKUP($D174,$C$5:$AJ$596,14,)/VLOOKUP($D174,$C$5:$AJ$596,4,))*$F174))</f>
        <v>0</v>
      </c>
      <c r="Q174" s="33">
        <f t="shared" ref="Q174:Q179" si="132">IF(VLOOKUP($D174,$C$5:$AJ$596,15,)=0,0,((VLOOKUP($D174,$C$5:$AJ$596,15,)/VLOOKUP($D174,$C$5:$AJ$596,4,))*$F174))</f>
        <v>0</v>
      </c>
      <c r="R174" s="33"/>
      <c r="S174" s="33">
        <f t="shared" ref="S174:S179" si="133">IF(VLOOKUP($D174,$C$5:$AJ$596,17,)=0,0,((VLOOKUP($D174,$C$5:$AJ$596,17,)/VLOOKUP($D174,$C$5:$AJ$596,4,))*$F174))</f>
        <v>0</v>
      </c>
      <c r="T174" s="33">
        <f t="shared" ref="T174:T179" si="134">IF(VLOOKUP($D174,$C$5:$AJ$596,18,)=0,0,((VLOOKUP($D174,$C$5:$AJ$596,18,)/VLOOKUP($D174,$C$5:$AJ$596,4,))*$F174))</f>
        <v>0</v>
      </c>
      <c r="U174" s="33">
        <f t="shared" ref="U174:U179" si="135">IF(VLOOKUP($D174,$C$5:$AJ$596,19,)=0,0,((VLOOKUP($D174,$C$5:$AJ$596,19,)/VLOOKUP($D174,$C$5:$AJ$596,4,))*$F174))</f>
        <v>0</v>
      </c>
      <c r="V174" s="33">
        <f t="shared" ref="V174:V179" si="136">IF(VLOOKUP($D174,$C$5:$AJ$596,20,)=0,0,((VLOOKUP($D174,$C$5:$AJ$596,20,)/VLOOKUP($D174,$C$5:$AJ$596,4,))*$F174))</f>
        <v>0</v>
      </c>
      <c r="W174" s="33">
        <f t="shared" ref="W174:W179" si="137">IF(VLOOKUP($D174,$C$5:$AJ$596,21,)=0,0,((VLOOKUP($D174,$C$5:$AJ$596,21,)/VLOOKUP($D174,$C$5:$AJ$596,4,))*$F174))</f>
        <v>0</v>
      </c>
      <c r="X174" s="33">
        <f t="shared" ref="X174:X179" si="138">IF(VLOOKUP($D174,$C$5:$AJ$596,22,)=0,0,((VLOOKUP($D174,$C$5:$AJ$596,22,)/VLOOKUP($D174,$C$5:$AJ$596,4,))*$F174))</f>
        <v>0</v>
      </c>
      <c r="Y174" s="33">
        <f t="shared" ref="Y174:Y179" si="139">IF(VLOOKUP($D174,$C$5:$AJ$596,23,)=0,0,((VLOOKUP($D174,$C$5:$AJ$596,23,)/VLOOKUP($D174,$C$5:$AJ$596,4,))*$F174))</f>
        <v>0</v>
      </c>
      <c r="Z174" s="33">
        <f t="shared" ref="Z174:Z179" si="140">IF(VLOOKUP($D174,$C$5:$AJ$596,24,)=0,0,((VLOOKUP($D174,$C$5:$AJ$596,24,)/VLOOKUP($D174,$C$5:$AJ$596,4,))*$F174))</f>
        <v>0</v>
      </c>
      <c r="AA174" s="33">
        <f t="shared" ref="AA174:AA179" si="141">IF(VLOOKUP($D174,$C$5:$AJ$596,25,)=0,0,((VLOOKUP($D174,$C$5:$AJ$596,25,)/VLOOKUP($D174,$C$5:$AJ$596,4,))*$F174))</f>
        <v>0</v>
      </c>
      <c r="AB174" s="33">
        <f t="shared" ref="AB174:AB179" si="142">IF(VLOOKUP($D174,$C$5:$AJ$596,26,)=0,0,((VLOOKUP($D174,$C$5:$AJ$596,26,)/VLOOKUP($D174,$C$5:$AJ$596,4,))*$F174))</f>
        <v>0</v>
      </c>
      <c r="AC174" s="33">
        <f t="shared" ref="AC174:AC179" si="143">IF(VLOOKUP($D174,$C$5:$AJ$596,27,)=0,0,((VLOOKUP($D174,$C$5:$AJ$596,27,)/VLOOKUP($D174,$C$5:$AJ$596,4,))*$F174))</f>
        <v>0</v>
      </c>
      <c r="AD174" s="33">
        <f t="shared" ref="AD174:AD179" si="144">IF(VLOOKUP($D174,$C$5:$AJ$596,28,)=0,0,((VLOOKUP($D174,$C$5:$AJ$596,28,)/VLOOKUP($D174,$C$5:$AJ$596,4,))*$F174))</f>
        <v>0</v>
      </c>
      <c r="AE174" s="33"/>
      <c r="AF174" s="33">
        <f t="shared" ref="AF174:AF179" si="145">IF(VLOOKUP($D174,$C$5:$AJ$596,30,)=0,0,((VLOOKUP($D174,$C$5:$AJ$596,30,)/VLOOKUP($D174,$C$5:$AJ$596,4,))*$F174))</f>
        <v>0</v>
      </c>
      <c r="AG174" s="33"/>
      <c r="AH174" s="33">
        <f t="shared" ref="AH174:AH179" si="146">IF(VLOOKUP($D174,$C$5:$AJ$596,32,)=0,0,((VLOOKUP($D174,$C$5:$AJ$596,32,)/VLOOKUP($D174,$C$5:$AJ$596,4,))*$F174))</f>
        <v>0</v>
      </c>
      <c r="AI174" s="33"/>
      <c r="AJ174" s="33">
        <f t="shared" ref="AJ174:AJ179" si="147">IF(VLOOKUP($D174,$C$5:$AJ$596,34,)=0,0,((VLOOKUP($D174,$C$5:$AJ$596,34,)/VLOOKUP($D174,$C$5:$AJ$596,4,))*$F174))</f>
        <v>0</v>
      </c>
      <c r="AK174" s="33">
        <f t="shared" ref="AK174:AK179" si="148">SUM(H174:AJ174)</f>
        <v>0</v>
      </c>
      <c r="AL174" s="30" t="str">
        <f t="shared" ref="AL174:AL179" si="149">IF(ABS(AK174-F174)&lt;1,"ok","err")</f>
        <v>ok</v>
      </c>
    </row>
    <row r="175" spans="1:38" x14ac:dyDescent="0.25">
      <c r="A175" s="45">
        <v>536</v>
      </c>
      <c r="B175" s="29" t="s">
        <v>1572</v>
      </c>
      <c r="C175" s="29" t="s">
        <v>1575</v>
      </c>
      <c r="D175" s="139" t="s">
        <v>685</v>
      </c>
      <c r="E175" s="14"/>
      <c r="F175" s="33">
        <f>'Jurisdictional Study'!F972</f>
        <v>0</v>
      </c>
      <c r="H175" s="33">
        <f t="shared" si="124"/>
        <v>0</v>
      </c>
      <c r="I175" s="33">
        <f t="shared" si="125"/>
        <v>0</v>
      </c>
      <c r="J175" s="33">
        <f t="shared" si="126"/>
        <v>0</v>
      </c>
      <c r="K175" s="33">
        <f t="shared" si="127"/>
        <v>0</v>
      </c>
      <c r="L175" s="33">
        <f t="shared" si="128"/>
        <v>0</v>
      </c>
      <c r="M175" s="33">
        <f t="shared" si="129"/>
        <v>0</v>
      </c>
      <c r="N175" s="33"/>
      <c r="O175" s="33">
        <f t="shared" si="130"/>
        <v>0</v>
      </c>
      <c r="P175" s="33">
        <f t="shared" si="131"/>
        <v>0</v>
      </c>
      <c r="Q175" s="33">
        <f t="shared" si="132"/>
        <v>0</v>
      </c>
      <c r="R175" s="33"/>
      <c r="S175" s="33">
        <f t="shared" si="133"/>
        <v>0</v>
      </c>
      <c r="T175" s="33">
        <f t="shared" si="134"/>
        <v>0</v>
      </c>
      <c r="U175" s="33">
        <f t="shared" si="135"/>
        <v>0</v>
      </c>
      <c r="V175" s="33">
        <f t="shared" si="136"/>
        <v>0</v>
      </c>
      <c r="W175" s="33">
        <f t="shared" si="137"/>
        <v>0</v>
      </c>
      <c r="X175" s="33">
        <f t="shared" si="138"/>
        <v>0</v>
      </c>
      <c r="Y175" s="33">
        <f t="shared" si="139"/>
        <v>0</v>
      </c>
      <c r="Z175" s="33">
        <f t="shared" si="140"/>
        <v>0</v>
      </c>
      <c r="AA175" s="33">
        <f t="shared" si="141"/>
        <v>0</v>
      </c>
      <c r="AB175" s="33">
        <f t="shared" si="142"/>
        <v>0</v>
      </c>
      <c r="AC175" s="33">
        <f t="shared" si="143"/>
        <v>0</v>
      </c>
      <c r="AD175" s="33">
        <f t="shared" si="144"/>
        <v>0</v>
      </c>
      <c r="AE175" s="33"/>
      <c r="AF175" s="33">
        <f t="shared" si="145"/>
        <v>0</v>
      </c>
      <c r="AG175" s="33"/>
      <c r="AH175" s="33">
        <f t="shared" si="146"/>
        <v>0</v>
      </c>
      <c r="AI175" s="33"/>
      <c r="AJ175" s="33">
        <f t="shared" si="147"/>
        <v>0</v>
      </c>
      <c r="AK175" s="33">
        <f t="shared" si="148"/>
        <v>0</v>
      </c>
      <c r="AL175" s="30" t="str">
        <f t="shared" si="149"/>
        <v>ok</v>
      </c>
    </row>
    <row r="176" spans="1:38" x14ac:dyDescent="0.25">
      <c r="A176" s="29">
        <v>537</v>
      </c>
      <c r="B176" s="29" t="s">
        <v>1571</v>
      </c>
      <c r="C176" s="29" t="s">
        <v>1576</v>
      </c>
      <c r="D176" s="139" t="s">
        <v>685</v>
      </c>
      <c r="E176" s="14"/>
      <c r="F176" s="33">
        <f>'Jurisdictional Study'!F973</f>
        <v>0</v>
      </c>
      <c r="H176" s="33">
        <f t="shared" si="124"/>
        <v>0</v>
      </c>
      <c r="I176" s="33">
        <f t="shared" si="125"/>
        <v>0</v>
      </c>
      <c r="J176" s="33">
        <f t="shared" si="126"/>
        <v>0</v>
      </c>
      <c r="K176" s="33">
        <f t="shared" si="127"/>
        <v>0</v>
      </c>
      <c r="L176" s="33">
        <f t="shared" si="128"/>
        <v>0</v>
      </c>
      <c r="M176" s="33">
        <f t="shared" si="129"/>
        <v>0</v>
      </c>
      <c r="N176" s="33"/>
      <c r="O176" s="33">
        <f t="shared" si="130"/>
        <v>0</v>
      </c>
      <c r="P176" s="33">
        <f t="shared" si="131"/>
        <v>0</v>
      </c>
      <c r="Q176" s="33">
        <f t="shared" si="132"/>
        <v>0</v>
      </c>
      <c r="R176" s="33"/>
      <c r="S176" s="33">
        <f t="shared" si="133"/>
        <v>0</v>
      </c>
      <c r="T176" s="33">
        <f t="shared" si="134"/>
        <v>0</v>
      </c>
      <c r="U176" s="33">
        <f t="shared" si="135"/>
        <v>0</v>
      </c>
      <c r="V176" s="33">
        <f t="shared" si="136"/>
        <v>0</v>
      </c>
      <c r="W176" s="33">
        <f t="shared" si="137"/>
        <v>0</v>
      </c>
      <c r="X176" s="33">
        <f t="shared" si="138"/>
        <v>0</v>
      </c>
      <c r="Y176" s="33">
        <f t="shared" si="139"/>
        <v>0</v>
      </c>
      <c r="Z176" s="33">
        <f t="shared" si="140"/>
        <v>0</v>
      </c>
      <c r="AA176" s="33">
        <f t="shared" si="141"/>
        <v>0</v>
      </c>
      <c r="AB176" s="33">
        <f t="shared" si="142"/>
        <v>0</v>
      </c>
      <c r="AC176" s="33">
        <f t="shared" si="143"/>
        <v>0</v>
      </c>
      <c r="AD176" s="33">
        <f t="shared" si="144"/>
        <v>0</v>
      </c>
      <c r="AE176" s="33"/>
      <c r="AF176" s="33">
        <f t="shared" si="145"/>
        <v>0</v>
      </c>
      <c r="AG176" s="33"/>
      <c r="AH176" s="33">
        <f t="shared" si="146"/>
        <v>0</v>
      </c>
      <c r="AI176" s="33"/>
      <c r="AJ176" s="33">
        <f t="shared" si="147"/>
        <v>0</v>
      </c>
      <c r="AK176" s="33">
        <f t="shared" si="148"/>
        <v>0</v>
      </c>
      <c r="AL176" s="30" t="str">
        <f t="shared" si="149"/>
        <v>ok</v>
      </c>
    </row>
    <row r="177" spans="1:38" x14ac:dyDescent="0.25">
      <c r="A177" s="43">
        <v>538</v>
      </c>
      <c r="B177" s="29" t="s">
        <v>1459</v>
      </c>
      <c r="C177" s="29" t="s">
        <v>1577</v>
      </c>
      <c r="D177" s="139" t="s">
        <v>685</v>
      </c>
      <c r="E177" s="14"/>
      <c r="F177" s="33">
        <f>'Jurisdictional Study'!F974</f>
        <v>0</v>
      </c>
      <c r="H177" s="33">
        <f t="shared" si="124"/>
        <v>0</v>
      </c>
      <c r="I177" s="33">
        <f t="shared" si="125"/>
        <v>0</v>
      </c>
      <c r="J177" s="33">
        <f t="shared" si="126"/>
        <v>0</v>
      </c>
      <c r="K177" s="33">
        <f t="shared" si="127"/>
        <v>0</v>
      </c>
      <c r="L177" s="33">
        <f t="shared" si="128"/>
        <v>0</v>
      </c>
      <c r="M177" s="33">
        <f t="shared" si="129"/>
        <v>0</v>
      </c>
      <c r="N177" s="33"/>
      <c r="O177" s="33">
        <f t="shared" si="130"/>
        <v>0</v>
      </c>
      <c r="P177" s="33">
        <f t="shared" si="131"/>
        <v>0</v>
      </c>
      <c r="Q177" s="33">
        <f t="shared" si="132"/>
        <v>0</v>
      </c>
      <c r="R177" s="33"/>
      <c r="S177" s="33">
        <f t="shared" si="133"/>
        <v>0</v>
      </c>
      <c r="T177" s="33">
        <f t="shared" si="134"/>
        <v>0</v>
      </c>
      <c r="U177" s="33">
        <f t="shared" si="135"/>
        <v>0</v>
      </c>
      <c r="V177" s="33">
        <f t="shared" si="136"/>
        <v>0</v>
      </c>
      <c r="W177" s="33">
        <f t="shared" si="137"/>
        <v>0</v>
      </c>
      <c r="X177" s="33">
        <f t="shared" si="138"/>
        <v>0</v>
      </c>
      <c r="Y177" s="33">
        <f t="shared" si="139"/>
        <v>0</v>
      </c>
      <c r="Z177" s="33">
        <f t="shared" si="140"/>
        <v>0</v>
      </c>
      <c r="AA177" s="33">
        <f t="shared" si="141"/>
        <v>0</v>
      </c>
      <c r="AB177" s="33">
        <f t="shared" si="142"/>
        <v>0</v>
      </c>
      <c r="AC177" s="33">
        <f t="shared" si="143"/>
        <v>0</v>
      </c>
      <c r="AD177" s="33">
        <f t="shared" si="144"/>
        <v>0</v>
      </c>
      <c r="AE177" s="33"/>
      <c r="AF177" s="33">
        <f t="shared" si="145"/>
        <v>0</v>
      </c>
      <c r="AG177" s="33"/>
      <c r="AH177" s="33">
        <f t="shared" si="146"/>
        <v>0</v>
      </c>
      <c r="AI177" s="33"/>
      <c r="AJ177" s="33">
        <f t="shared" si="147"/>
        <v>0</v>
      </c>
      <c r="AK177" s="33">
        <f t="shared" ref="AK177" si="150">SUM(H177:AJ177)</f>
        <v>0</v>
      </c>
      <c r="AL177" s="30" t="str">
        <f t="shared" ref="AL177" si="151">IF(ABS(AK177-F177)&lt;1,"ok","err")</f>
        <v>ok</v>
      </c>
    </row>
    <row r="178" spans="1:38" x14ac:dyDescent="0.25">
      <c r="A178" s="29">
        <v>539</v>
      </c>
      <c r="B178" s="29" t="s">
        <v>630</v>
      </c>
      <c r="C178" s="29" t="s">
        <v>1578</v>
      </c>
      <c r="D178" s="139" t="s">
        <v>685</v>
      </c>
      <c r="E178" s="14"/>
      <c r="F178" s="33">
        <f>'Jurisdictional Study'!F975</f>
        <v>9475.2224869987585</v>
      </c>
      <c r="H178" s="33">
        <f t="shared" si="124"/>
        <v>9475.2224869987585</v>
      </c>
      <c r="I178" s="33">
        <f t="shared" si="125"/>
        <v>0</v>
      </c>
      <c r="J178" s="33">
        <f t="shared" si="126"/>
        <v>0</v>
      </c>
      <c r="K178" s="33">
        <f t="shared" si="127"/>
        <v>0</v>
      </c>
      <c r="L178" s="33">
        <f t="shared" si="128"/>
        <v>0</v>
      </c>
      <c r="M178" s="33">
        <f t="shared" si="129"/>
        <v>0</v>
      </c>
      <c r="N178" s="33"/>
      <c r="O178" s="33">
        <f t="shared" si="130"/>
        <v>0</v>
      </c>
      <c r="P178" s="33">
        <f t="shared" si="131"/>
        <v>0</v>
      </c>
      <c r="Q178" s="33">
        <f t="shared" si="132"/>
        <v>0</v>
      </c>
      <c r="R178" s="33"/>
      <c r="S178" s="33">
        <f t="shared" si="133"/>
        <v>0</v>
      </c>
      <c r="T178" s="33">
        <f t="shared" si="134"/>
        <v>0</v>
      </c>
      <c r="U178" s="33">
        <f t="shared" si="135"/>
        <v>0</v>
      </c>
      <c r="V178" s="33">
        <f t="shared" si="136"/>
        <v>0</v>
      </c>
      <c r="W178" s="33">
        <f t="shared" si="137"/>
        <v>0</v>
      </c>
      <c r="X178" s="33">
        <f t="shared" si="138"/>
        <v>0</v>
      </c>
      <c r="Y178" s="33">
        <f t="shared" si="139"/>
        <v>0</v>
      </c>
      <c r="Z178" s="33">
        <f t="shared" si="140"/>
        <v>0</v>
      </c>
      <c r="AA178" s="33">
        <f t="shared" si="141"/>
        <v>0</v>
      </c>
      <c r="AB178" s="33">
        <f t="shared" si="142"/>
        <v>0</v>
      </c>
      <c r="AC178" s="33">
        <f t="shared" si="143"/>
        <v>0</v>
      </c>
      <c r="AD178" s="33">
        <f t="shared" si="144"/>
        <v>0</v>
      </c>
      <c r="AE178" s="33"/>
      <c r="AF178" s="33">
        <f t="shared" si="145"/>
        <v>0</v>
      </c>
      <c r="AG178" s="33"/>
      <c r="AH178" s="33">
        <f t="shared" si="146"/>
        <v>0</v>
      </c>
      <c r="AI178" s="33"/>
      <c r="AJ178" s="33">
        <f t="shared" si="147"/>
        <v>0</v>
      </c>
      <c r="AK178" s="33">
        <f t="shared" si="148"/>
        <v>9475.2224869987585</v>
      </c>
      <c r="AL178" s="30" t="str">
        <f t="shared" si="149"/>
        <v>ok</v>
      </c>
    </row>
    <row r="179" spans="1:38" x14ac:dyDescent="0.25">
      <c r="A179" s="43">
        <v>540</v>
      </c>
      <c r="B179" s="29" t="s">
        <v>341</v>
      </c>
      <c r="D179" s="139" t="s">
        <v>685</v>
      </c>
      <c r="E179" s="14"/>
      <c r="F179" s="33">
        <f>'Jurisdictional Study'!F976</f>
        <v>0</v>
      </c>
      <c r="H179" s="33">
        <f t="shared" si="124"/>
        <v>0</v>
      </c>
      <c r="I179" s="33">
        <f t="shared" si="125"/>
        <v>0</v>
      </c>
      <c r="J179" s="33">
        <f t="shared" si="126"/>
        <v>0</v>
      </c>
      <c r="K179" s="33">
        <f t="shared" si="127"/>
        <v>0</v>
      </c>
      <c r="L179" s="33">
        <f t="shared" si="128"/>
        <v>0</v>
      </c>
      <c r="M179" s="33">
        <f t="shared" si="129"/>
        <v>0</v>
      </c>
      <c r="N179" s="33"/>
      <c r="O179" s="33">
        <f t="shared" si="130"/>
        <v>0</v>
      </c>
      <c r="P179" s="33">
        <f t="shared" si="131"/>
        <v>0</v>
      </c>
      <c r="Q179" s="33">
        <f t="shared" si="132"/>
        <v>0</v>
      </c>
      <c r="R179" s="33"/>
      <c r="S179" s="33">
        <f t="shared" si="133"/>
        <v>0</v>
      </c>
      <c r="T179" s="33">
        <f t="shared" si="134"/>
        <v>0</v>
      </c>
      <c r="U179" s="33">
        <f t="shared" si="135"/>
        <v>0</v>
      </c>
      <c r="V179" s="33">
        <f t="shared" si="136"/>
        <v>0</v>
      </c>
      <c r="W179" s="33">
        <f t="shared" si="137"/>
        <v>0</v>
      </c>
      <c r="X179" s="33">
        <f t="shared" si="138"/>
        <v>0</v>
      </c>
      <c r="Y179" s="33">
        <f t="shared" si="139"/>
        <v>0</v>
      </c>
      <c r="Z179" s="33">
        <f t="shared" si="140"/>
        <v>0</v>
      </c>
      <c r="AA179" s="33">
        <f t="shared" si="141"/>
        <v>0</v>
      </c>
      <c r="AB179" s="33">
        <f t="shared" si="142"/>
        <v>0</v>
      </c>
      <c r="AC179" s="33">
        <f t="shared" si="143"/>
        <v>0</v>
      </c>
      <c r="AD179" s="33">
        <f t="shared" si="144"/>
        <v>0</v>
      </c>
      <c r="AE179" s="33"/>
      <c r="AF179" s="33">
        <f t="shared" si="145"/>
        <v>0</v>
      </c>
      <c r="AG179" s="33"/>
      <c r="AH179" s="33">
        <f t="shared" si="146"/>
        <v>0</v>
      </c>
      <c r="AI179" s="33"/>
      <c r="AJ179" s="33">
        <f t="shared" si="147"/>
        <v>0</v>
      </c>
      <c r="AK179" s="33">
        <f t="shared" si="148"/>
        <v>0</v>
      </c>
      <c r="AL179" s="30" t="str">
        <f t="shared" si="149"/>
        <v>ok</v>
      </c>
    </row>
    <row r="180" spans="1:38" x14ac:dyDescent="0.25">
      <c r="D180" s="139"/>
      <c r="E180" s="14"/>
      <c r="F180" s="32"/>
      <c r="Y180" s="29"/>
      <c r="AK180" s="33"/>
      <c r="AL180" s="30"/>
    </row>
    <row r="181" spans="1:38" x14ac:dyDescent="0.25">
      <c r="B181" s="29" t="s">
        <v>1568</v>
      </c>
      <c r="D181" s="139"/>
      <c r="E181" s="14"/>
      <c r="F181" s="32">
        <f>SUM(F174:F180)</f>
        <v>9475.2224869987585</v>
      </c>
      <c r="H181" s="32">
        <f t="shared" ref="H181:M181" si="152">SUM(H174:H180)</f>
        <v>9475.2224869987585</v>
      </c>
      <c r="I181" s="32">
        <f t="shared" si="152"/>
        <v>0</v>
      </c>
      <c r="J181" s="32">
        <f t="shared" si="152"/>
        <v>0</v>
      </c>
      <c r="K181" s="32">
        <f t="shared" si="152"/>
        <v>0</v>
      </c>
      <c r="L181" s="32">
        <f t="shared" si="152"/>
        <v>0</v>
      </c>
      <c r="M181" s="32">
        <f t="shared" si="152"/>
        <v>0</v>
      </c>
      <c r="O181" s="32">
        <f>SUM(O174:O180)</f>
        <v>0</v>
      </c>
      <c r="P181" s="32">
        <f>SUM(P174:P180)</f>
        <v>0</v>
      </c>
      <c r="Q181" s="32">
        <f>SUM(Q174:Q180)</f>
        <v>0</v>
      </c>
      <c r="S181" s="32">
        <f t="shared" ref="S181:AD181" si="153">SUM(S174:S180)</f>
        <v>0</v>
      </c>
      <c r="T181" s="32">
        <f t="shared" si="153"/>
        <v>0</v>
      </c>
      <c r="U181" s="32">
        <f t="shared" si="153"/>
        <v>0</v>
      </c>
      <c r="V181" s="32">
        <f t="shared" si="153"/>
        <v>0</v>
      </c>
      <c r="W181" s="32">
        <f t="shared" si="153"/>
        <v>0</v>
      </c>
      <c r="X181" s="32">
        <f t="shared" si="153"/>
        <v>0</v>
      </c>
      <c r="Y181" s="32">
        <f t="shared" si="153"/>
        <v>0</v>
      </c>
      <c r="Z181" s="32">
        <f t="shared" si="153"/>
        <v>0</v>
      </c>
      <c r="AA181" s="32">
        <f t="shared" si="153"/>
        <v>0</v>
      </c>
      <c r="AB181" s="32">
        <f t="shared" si="153"/>
        <v>0</v>
      </c>
      <c r="AC181" s="32">
        <f t="shared" si="153"/>
        <v>0</v>
      </c>
      <c r="AD181" s="32">
        <f t="shared" si="153"/>
        <v>0</v>
      </c>
      <c r="AF181" s="32">
        <f>SUM(AF174:AF180)</f>
        <v>0</v>
      </c>
      <c r="AH181" s="32">
        <f>SUM(AH174:AH180)</f>
        <v>0</v>
      </c>
      <c r="AJ181" s="32">
        <f>SUM(AJ174:AJ180)</f>
        <v>0</v>
      </c>
      <c r="AK181" s="33">
        <f>SUM(H181:AJ181)</f>
        <v>9475.2224869987585</v>
      </c>
      <c r="AL181" s="30" t="str">
        <f>IF(ABS(AK181-F181)&lt;1,"ok","err")</f>
        <v>ok</v>
      </c>
    </row>
    <row r="182" spans="1:38" x14ac:dyDescent="0.25">
      <c r="D182" s="139"/>
      <c r="E182" s="14"/>
      <c r="F182" s="32"/>
      <c r="Y182" s="29"/>
      <c r="AL182" s="30"/>
    </row>
    <row r="183" spans="1:38" x14ac:dyDescent="0.25">
      <c r="A183" s="4" t="s">
        <v>1566</v>
      </c>
      <c r="D183" s="139"/>
      <c r="E183" s="14"/>
      <c r="F183" s="32"/>
      <c r="Y183" s="29"/>
      <c r="AL183" s="30"/>
    </row>
    <row r="184" spans="1:38" x14ac:dyDescent="0.25">
      <c r="A184" s="44">
        <v>541</v>
      </c>
      <c r="B184" s="29" t="s">
        <v>541</v>
      </c>
      <c r="C184" s="29" t="s">
        <v>1579</v>
      </c>
      <c r="D184" s="139" t="s">
        <v>687</v>
      </c>
      <c r="E184" s="14"/>
      <c r="F184" s="32">
        <f>'Jurisdictional Study'!F978</f>
        <v>212461.62447607893</v>
      </c>
      <c r="H184" s="33">
        <f>IF(VLOOKUP($D184,$C$5:$AJ$596,6,)=0,0,((VLOOKUP($D184,$C$5:$AJ$596,6,)/VLOOKUP($D184,$C$5:$AJ$596,4,))*$F184))</f>
        <v>204937.39844147983</v>
      </c>
      <c r="I184" s="33">
        <f>IF(VLOOKUP($D184,$C$5:$AJ$596,7,)=0,0,((VLOOKUP($D184,$C$5:$AJ$596,7,)/VLOOKUP($D184,$C$5:$AJ$596,4,))*$F184))</f>
        <v>0</v>
      </c>
      <c r="J184" s="33">
        <f>IF(VLOOKUP($D184,$C$5:$AJ$596,8,)=0,0,((VLOOKUP($D184,$C$5:$AJ$596,8,)/VLOOKUP($D184,$C$5:$AJ$596,4,))*$F184))</f>
        <v>0</v>
      </c>
      <c r="K184" s="33">
        <f>IF(VLOOKUP($D184,$C$5:$AJ$596,9,)=0,0,((VLOOKUP($D184,$C$5:$AJ$596,9,)/VLOOKUP($D184,$C$5:$AJ$596,4,))*$F184))</f>
        <v>7524.2260345990971</v>
      </c>
      <c r="L184" s="33">
        <f>IF(VLOOKUP($D184,$C$5:$AJ$596,10,)=0,0,((VLOOKUP($D184,$C$5:$AJ$596,10,)/VLOOKUP($D184,$C$5:$AJ$596,4,))*$F184))</f>
        <v>0</v>
      </c>
      <c r="M184" s="33">
        <f>IF(VLOOKUP($D184,$C$5:$AJ$596,11,)=0,0,((VLOOKUP($D184,$C$5:$AJ$596,11,)/VLOOKUP($D184,$C$5:$AJ$596,4,))*$F184))</f>
        <v>0</v>
      </c>
      <c r="N184" s="33"/>
      <c r="O184" s="33">
        <f>IF(VLOOKUP($D184,$C$5:$AJ$596,13,)=0,0,((VLOOKUP($D184,$C$5:$AJ$596,13,)/VLOOKUP($D184,$C$5:$AJ$596,4,))*$F184))</f>
        <v>0</v>
      </c>
      <c r="P184" s="33">
        <f>IF(VLOOKUP($D184,$C$5:$AJ$596,14,)=0,0,((VLOOKUP($D184,$C$5:$AJ$596,14,)/VLOOKUP($D184,$C$5:$AJ$596,4,))*$F184))</f>
        <v>0</v>
      </c>
      <c r="Q184" s="33">
        <f>IF(VLOOKUP($D184,$C$5:$AJ$596,15,)=0,0,((VLOOKUP($D184,$C$5:$AJ$596,15,)/VLOOKUP($D184,$C$5:$AJ$596,4,))*$F184))</f>
        <v>0</v>
      </c>
      <c r="R184" s="33"/>
      <c r="S184" s="33">
        <f>IF(VLOOKUP($D184,$C$5:$AJ$596,17,)=0,0,((VLOOKUP($D184,$C$5:$AJ$596,17,)/VLOOKUP($D184,$C$5:$AJ$596,4,))*$F184))</f>
        <v>0</v>
      </c>
      <c r="T184" s="33">
        <f>IF(VLOOKUP($D184,$C$5:$AJ$596,18,)=0,0,((VLOOKUP($D184,$C$5:$AJ$596,18,)/VLOOKUP($D184,$C$5:$AJ$596,4,))*$F184))</f>
        <v>0</v>
      </c>
      <c r="U184" s="33">
        <f>IF(VLOOKUP($D184,$C$5:$AJ$596,19,)=0,0,((VLOOKUP($D184,$C$5:$AJ$596,19,)/VLOOKUP($D184,$C$5:$AJ$596,4,))*$F184))</f>
        <v>0</v>
      </c>
      <c r="V184" s="33">
        <f>IF(VLOOKUP($D184,$C$5:$AJ$596,20,)=0,0,((VLOOKUP($D184,$C$5:$AJ$596,20,)/VLOOKUP($D184,$C$5:$AJ$596,4,))*$F184))</f>
        <v>0</v>
      </c>
      <c r="W184" s="33">
        <f>IF(VLOOKUP($D184,$C$5:$AJ$596,21,)=0,0,((VLOOKUP($D184,$C$5:$AJ$596,21,)/VLOOKUP($D184,$C$5:$AJ$596,4,))*$F184))</f>
        <v>0</v>
      </c>
      <c r="X184" s="33">
        <f>IF(VLOOKUP($D184,$C$5:$AJ$596,22,)=0,0,((VLOOKUP($D184,$C$5:$AJ$596,22,)/VLOOKUP($D184,$C$5:$AJ$596,4,))*$F184))</f>
        <v>0</v>
      </c>
      <c r="Y184" s="33">
        <f>IF(VLOOKUP($D184,$C$5:$AJ$596,23,)=0,0,((VLOOKUP($D184,$C$5:$AJ$596,23,)/VLOOKUP($D184,$C$5:$AJ$596,4,))*$F184))</f>
        <v>0</v>
      </c>
      <c r="Z184" s="33">
        <f>IF(VLOOKUP($D184,$C$5:$AJ$596,24,)=0,0,((VLOOKUP($D184,$C$5:$AJ$596,24,)/VLOOKUP($D184,$C$5:$AJ$596,4,))*$F184))</f>
        <v>0</v>
      </c>
      <c r="AA184" s="33">
        <f>IF(VLOOKUP($D184,$C$5:$AJ$596,25,)=0,0,((VLOOKUP($D184,$C$5:$AJ$596,25,)/VLOOKUP($D184,$C$5:$AJ$596,4,))*$F184))</f>
        <v>0</v>
      </c>
      <c r="AB184" s="33">
        <f>IF(VLOOKUP($D184,$C$5:$AJ$596,26,)=0,0,((VLOOKUP($D184,$C$5:$AJ$596,26,)/VLOOKUP($D184,$C$5:$AJ$596,4,))*$F184))</f>
        <v>0</v>
      </c>
      <c r="AC184" s="33">
        <f>IF(VLOOKUP($D184,$C$5:$AJ$596,27,)=0,0,((VLOOKUP($D184,$C$5:$AJ$596,27,)/VLOOKUP($D184,$C$5:$AJ$596,4,))*$F184))</f>
        <v>0</v>
      </c>
      <c r="AD184" s="33">
        <f>IF(VLOOKUP($D184,$C$5:$AJ$596,28,)=0,0,((VLOOKUP($D184,$C$5:$AJ$596,28,)/VLOOKUP($D184,$C$5:$AJ$596,4,))*$F184))</f>
        <v>0</v>
      </c>
      <c r="AE184" s="33"/>
      <c r="AF184" s="33">
        <f>IF(VLOOKUP($D184,$C$5:$AJ$596,30,)=0,0,((VLOOKUP($D184,$C$5:$AJ$596,30,)/VLOOKUP($D184,$C$5:$AJ$596,4,))*$F184))</f>
        <v>0</v>
      </c>
      <c r="AG184" s="33"/>
      <c r="AH184" s="33">
        <f>IF(VLOOKUP($D184,$C$5:$AJ$596,32,)=0,0,((VLOOKUP($D184,$C$5:$AJ$596,32,)/VLOOKUP($D184,$C$5:$AJ$596,4,))*$F184))</f>
        <v>0</v>
      </c>
      <c r="AI184" s="33"/>
      <c r="AJ184" s="33">
        <f>IF(VLOOKUP($D184,$C$5:$AJ$596,34,)=0,0,((VLOOKUP($D184,$C$5:$AJ$596,34,)/VLOOKUP($D184,$C$5:$AJ$596,4,))*$F184))</f>
        <v>0</v>
      </c>
      <c r="AK184" s="33">
        <f>SUM(H184:AJ184)</f>
        <v>212461.62447607893</v>
      </c>
      <c r="AL184" s="30" t="str">
        <f>IF(ABS(AK184-F184)&lt;1,"ok","err")</f>
        <v>ok</v>
      </c>
    </row>
    <row r="185" spans="1:38" x14ac:dyDescent="0.25">
      <c r="A185" s="44">
        <v>542</v>
      </c>
      <c r="B185" s="29" t="s">
        <v>540</v>
      </c>
      <c r="C185" s="29" t="s">
        <v>1580</v>
      </c>
      <c r="D185" s="139" t="s">
        <v>685</v>
      </c>
      <c r="E185" s="14"/>
      <c r="F185" s="33">
        <f>'Jurisdictional Study'!F979</f>
        <v>211002.67259591111</v>
      </c>
      <c r="H185" s="33">
        <f>IF(VLOOKUP($D185,$C$5:$AJ$596,6,)=0,0,((VLOOKUP($D185,$C$5:$AJ$596,6,)/VLOOKUP($D185,$C$5:$AJ$596,4,))*$F185))</f>
        <v>211002.67259591111</v>
      </c>
      <c r="I185" s="33">
        <f>IF(VLOOKUP($D185,$C$5:$AJ$596,7,)=0,0,((VLOOKUP($D185,$C$5:$AJ$596,7,)/VLOOKUP($D185,$C$5:$AJ$596,4,))*$F185))</f>
        <v>0</v>
      </c>
      <c r="J185" s="33">
        <f>IF(VLOOKUP($D185,$C$5:$AJ$596,8,)=0,0,((VLOOKUP($D185,$C$5:$AJ$596,8,)/VLOOKUP($D185,$C$5:$AJ$596,4,))*$F185))</f>
        <v>0</v>
      </c>
      <c r="K185" s="33">
        <f>IF(VLOOKUP($D185,$C$5:$AJ$596,9,)=0,0,((VLOOKUP($D185,$C$5:$AJ$596,9,)/VLOOKUP($D185,$C$5:$AJ$596,4,))*$F185))</f>
        <v>0</v>
      </c>
      <c r="L185" s="33">
        <f>IF(VLOOKUP($D185,$C$5:$AJ$596,10,)=0,0,((VLOOKUP($D185,$C$5:$AJ$596,10,)/VLOOKUP($D185,$C$5:$AJ$596,4,))*$F185))</f>
        <v>0</v>
      </c>
      <c r="M185" s="33">
        <f>IF(VLOOKUP($D185,$C$5:$AJ$596,11,)=0,0,((VLOOKUP($D185,$C$5:$AJ$596,11,)/VLOOKUP($D185,$C$5:$AJ$596,4,))*$F185))</f>
        <v>0</v>
      </c>
      <c r="N185" s="33"/>
      <c r="O185" s="33">
        <f>IF(VLOOKUP($D185,$C$5:$AJ$596,13,)=0,0,((VLOOKUP($D185,$C$5:$AJ$596,13,)/VLOOKUP($D185,$C$5:$AJ$596,4,))*$F185))</f>
        <v>0</v>
      </c>
      <c r="P185" s="33">
        <f>IF(VLOOKUP($D185,$C$5:$AJ$596,14,)=0,0,((VLOOKUP($D185,$C$5:$AJ$596,14,)/VLOOKUP($D185,$C$5:$AJ$596,4,))*$F185))</f>
        <v>0</v>
      </c>
      <c r="Q185" s="33">
        <f>IF(VLOOKUP($D185,$C$5:$AJ$596,15,)=0,0,((VLOOKUP($D185,$C$5:$AJ$596,15,)/VLOOKUP($D185,$C$5:$AJ$596,4,))*$F185))</f>
        <v>0</v>
      </c>
      <c r="R185" s="33"/>
      <c r="S185" s="33">
        <f>IF(VLOOKUP($D185,$C$5:$AJ$596,17,)=0,0,((VLOOKUP($D185,$C$5:$AJ$596,17,)/VLOOKUP($D185,$C$5:$AJ$596,4,))*$F185))</f>
        <v>0</v>
      </c>
      <c r="T185" s="33">
        <f>IF(VLOOKUP($D185,$C$5:$AJ$596,18,)=0,0,((VLOOKUP($D185,$C$5:$AJ$596,18,)/VLOOKUP($D185,$C$5:$AJ$596,4,))*$F185))</f>
        <v>0</v>
      </c>
      <c r="U185" s="33">
        <f>IF(VLOOKUP($D185,$C$5:$AJ$596,19,)=0,0,((VLOOKUP($D185,$C$5:$AJ$596,19,)/VLOOKUP($D185,$C$5:$AJ$596,4,))*$F185))</f>
        <v>0</v>
      </c>
      <c r="V185" s="33">
        <f>IF(VLOOKUP($D185,$C$5:$AJ$596,20,)=0,0,((VLOOKUP($D185,$C$5:$AJ$596,20,)/VLOOKUP($D185,$C$5:$AJ$596,4,))*$F185))</f>
        <v>0</v>
      </c>
      <c r="W185" s="33">
        <f>IF(VLOOKUP($D185,$C$5:$AJ$596,21,)=0,0,((VLOOKUP($D185,$C$5:$AJ$596,21,)/VLOOKUP($D185,$C$5:$AJ$596,4,))*$F185))</f>
        <v>0</v>
      </c>
      <c r="X185" s="33">
        <f>IF(VLOOKUP($D185,$C$5:$AJ$596,22,)=0,0,((VLOOKUP($D185,$C$5:$AJ$596,22,)/VLOOKUP($D185,$C$5:$AJ$596,4,))*$F185))</f>
        <v>0</v>
      </c>
      <c r="Y185" s="33">
        <f>IF(VLOOKUP($D185,$C$5:$AJ$596,23,)=0,0,((VLOOKUP($D185,$C$5:$AJ$596,23,)/VLOOKUP($D185,$C$5:$AJ$596,4,))*$F185))</f>
        <v>0</v>
      </c>
      <c r="Z185" s="33">
        <f>IF(VLOOKUP($D185,$C$5:$AJ$596,24,)=0,0,((VLOOKUP($D185,$C$5:$AJ$596,24,)/VLOOKUP($D185,$C$5:$AJ$596,4,))*$F185))</f>
        <v>0</v>
      </c>
      <c r="AA185" s="33">
        <f>IF(VLOOKUP($D185,$C$5:$AJ$596,25,)=0,0,((VLOOKUP($D185,$C$5:$AJ$596,25,)/VLOOKUP($D185,$C$5:$AJ$596,4,))*$F185))</f>
        <v>0</v>
      </c>
      <c r="AB185" s="33">
        <f>IF(VLOOKUP($D185,$C$5:$AJ$596,26,)=0,0,((VLOOKUP($D185,$C$5:$AJ$596,26,)/VLOOKUP($D185,$C$5:$AJ$596,4,))*$F185))</f>
        <v>0</v>
      </c>
      <c r="AC185" s="33">
        <f>IF(VLOOKUP($D185,$C$5:$AJ$596,27,)=0,0,((VLOOKUP($D185,$C$5:$AJ$596,27,)/VLOOKUP($D185,$C$5:$AJ$596,4,))*$F185))</f>
        <v>0</v>
      </c>
      <c r="AD185" s="33">
        <f>IF(VLOOKUP($D185,$C$5:$AJ$596,28,)=0,0,((VLOOKUP($D185,$C$5:$AJ$596,28,)/VLOOKUP($D185,$C$5:$AJ$596,4,))*$F185))</f>
        <v>0</v>
      </c>
      <c r="AE185" s="33"/>
      <c r="AF185" s="33">
        <f>IF(VLOOKUP($D185,$C$5:$AJ$596,30,)=0,0,((VLOOKUP($D185,$C$5:$AJ$596,30,)/VLOOKUP($D185,$C$5:$AJ$596,4,))*$F185))</f>
        <v>0</v>
      </c>
      <c r="AG185" s="33"/>
      <c r="AH185" s="33">
        <f>IF(VLOOKUP($D185,$C$5:$AJ$596,32,)=0,0,((VLOOKUP($D185,$C$5:$AJ$596,32,)/VLOOKUP($D185,$C$5:$AJ$596,4,))*$F185))</f>
        <v>0</v>
      </c>
      <c r="AI185" s="33"/>
      <c r="AJ185" s="33">
        <f>IF(VLOOKUP($D185,$C$5:$AJ$596,34,)=0,0,((VLOOKUP($D185,$C$5:$AJ$596,34,)/VLOOKUP($D185,$C$5:$AJ$596,4,))*$F185))</f>
        <v>0</v>
      </c>
      <c r="AK185" s="33">
        <f>SUM(H185:AJ185)</f>
        <v>211002.67259591111</v>
      </c>
      <c r="AL185" s="30" t="str">
        <f>IF(ABS(AK185-F185)&lt;1,"ok","err")</f>
        <v>ok</v>
      </c>
    </row>
    <row r="186" spans="1:38" x14ac:dyDescent="0.25">
      <c r="A186" s="44">
        <v>543</v>
      </c>
      <c r="B186" s="29" t="s">
        <v>1567</v>
      </c>
      <c r="C186" s="29" t="s">
        <v>1581</v>
      </c>
      <c r="D186" s="139" t="s">
        <v>685</v>
      </c>
      <c r="E186" s="14"/>
      <c r="F186" s="33">
        <f>'Jurisdictional Study'!F980</f>
        <v>31780.226055088315</v>
      </c>
      <c r="H186" s="33">
        <f>IF(VLOOKUP($D186,$C$5:$AJ$596,6,)=0,0,((VLOOKUP($D186,$C$5:$AJ$596,6,)/VLOOKUP($D186,$C$5:$AJ$596,4,))*$F186))</f>
        <v>31780.226055088315</v>
      </c>
      <c r="I186" s="33">
        <f>IF(VLOOKUP($D186,$C$5:$AJ$596,7,)=0,0,((VLOOKUP($D186,$C$5:$AJ$596,7,)/VLOOKUP($D186,$C$5:$AJ$596,4,))*$F186))</f>
        <v>0</v>
      </c>
      <c r="J186" s="33">
        <f>IF(VLOOKUP($D186,$C$5:$AJ$596,8,)=0,0,((VLOOKUP($D186,$C$5:$AJ$596,8,)/VLOOKUP($D186,$C$5:$AJ$596,4,))*$F186))</f>
        <v>0</v>
      </c>
      <c r="K186" s="33">
        <f>IF(VLOOKUP($D186,$C$5:$AJ$596,9,)=0,0,((VLOOKUP($D186,$C$5:$AJ$596,9,)/VLOOKUP($D186,$C$5:$AJ$596,4,))*$F186))</f>
        <v>0</v>
      </c>
      <c r="L186" s="33">
        <f>IF(VLOOKUP($D186,$C$5:$AJ$596,10,)=0,0,((VLOOKUP($D186,$C$5:$AJ$596,10,)/VLOOKUP($D186,$C$5:$AJ$596,4,))*$F186))</f>
        <v>0</v>
      </c>
      <c r="M186" s="33">
        <f>IF(VLOOKUP($D186,$C$5:$AJ$596,11,)=0,0,((VLOOKUP($D186,$C$5:$AJ$596,11,)/VLOOKUP($D186,$C$5:$AJ$596,4,))*$F186))</f>
        <v>0</v>
      </c>
      <c r="N186" s="33"/>
      <c r="O186" s="33">
        <f>IF(VLOOKUP($D186,$C$5:$AJ$596,13,)=0,0,((VLOOKUP($D186,$C$5:$AJ$596,13,)/VLOOKUP($D186,$C$5:$AJ$596,4,))*$F186))</f>
        <v>0</v>
      </c>
      <c r="P186" s="33">
        <f>IF(VLOOKUP($D186,$C$5:$AJ$596,14,)=0,0,((VLOOKUP($D186,$C$5:$AJ$596,14,)/VLOOKUP($D186,$C$5:$AJ$596,4,))*$F186))</f>
        <v>0</v>
      </c>
      <c r="Q186" s="33">
        <f>IF(VLOOKUP($D186,$C$5:$AJ$596,15,)=0,0,((VLOOKUP($D186,$C$5:$AJ$596,15,)/VLOOKUP($D186,$C$5:$AJ$596,4,))*$F186))</f>
        <v>0</v>
      </c>
      <c r="R186" s="33"/>
      <c r="S186" s="33">
        <f>IF(VLOOKUP($D186,$C$5:$AJ$596,17,)=0,0,((VLOOKUP($D186,$C$5:$AJ$596,17,)/VLOOKUP($D186,$C$5:$AJ$596,4,))*$F186))</f>
        <v>0</v>
      </c>
      <c r="T186" s="33">
        <f>IF(VLOOKUP($D186,$C$5:$AJ$596,18,)=0,0,((VLOOKUP($D186,$C$5:$AJ$596,18,)/VLOOKUP($D186,$C$5:$AJ$596,4,))*$F186))</f>
        <v>0</v>
      </c>
      <c r="U186" s="33">
        <f>IF(VLOOKUP($D186,$C$5:$AJ$596,19,)=0,0,((VLOOKUP($D186,$C$5:$AJ$596,19,)/VLOOKUP($D186,$C$5:$AJ$596,4,))*$F186))</f>
        <v>0</v>
      </c>
      <c r="V186" s="33">
        <f>IF(VLOOKUP($D186,$C$5:$AJ$596,20,)=0,0,((VLOOKUP($D186,$C$5:$AJ$596,20,)/VLOOKUP($D186,$C$5:$AJ$596,4,))*$F186))</f>
        <v>0</v>
      </c>
      <c r="W186" s="33">
        <f>IF(VLOOKUP($D186,$C$5:$AJ$596,21,)=0,0,((VLOOKUP($D186,$C$5:$AJ$596,21,)/VLOOKUP($D186,$C$5:$AJ$596,4,))*$F186))</f>
        <v>0</v>
      </c>
      <c r="X186" s="33">
        <f>IF(VLOOKUP($D186,$C$5:$AJ$596,22,)=0,0,((VLOOKUP($D186,$C$5:$AJ$596,22,)/VLOOKUP($D186,$C$5:$AJ$596,4,))*$F186))</f>
        <v>0</v>
      </c>
      <c r="Y186" s="33">
        <f>IF(VLOOKUP($D186,$C$5:$AJ$596,23,)=0,0,((VLOOKUP($D186,$C$5:$AJ$596,23,)/VLOOKUP($D186,$C$5:$AJ$596,4,))*$F186))</f>
        <v>0</v>
      </c>
      <c r="Z186" s="33">
        <f>IF(VLOOKUP($D186,$C$5:$AJ$596,24,)=0,0,((VLOOKUP($D186,$C$5:$AJ$596,24,)/VLOOKUP($D186,$C$5:$AJ$596,4,))*$F186))</f>
        <v>0</v>
      </c>
      <c r="AA186" s="33">
        <f>IF(VLOOKUP($D186,$C$5:$AJ$596,25,)=0,0,((VLOOKUP($D186,$C$5:$AJ$596,25,)/VLOOKUP($D186,$C$5:$AJ$596,4,))*$F186))</f>
        <v>0</v>
      </c>
      <c r="AB186" s="33">
        <f>IF(VLOOKUP($D186,$C$5:$AJ$596,26,)=0,0,((VLOOKUP($D186,$C$5:$AJ$596,26,)/VLOOKUP($D186,$C$5:$AJ$596,4,))*$F186))</f>
        <v>0</v>
      </c>
      <c r="AC186" s="33">
        <f>IF(VLOOKUP($D186,$C$5:$AJ$596,27,)=0,0,((VLOOKUP($D186,$C$5:$AJ$596,27,)/VLOOKUP($D186,$C$5:$AJ$596,4,))*$F186))</f>
        <v>0</v>
      </c>
      <c r="AD186" s="33">
        <f>IF(VLOOKUP($D186,$C$5:$AJ$596,28,)=0,0,((VLOOKUP($D186,$C$5:$AJ$596,28,)/VLOOKUP($D186,$C$5:$AJ$596,4,))*$F186))</f>
        <v>0</v>
      </c>
      <c r="AE186" s="33"/>
      <c r="AF186" s="33">
        <f>IF(VLOOKUP($D186,$C$5:$AJ$596,30,)=0,0,((VLOOKUP($D186,$C$5:$AJ$596,30,)/VLOOKUP($D186,$C$5:$AJ$596,4,))*$F186))</f>
        <v>0</v>
      </c>
      <c r="AG186" s="33"/>
      <c r="AH186" s="33">
        <f>IF(VLOOKUP($D186,$C$5:$AJ$596,32,)=0,0,((VLOOKUP($D186,$C$5:$AJ$596,32,)/VLOOKUP($D186,$C$5:$AJ$596,4,))*$F186))</f>
        <v>0</v>
      </c>
      <c r="AI186" s="33"/>
      <c r="AJ186" s="33">
        <f>IF(VLOOKUP($D186,$C$5:$AJ$596,34,)=0,0,((VLOOKUP($D186,$C$5:$AJ$596,34,)/VLOOKUP($D186,$C$5:$AJ$596,4,))*$F186))</f>
        <v>0</v>
      </c>
      <c r="AK186" s="33">
        <f>SUM(H186:AJ186)</f>
        <v>31780.226055088315</v>
      </c>
      <c r="AL186" s="30" t="str">
        <f>IF(ABS(AK186-F186)&lt;1,"ok","err")</f>
        <v>ok</v>
      </c>
    </row>
    <row r="187" spans="1:38" x14ac:dyDescent="0.25">
      <c r="A187" s="29">
        <v>544</v>
      </c>
      <c r="B187" s="29" t="s">
        <v>1469</v>
      </c>
      <c r="C187" s="29" t="s">
        <v>1582</v>
      </c>
      <c r="D187" s="139" t="s">
        <v>104</v>
      </c>
      <c r="E187" s="14"/>
      <c r="F187" s="33">
        <f>'Jurisdictional Study'!F981</f>
        <v>41521.088156924736</v>
      </c>
      <c r="H187" s="33">
        <f>IF(VLOOKUP($D187,$C$5:$AJ$596,6,)=0,0,((VLOOKUP($D187,$C$5:$AJ$596,6,)/VLOOKUP($D187,$C$5:$AJ$596,4,))*$F187))</f>
        <v>0</v>
      </c>
      <c r="I187" s="33">
        <f>IF(VLOOKUP($D187,$C$5:$AJ$596,7,)=0,0,((VLOOKUP($D187,$C$5:$AJ$596,7,)/VLOOKUP($D187,$C$5:$AJ$596,4,))*$F187))</f>
        <v>0</v>
      </c>
      <c r="J187" s="33">
        <f>IF(VLOOKUP($D187,$C$5:$AJ$596,8,)=0,0,((VLOOKUP($D187,$C$5:$AJ$596,8,)/VLOOKUP($D187,$C$5:$AJ$596,4,))*$F187))</f>
        <v>0</v>
      </c>
      <c r="K187" s="33">
        <f>IF(VLOOKUP($D187,$C$5:$AJ$596,9,)=0,0,((VLOOKUP($D187,$C$5:$AJ$596,9,)/VLOOKUP($D187,$C$5:$AJ$596,4,))*$F187))</f>
        <v>41521.088156924736</v>
      </c>
      <c r="L187" s="33">
        <f>IF(VLOOKUP($D187,$C$5:$AJ$596,10,)=0,0,((VLOOKUP($D187,$C$5:$AJ$596,10,)/VLOOKUP($D187,$C$5:$AJ$596,4,))*$F187))</f>
        <v>0</v>
      </c>
      <c r="M187" s="33">
        <f>IF(VLOOKUP($D187,$C$5:$AJ$596,11,)=0,0,((VLOOKUP($D187,$C$5:$AJ$596,11,)/VLOOKUP($D187,$C$5:$AJ$596,4,))*$F187))</f>
        <v>0</v>
      </c>
      <c r="N187" s="33"/>
      <c r="O187" s="33">
        <f>IF(VLOOKUP($D187,$C$5:$AJ$596,13,)=0,0,((VLOOKUP($D187,$C$5:$AJ$596,13,)/VLOOKUP($D187,$C$5:$AJ$596,4,))*$F187))</f>
        <v>0</v>
      </c>
      <c r="P187" s="33">
        <f>IF(VLOOKUP($D187,$C$5:$AJ$596,14,)=0,0,((VLOOKUP($D187,$C$5:$AJ$596,14,)/VLOOKUP($D187,$C$5:$AJ$596,4,))*$F187))</f>
        <v>0</v>
      </c>
      <c r="Q187" s="33">
        <f>IF(VLOOKUP($D187,$C$5:$AJ$596,15,)=0,0,((VLOOKUP($D187,$C$5:$AJ$596,15,)/VLOOKUP($D187,$C$5:$AJ$596,4,))*$F187))</f>
        <v>0</v>
      </c>
      <c r="R187" s="33"/>
      <c r="S187" s="33">
        <f>IF(VLOOKUP($D187,$C$5:$AJ$596,17,)=0,0,((VLOOKUP($D187,$C$5:$AJ$596,17,)/VLOOKUP($D187,$C$5:$AJ$596,4,))*$F187))</f>
        <v>0</v>
      </c>
      <c r="T187" s="33">
        <f>IF(VLOOKUP($D187,$C$5:$AJ$596,18,)=0,0,((VLOOKUP($D187,$C$5:$AJ$596,18,)/VLOOKUP($D187,$C$5:$AJ$596,4,))*$F187))</f>
        <v>0</v>
      </c>
      <c r="U187" s="33">
        <f>IF(VLOOKUP($D187,$C$5:$AJ$596,19,)=0,0,((VLOOKUP($D187,$C$5:$AJ$596,19,)/VLOOKUP($D187,$C$5:$AJ$596,4,))*$F187))</f>
        <v>0</v>
      </c>
      <c r="V187" s="33">
        <f>IF(VLOOKUP($D187,$C$5:$AJ$596,20,)=0,0,((VLOOKUP($D187,$C$5:$AJ$596,20,)/VLOOKUP($D187,$C$5:$AJ$596,4,))*$F187))</f>
        <v>0</v>
      </c>
      <c r="W187" s="33">
        <f>IF(VLOOKUP($D187,$C$5:$AJ$596,21,)=0,0,((VLOOKUP($D187,$C$5:$AJ$596,21,)/VLOOKUP($D187,$C$5:$AJ$596,4,))*$F187))</f>
        <v>0</v>
      </c>
      <c r="X187" s="33">
        <f>IF(VLOOKUP($D187,$C$5:$AJ$596,22,)=0,0,((VLOOKUP($D187,$C$5:$AJ$596,22,)/VLOOKUP($D187,$C$5:$AJ$596,4,))*$F187))</f>
        <v>0</v>
      </c>
      <c r="Y187" s="33">
        <f>IF(VLOOKUP($D187,$C$5:$AJ$596,23,)=0,0,((VLOOKUP($D187,$C$5:$AJ$596,23,)/VLOOKUP($D187,$C$5:$AJ$596,4,))*$F187))</f>
        <v>0</v>
      </c>
      <c r="Z187" s="33">
        <f>IF(VLOOKUP($D187,$C$5:$AJ$596,24,)=0,0,((VLOOKUP($D187,$C$5:$AJ$596,24,)/VLOOKUP($D187,$C$5:$AJ$596,4,))*$F187))</f>
        <v>0</v>
      </c>
      <c r="AA187" s="33">
        <f>IF(VLOOKUP($D187,$C$5:$AJ$596,25,)=0,0,((VLOOKUP($D187,$C$5:$AJ$596,25,)/VLOOKUP($D187,$C$5:$AJ$596,4,))*$F187))</f>
        <v>0</v>
      </c>
      <c r="AB187" s="33">
        <f>IF(VLOOKUP($D187,$C$5:$AJ$596,26,)=0,0,((VLOOKUP($D187,$C$5:$AJ$596,26,)/VLOOKUP($D187,$C$5:$AJ$596,4,))*$F187))</f>
        <v>0</v>
      </c>
      <c r="AC187" s="33">
        <f>IF(VLOOKUP($D187,$C$5:$AJ$596,27,)=0,0,((VLOOKUP($D187,$C$5:$AJ$596,27,)/VLOOKUP($D187,$C$5:$AJ$596,4,))*$F187))</f>
        <v>0</v>
      </c>
      <c r="AD187" s="33">
        <f>IF(VLOOKUP($D187,$C$5:$AJ$596,28,)=0,0,((VLOOKUP($D187,$C$5:$AJ$596,28,)/VLOOKUP($D187,$C$5:$AJ$596,4,))*$F187))</f>
        <v>0</v>
      </c>
      <c r="AE187" s="33"/>
      <c r="AF187" s="33">
        <f>IF(VLOOKUP($D187,$C$5:$AJ$596,30,)=0,0,((VLOOKUP($D187,$C$5:$AJ$596,30,)/VLOOKUP($D187,$C$5:$AJ$596,4,))*$F187))</f>
        <v>0</v>
      </c>
      <c r="AG187" s="33"/>
      <c r="AH187" s="33">
        <f>IF(VLOOKUP($D187,$C$5:$AJ$596,32,)=0,0,((VLOOKUP($D187,$C$5:$AJ$596,32,)/VLOOKUP($D187,$C$5:$AJ$596,4,))*$F187))</f>
        <v>0</v>
      </c>
      <c r="AI187" s="33"/>
      <c r="AJ187" s="33">
        <f>IF(VLOOKUP($D187,$C$5:$AJ$596,34,)=0,0,((VLOOKUP($D187,$C$5:$AJ$596,34,)/VLOOKUP($D187,$C$5:$AJ$596,4,))*$F187))</f>
        <v>0</v>
      </c>
      <c r="AK187" s="33">
        <f>SUM(H187:AJ187)</f>
        <v>41521.088156924736</v>
      </c>
      <c r="AL187" s="30" t="str">
        <f>IF(ABS(AK187-F187)&lt;1,"ok","err")</f>
        <v>ok</v>
      </c>
    </row>
    <row r="188" spans="1:38" x14ac:dyDescent="0.25">
      <c r="A188" s="29">
        <v>545</v>
      </c>
      <c r="B188" s="29" t="s">
        <v>1573</v>
      </c>
      <c r="C188" s="29" t="s">
        <v>1583</v>
      </c>
      <c r="D188" s="139" t="s">
        <v>104</v>
      </c>
      <c r="E188" s="14"/>
      <c r="F188" s="33">
        <f>'Jurisdictional Study'!F982</f>
        <v>10442.234908535824</v>
      </c>
      <c r="H188" s="33">
        <f>IF(VLOOKUP($D188,$C$5:$AJ$596,6,)=0,0,((VLOOKUP($D188,$C$5:$AJ$596,6,)/VLOOKUP($D188,$C$5:$AJ$596,4,))*$F188))</f>
        <v>0</v>
      </c>
      <c r="I188" s="33">
        <f>IF(VLOOKUP($D188,$C$5:$AJ$596,7,)=0,0,((VLOOKUP($D188,$C$5:$AJ$596,7,)/VLOOKUP($D188,$C$5:$AJ$596,4,))*$F188))</f>
        <v>0</v>
      </c>
      <c r="J188" s="33">
        <f>IF(VLOOKUP($D188,$C$5:$AJ$596,8,)=0,0,((VLOOKUP($D188,$C$5:$AJ$596,8,)/VLOOKUP($D188,$C$5:$AJ$596,4,))*$F188))</f>
        <v>0</v>
      </c>
      <c r="K188" s="33">
        <f>IF(VLOOKUP($D188,$C$5:$AJ$596,9,)=0,0,((VLOOKUP($D188,$C$5:$AJ$596,9,)/VLOOKUP($D188,$C$5:$AJ$596,4,))*$F188))</f>
        <v>10442.234908535824</v>
      </c>
      <c r="L188" s="33">
        <f>IF(VLOOKUP($D188,$C$5:$AJ$596,10,)=0,0,((VLOOKUP($D188,$C$5:$AJ$596,10,)/VLOOKUP($D188,$C$5:$AJ$596,4,))*$F188))</f>
        <v>0</v>
      </c>
      <c r="M188" s="33">
        <f>IF(VLOOKUP($D188,$C$5:$AJ$596,11,)=0,0,((VLOOKUP($D188,$C$5:$AJ$596,11,)/VLOOKUP($D188,$C$5:$AJ$596,4,))*$F188))</f>
        <v>0</v>
      </c>
      <c r="N188" s="33"/>
      <c r="O188" s="33">
        <f>IF(VLOOKUP($D188,$C$5:$AJ$596,13,)=0,0,((VLOOKUP($D188,$C$5:$AJ$596,13,)/VLOOKUP($D188,$C$5:$AJ$596,4,))*$F188))</f>
        <v>0</v>
      </c>
      <c r="P188" s="33">
        <f>IF(VLOOKUP($D188,$C$5:$AJ$596,14,)=0,0,((VLOOKUP($D188,$C$5:$AJ$596,14,)/VLOOKUP($D188,$C$5:$AJ$596,4,))*$F188))</f>
        <v>0</v>
      </c>
      <c r="Q188" s="33">
        <f>IF(VLOOKUP($D188,$C$5:$AJ$596,15,)=0,0,((VLOOKUP($D188,$C$5:$AJ$596,15,)/VLOOKUP($D188,$C$5:$AJ$596,4,))*$F188))</f>
        <v>0</v>
      </c>
      <c r="R188" s="33"/>
      <c r="S188" s="33">
        <f>IF(VLOOKUP($D188,$C$5:$AJ$596,17,)=0,0,((VLOOKUP($D188,$C$5:$AJ$596,17,)/VLOOKUP($D188,$C$5:$AJ$596,4,))*$F188))</f>
        <v>0</v>
      </c>
      <c r="T188" s="33">
        <f>IF(VLOOKUP($D188,$C$5:$AJ$596,18,)=0,0,((VLOOKUP($D188,$C$5:$AJ$596,18,)/VLOOKUP($D188,$C$5:$AJ$596,4,))*$F188))</f>
        <v>0</v>
      </c>
      <c r="U188" s="33">
        <f>IF(VLOOKUP($D188,$C$5:$AJ$596,19,)=0,0,((VLOOKUP($D188,$C$5:$AJ$596,19,)/VLOOKUP($D188,$C$5:$AJ$596,4,))*$F188))</f>
        <v>0</v>
      </c>
      <c r="V188" s="33">
        <f>IF(VLOOKUP($D188,$C$5:$AJ$596,20,)=0,0,((VLOOKUP($D188,$C$5:$AJ$596,20,)/VLOOKUP($D188,$C$5:$AJ$596,4,))*$F188))</f>
        <v>0</v>
      </c>
      <c r="W188" s="33">
        <f>IF(VLOOKUP($D188,$C$5:$AJ$596,21,)=0,0,((VLOOKUP($D188,$C$5:$AJ$596,21,)/VLOOKUP($D188,$C$5:$AJ$596,4,))*$F188))</f>
        <v>0</v>
      </c>
      <c r="X188" s="33">
        <f>IF(VLOOKUP($D188,$C$5:$AJ$596,22,)=0,0,((VLOOKUP($D188,$C$5:$AJ$596,22,)/VLOOKUP($D188,$C$5:$AJ$596,4,))*$F188))</f>
        <v>0</v>
      </c>
      <c r="Y188" s="33">
        <f>IF(VLOOKUP($D188,$C$5:$AJ$596,23,)=0,0,((VLOOKUP($D188,$C$5:$AJ$596,23,)/VLOOKUP($D188,$C$5:$AJ$596,4,))*$F188))</f>
        <v>0</v>
      </c>
      <c r="Z188" s="33">
        <f>IF(VLOOKUP($D188,$C$5:$AJ$596,24,)=0,0,((VLOOKUP($D188,$C$5:$AJ$596,24,)/VLOOKUP($D188,$C$5:$AJ$596,4,))*$F188))</f>
        <v>0</v>
      </c>
      <c r="AA188" s="33">
        <f>IF(VLOOKUP($D188,$C$5:$AJ$596,25,)=0,0,((VLOOKUP($D188,$C$5:$AJ$596,25,)/VLOOKUP($D188,$C$5:$AJ$596,4,))*$F188))</f>
        <v>0</v>
      </c>
      <c r="AB188" s="33">
        <f>IF(VLOOKUP($D188,$C$5:$AJ$596,26,)=0,0,((VLOOKUP($D188,$C$5:$AJ$596,26,)/VLOOKUP($D188,$C$5:$AJ$596,4,))*$F188))</f>
        <v>0</v>
      </c>
      <c r="AC188" s="33">
        <f>IF(VLOOKUP($D188,$C$5:$AJ$596,27,)=0,0,((VLOOKUP($D188,$C$5:$AJ$596,27,)/VLOOKUP($D188,$C$5:$AJ$596,4,))*$F188))</f>
        <v>0</v>
      </c>
      <c r="AD188" s="33">
        <f>IF(VLOOKUP($D188,$C$5:$AJ$596,28,)=0,0,((VLOOKUP($D188,$C$5:$AJ$596,28,)/VLOOKUP($D188,$C$5:$AJ$596,4,))*$F188))</f>
        <v>0</v>
      </c>
      <c r="AE188" s="33"/>
      <c r="AF188" s="33">
        <f>IF(VLOOKUP($D188,$C$5:$AJ$596,30,)=0,0,((VLOOKUP($D188,$C$5:$AJ$596,30,)/VLOOKUP($D188,$C$5:$AJ$596,4,))*$F188))</f>
        <v>0</v>
      </c>
      <c r="AG188" s="33"/>
      <c r="AH188" s="33">
        <f>IF(VLOOKUP($D188,$C$5:$AJ$596,32,)=0,0,((VLOOKUP($D188,$C$5:$AJ$596,32,)/VLOOKUP($D188,$C$5:$AJ$596,4,))*$F188))</f>
        <v>0</v>
      </c>
      <c r="AI188" s="33"/>
      <c r="AJ188" s="33">
        <f>IF(VLOOKUP($D188,$C$5:$AJ$596,34,)=0,0,((VLOOKUP($D188,$C$5:$AJ$596,34,)/VLOOKUP($D188,$C$5:$AJ$596,4,))*$F188))</f>
        <v>0</v>
      </c>
      <c r="AK188" s="33">
        <f>SUM(H188:AJ188)</f>
        <v>10442.234908535824</v>
      </c>
      <c r="AL188" s="30" t="str">
        <f>IF(ABS(AK188-F188)&lt;1,"ok","err")</f>
        <v>ok</v>
      </c>
    </row>
    <row r="189" spans="1:38" x14ac:dyDescent="0.25">
      <c r="D189" s="139"/>
      <c r="E189" s="14"/>
      <c r="F189" s="32"/>
      <c r="Y189" s="29"/>
      <c r="AL189" s="30"/>
    </row>
    <row r="190" spans="1:38" x14ac:dyDescent="0.25">
      <c r="B190" s="29" t="s">
        <v>1570</v>
      </c>
      <c r="D190" s="139"/>
      <c r="E190" s="14"/>
      <c r="F190" s="32">
        <f>SUM(F184:F189)</f>
        <v>507207.84619253897</v>
      </c>
      <c r="H190" s="32">
        <f t="shared" ref="H190:M190" si="154">SUM(H184:H189)</f>
        <v>447720.2970924793</v>
      </c>
      <c r="I190" s="32">
        <f t="shared" si="154"/>
        <v>0</v>
      </c>
      <c r="J190" s="32">
        <f t="shared" si="154"/>
        <v>0</v>
      </c>
      <c r="K190" s="32">
        <f t="shared" si="154"/>
        <v>59487.549100059652</v>
      </c>
      <c r="L190" s="32">
        <f t="shared" si="154"/>
        <v>0</v>
      </c>
      <c r="M190" s="32">
        <f t="shared" si="154"/>
        <v>0</v>
      </c>
      <c r="O190" s="32">
        <f>SUM(O184:O189)</f>
        <v>0</v>
      </c>
      <c r="P190" s="32">
        <f>SUM(P184:P189)</f>
        <v>0</v>
      </c>
      <c r="Q190" s="32">
        <f>SUM(Q184:Q189)</f>
        <v>0</v>
      </c>
      <c r="S190" s="32">
        <f t="shared" ref="S190:AD190" si="155">SUM(S184:S189)</f>
        <v>0</v>
      </c>
      <c r="T190" s="32">
        <f t="shared" si="155"/>
        <v>0</v>
      </c>
      <c r="U190" s="32">
        <f t="shared" si="155"/>
        <v>0</v>
      </c>
      <c r="V190" s="32">
        <f t="shared" si="155"/>
        <v>0</v>
      </c>
      <c r="W190" s="32">
        <f t="shared" si="155"/>
        <v>0</v>
      </c>
      <c r="X190" s="32">
        <f t="shared" si="155"/>
        <v>0</v>
      </c>
      <c r="Y190" s="32">
        <f t="shared" si="155"/>
        <v>0</v>
      </c>
      <c r="Z190" s="32">
        <f t="shared" si="155"/>
        <v>0</v>
      </c>
      <c r="AA190" s="32">
        <f t="shared" si="155"/>
        <v>0</v>
      </c>
      <c r="AB190" s="32">
        <f t="shared" si="155"/>
        <v>0</v>
      </c>
      <c r="AC190" s="32">
        <f t="shared" si="155"/>
        <v>0</v>
      </c>
      <c r="AD190" s="32">
        <f t="shared" si="155"/>
        <v>0</v>
      </c>
      <c r="AF190" s="32">
        <f>SUM(AF184:AF189)</f>
        <v>0</v>
      </c>
      <c r="AH190" s="32">
        <f>SUM(AH184:AH189)</f>
        <v>0</v>
      </c>
      <c r="AJ190" s="32">
        <f>SUM(AJ184:AJ189)</f>
        <v>0</v>
      </c>
      <c r="AK190" s="33">
        <f>SUM(H190:AJ190)</f>
        <v>507207.84619253897</v>
      </c>
      <c r="AL190" s="30" t="str">
        <f>IF(ABS(AK190-F190)&lt;1,"ok","err")</f>
        <v>ok</v>
      </c>
    </row>
    <row r="191" spans="1:38" x14ac:dyDescent="0.25">
      <c r="D191" s="139"/>
      <c r="E191" s="14"/>
      <c r="F191" s="32"/>
      <c r="H191" s="32"/>
      <c r="I191" s="32"/>
      <c r="J191" s="32"/>
      <c r="K191" s="32"/>
      <c r="L191" s="32"/>
      <c r="M191" s="32"/>
      <c r="O191" s="32"/>
      <c r="P191" s="32"/>
      <c r="Q191" s="32"/>
      <c r="S191" s="32"/>
      <c r="T191" s="32"/>
      <c r="U191" s="32"/>
      <c r="V191" s="32"/>
      <c r="W191" s="32"/>
      <c r="X191" s="32"/>
      <c r="Y191" s="32"/>
      <c r="Z191" s="32"/>
      <c r="AA191" s="32"/>
      <c r="AB191" s="32"/>
      <c r="AC191" s="32"/>
      <c r="AD191" s="32"/>
      <c r="AF191" s="32"/>
      <c r="AH191" s="32"/>
      <c r="AJ191" s="32"/>
      <c r="AK191" s="33"/>
      <c r="AL191" s="30"/>
    </row>
    <row r="192" spans="1:38" x14ac:dyDescent="0.25">
      <c r="B192" s="29" t="s">
        <v>1569</v>
      </c>
      <c r="D192" s="139"/>
      <c r="E192" s="14"/>
      <c r="F192" s="32">
        <f>F181+F190</f>
        <v>516683.06867953774</v>
      </c>
      <c r="H192" s="32">
        <f t="shared" ref="H192:M192" si="156">H181+H190</f>
        <v>457195.51957947807</v>
      </c>
      <c r="I192" s="32">
        <f t="shared" si="156"/>
        <v>0</v>
      </c>
      <c r="J192" s="32">
        <f t="shared" si="156"/>
        <v>0</v>
      </c>
      <c r="K192" s="32">
        <f t="shared" si="156"/>
        <v>59487.549100059652</v>
      </c>
      <c r="L192" s="32">
        <f t="shared" si="156"/>
        <v>0</v>
      </c>
      <c r="M192" s="32">
        <f t="shared" si="156"/>
        <v>0</v>
      </c>
      <c r="O192" s="32">
        <f>O181+O190</f>
        <v>0</v>
      </c>
      <c r="P192" s="32">
        <f>P181+P190</f>
        <v>0</v>
      </c>
      <c r="Q192" s="32">
        <f>Q181+Q190</f>
        <v>0</v>
      </c>
      <c r="S192" s="32">
        <f t="shared" ref="S192:AD192" si="157">S181+S190</f>
        <v>0</v>
      </c>
      <c r="T192" s="32">
        <f t="shared" si="157"/>
        <v>0</v>
      </c>
      <c r="U192" s="32">
        <f t="shared" si="157"/>
        <v>0</v>
      </c>
      <c r="V192" s="32">
        <f t="shared" si="157"/>
        <v>0</v>
      </c>
      <c r="W192" s="32">
        <f t="shared" si="157"/>
        <v>0</v>
      </c>
      <c r="X192" s="32">
        <f t="shared" si="157"/>
        <v>0</v>
      </c>
      <c r="Y192" s="32">
        <f t="shared" si="157"/>
        <v>0</v>
      </c>
      <c r="Z192" s="32">
        <f t="shared" si="157"/>
        <v>0</v>
      </c>
      <c r="AA192" s="32">
        <f t="shared" si="157"/>
        <v>0</v>
      </c>
      <c r="AB192" s="32">
        <f t="shared" si="157"/>
        <v>0</v>
      </c>
      <c r="AC192" s="32">
        <f t="shared" si="157"/>
        <v>0</v>
      </c>
      <c r="AD192" s="32">
        <f t="shared" si="157"/>
        <v>0</v>
      </c>
      <c r="AF192" s="32">
        <f>AF181+AF190</f>
        <v>0</v>
      </c>
      <c r="AH192" s="32">
        <f>AH181+AH190</f>
        <v>0</v>
      </c>
      <c r="AJ192" s="32">
        <f>AJ181+AJ190</f>
        <v>0</v>
      </c>
      <c r="AK192" s="33">
        <f>SUM(H192:AJ192)</f>
        <v>516683.06867953774</v>
      </c>
      <c r="AL192" s="30" t="str">
        <f>IF(ABS(AK192-F192)&lt;1,"ok","err")</f>
        <v>ok</v>
      </c>
    </row>
    <row r="193" spans="1:38" x14ac:dyDescent="0.25">
      <c r="D193" s="139"/>
      <c r="E193" s="14"/>
      <c r="F193" s="32"/>
      <c r="Y193" s="29"/>
      <c r="AL193" s="30"/>
    </row>
    <row r="194" spans="1:38" x14ac:dyDescent="0.25">
      <c r="A194" s="3" t="s">
        <v>277</v>
      </c>
      <c r="D194" s="139"/>
      <c r="E194" s="14"/>
      <c r="F194" s="32"/>
      <c r="Y194" s="29"/>
      <c r="AL194" s="30"/>
    </row>
    <row r="195" spans="1:38" x14ac:dyDescent="0.25">
      <c r="D195" s="139"/>
      <c r="E195" s="14"/>
      <c r="F195" s="32"/>
      <c r="Y195" s="29"/>
      <c r="AL195" s="30"/>
    </row>
    <row r="196" spans="1:38" x14ac:dyDescent="0.25">
      <c r="A196" s="4" t="s">
        <v>1476</v>
      </c>
      <c r="D196" s="139"/>
      <c r="E196" s="14"/>
      <c r="F196" s="32"/>
      <c r="Y196" s="29"/>
      <c r="AL196" s="30"/>
    </row>
    <row r="197" spans="1:38" x14ac:dyDescent="0.25">
      <c r="A197" s="29">
        <v>546</v>
      </c>
      <c r="B197" s="29" t="s">
        <v>1453</v>
      </c>
      <c r="C197" s="29" t="s">
        <v>1477</v>
      </c>
      <c r="D197" s="139" t="s">
        <v>688</v>
      </c>
      <c r="E197" s="14"/>
      <c r="F197" s="32">
        <f>'Jurisdictional Study'!F988</f>
        <v>1224072.1054768402</v>
      </c>
      <c r="H197" s="33">
        <f>IF(VLOOKUP($D197,$C$5:$AJ$596,6,)=0,0,((VLOOKUP($D197,$C$5:$AJ$596,6,)/VLOOKUP($D197,$C$5:$AJ$596,4,))*$F197))</f>
        <v>1224072.1054768402</v>
      </c>
      <c r="I197" s="33">
        <f>IF(VLOOKUP($D197,$C$5:$AJ$596,7,)=0,0,((VLOOKUP($D197,$C$5:$AJ$596,7,)/VLOOKUP($D197,$C$5:$AJ$596,4,))*$F197))</f>
        <v>0</v>
      </c>
      <c r="J197" s="33">
        <f>IF(VLOOKUP($D197,$C$5:$AJ$596,8,)=0,0,((VLOOKUP($D197,$C$5:$AJ$596,8,)/VLOOKUP($D197,$C$5:$AJ$596,4,))*$F197))</f>
        <v>0</v>
      </c>
      <c r="K197" s="33">
        <f>IF(VLOOKUP($D197,$C$5:$AJ$596,9,)=0,0,((VLOOKUP($D197,$C$5:$AJ$596,9,)/VLOOKUP($D197,$C$5:$AJ$596,4,))*$F197))</f>
        <v>0</v>
      </c>
      <c r="L197" s="33">
        <f>IF(VLOOKUP($D197,$C$5:$AJ$596,10,)=0,0,((VLOOKUP($D197,$C$5:$AJ$596,10,)/VLOOKUP($D197,$C$5:$AJ$596,4,))*$F197))</f>
        <v>0</v>
      </c>
      <c r="M197" s="33">
        <f>IF(VLOOKUP($D197,$C$5:$AJ$596,11,)=0,0,((VLOOKUP($D197,$C$5:$AJ$596,11,)/VLOOKUP($D197,$C$5:$AJ$596,4,))*$F197))</f>
        <v>0</v>
      </c>
      <c r="N197" s="33"/>
      <c r="O197" s="33">
        <f>IF(VLOOKUP($D197,$C$5:$AJ$596,13,)=0,0,((VLOOKUP($D197,$C$5:$AJ$596,13,)/VLOOKUP($D197,$C$5:$AJ$596,4,))*$F197))</f>
        <v>0</v>
      </c>
      <c r="P197" s="33">
        <f>IF(VLOOKUP($D197,$C$5:$AJ$596,14,)=0,0,((VLOOKUP($D197,$C$5:$AJ$596,14,)/VLOOKUP($D197,$C$5:$AJ$596,4,))*$F197))</f>
        <v>0</v>
      </c>
      <c r="Q197" s="33">
        <f>IF(VLOOKUP($D197,$C$5:$AJ$596,15,)=0,0,((VLOOKUP($D197,$C$5:$AJ$596,15,)/VLOOKUP($D197,$C$5:$AJ$596,4,))*$F197))</f>
        <v>0</v>
      </c>
      <c r="R197" s="33"/>
      <c r="S197" s="33">
        <f>IF(VLOOKUP($D197,$C$5:$AJ$596,17,)=0,0,((VLOOKUP($D197,$C$5:$AJ$596,17,)/VLOOKUP($D197,$C$5:$AJ$596,4,))*$F197))</f>
        <v>0</v>
      </c>
      <c r="T197" s="33">
        <f>IF(VLOOKUP($D197,$C$5:$AJ$596,18,)=0,0,((VLOOKUP($D197,$C$5:$AJ$596,18,)/VLOOKUP($D197,$C$5:$AJ$596,4,))*$F197))</f>
        <v>0</v>
      </c>
      <c r="U197" s="33">
        <f>IF(VLOOKUP($D197,$C$5:$AJ$596,19,)=0,0,((VLOOKUP($D197,$C$5:$AJ$596,19,)/VLOOKUP($D197,$C$5:$AJ$596,4,))*$F197))</f>
        <v>0</v>
      </c>
      <c r="V197" s="33">
        <f>IF(VLOOKUP($D197,$C$5:$AJ$596,20,)=0,0,((VLOOKUP($D197,$C$5:$AJ$596,20,)/VLOOKUP($D197,$C$5:$AJ$596,4,))*$F197))</f>
        <v>0</v>
      </c>
      <c r="W197" s="33">
        <f>IF(VLOOKUP($D197,$C$5:$AJ$596,21,)=0,0,((VLOOKUP($D197,$C$5:$AJ$596,21,)/VLOOKUP($D197,$C$5:$AJ$596,4,))*$F197))</f>
        <v>0</v>
      </c>
      <c r="X197" s="33">
        <f>IF(VLOOKUP($D197,$C$5:$AJ$596,22,)=0,0,((VLOOKUP($D197,$C$5:$AJ$596,22,)/VLOOKUP($D197,$C$5:$AJ$596,4,))*$F197))</f>
        <v>0</v>
      </c>
      <c r="Y197" s="33">
        <f>IF(VLOOKUP($D197,$C$5:$AJ$596,23,)=0,0,((VLOOKUP($D197,$C$5:$AJ$596,23,)/VLOOKUP($D197,$C$5:$AJ$596,4,))*$F197))</f>
        <v>0</v>
      </c>
      <c r="Z197" s="33">
        <f>IF(VLOOKUP($D197,$C$5:$AJ$596,24,)=0,0,((VLOOKUP($D197,$C$5:$AJ$596,24,)/VLOOKUP($D197,$C$5:$AJ$596,4,))*$F197))</f>
        <v>0</v>
      </c>
      <c r="AA197" s="33">
        <f>IF(VLOOKUP($D197,$C$5:$AJ$596,25,)=0,0,((VLOOKUP($D197,$C$5:$AJ$596,25,)/VLOOKUP($D197,$C$5:$AJ$596,4,))*$F197))</f>
        <v>0</v>
      </c>
      <c r="AB197" s="33">
        <f>IF(VLOOKUP($D197,$C$5:$AJ$596,26,)=0,0,((VLOOKUP($D197,$C$5:$AJ$596,26,)/VLOOKUP($D197,$C$5:$AJ$596,4,))*$F197))</f>
        <v>0</v>
      </c>
      <c r="AC197" s="33">
        <f>IF(VLOOKUP($D197,$C$5:$AJ$596,27,)=0,0,((VLOOKUP($D197,$C$5:$AJ$596,27,)/VLOOKUP($D197,$C$5:$AJ$596,4,))*$F197))</f>
        <v>0</v>
      </c>
      <c r="AD197" s="33">
        <f>IF(VLOOKUP($D197,$C$5:$AJ$596,28,)=0,0,((VLOOKUP($D197,$C$5:$AJ$596,28,)/VLOOKUP($D197,$C$5:$AJ$596,4,))*$F197))</f>
        <v>0</v>
      </c>
      <c r="AE197" s="33"/>
      <c r="AF197" s="33">
        <f>IF(VLOOKUP($D197,$C$5:$AJ$596,30,)=0,0,((VLOOKUP($D197,$C$5:$AJ$596,30,)/VLOOKUP($D197,$C$5:$AJ$596,4,))*$F197))</f>
        <v>0</v>
      </c>
      <c r="AG197" s="33"/>
      <c r="AH197" s="33">
        <f>IF(VLOOKUP($D197,$C$5:$AJ$596,32,)=0,0,((VLOOKUP($D197,$C$5:$AJ$596,32,)/VLOOKUP($D197,$C$5:$AJ$596,4,))*$F197))</f>
        <v>0</v>
      </c>
      <c r="AI197" s="33"/>
      <c r="AJ197" s="33">
        <f>IF(VLOOKUP($D197,$C$5:$AJ$596,34,)=0,0,((VLOOKUP($D197,$C$5:$AJ$596,34,)/VLOOKUP($D197,$C$5:$AJ$596,4,))*$F197))</f>
        <v>0</v>
      </c>
      <c r="AK197" s="33">
        <f>SUM(H197:AJ197)</f>
        <v>1224072.1054768402</v>
      </c>
      <c r="AL197" s="30" t="str">
        <f>IF(ABS(AK197-F197)&lt;1,"ok","err")</f>
        <v>ok</v>
      </c>
    </row>
    <row r="198" spans="1:38" x14ac:dyDescent="0.25">
      <c r="A198" s="29">
        <v>547</v>
      </c>
      <c r="B198" s="29" t="s">
        <v>1455</v>
      </c>
      <c r="C198" s="29" t="s">
        <v>1478</v>
      </c>
      <c r="D198" s="139" t="s">
        <v>104</v>
      </c>
      <c r="E198" s="14"/>
      <c r="F198" s="33">
        <f>'Jurisdictional Study'!F989</f>
        <v>118138077.59565996</v>
      </c>
      <c r="H198" s="33">
        <f>IF(VLOOKUP($D198,$C$5:$AJ$596,6,)=0,0,((VLOOKUP($D198,$C$5:$AJ$596,6,)/VLOOKUP($D198,$C$5:$AJ$596,4,))*$F198))</f>
        <v>0</v>
      </c>
      <c r="I198" s="33">
        <f>IF(VLOOKUP($D198,$C$5:$AJ$596,7,)=0,0,((VLOOKUP($D198,$C$5:$AJ$596,7,)/VLOOKUP($D198,$C$5:$AJ$596,4,))*$F198))</f>
        <v>0</v>
      </c>
      <c r="J198" s="33">
        <f>IF(VLOOKUP($D198,$C$5:$AJ$596,8,)=0,0,((VLOOKUP($D198,$C$5:$AJ$596,8,)/VLOOKUP($D198,$C$5:$AJ$596,4,))*$F198))</f>
        <v>0</v>
      </c>
      <c r="K198" s="33">
        <f>IF(VLOOKUP($D198,$C$5:$AJ$596,9,)=0,0,((VLOOKUP($D198,$C$5:$AJ$596,9,)/VLOOKUP($D198,$C$5:$AJ$596,4,))*$F198))</f>
        <v>118138077.59565996</v>
      </c>
      <c r="L198" s="33">
        <f>IF(VLOOKUP($D198,$C$5:$AJ$596,10,)=0,0,((VLOOKUP($D198,$C$5:$AJ$596,10,)/VLOOKUP($D198,$C$5:$AJ$596,4,))*$F198))</f>
        <v>0</v>
      </c>
      <c r="M198" s="33">
        <f>IF(VLOOKUP($D198,$C$5:$AJ$596,11,)=0,0,((VLOOKUP($D198,$C$5:$AJ$596,11,)/VLOOKUP($D198,$C$5:$AJ$596,4,))*$F198))</f>
        <v>0</v>
      </c>
      <c r="N198" s="33"/>
      <c r="O198" s="33">
        <f>IF(VLOOKUP($D198,$C$5:$AJ$596,13,)=0,0,((VLOOKUP($D198,$C$5:$AJ$596,13,)/VLOOKUP($D198,$C$5:$AJ$596,4,))*$F198))</f>
        <v>0</v>
      </c>
      <c r="P198" s="33">
        <f>IF(VLOOKUP($D198,$C$5:$AJ$596,14,)=0,0,((VLOOKUP($D198,$C$5:$AJ$596,14,)/VLOOKUP($D198,$C$5:$AJ$596,4,))*$F198))</f>
        <v>0</v>
      </c>
      <c r="Q198" s="33">
        <f>IF(VLOOKUP($D198,$C$5:$AJ$596,15,)=0,0,((VLOOKUP($D198,$C$5:$AJ$596,15,)/VLOOKUP($D198,$C$5:$AJ$596,4,))*$F198))</f>
        <v>0</v>
      </c>
      <c r="R198" s="33"/>
      <c r="S198" s="33">
        <f>IF(VLOOKUP($D198,$C$5:$AJ$596,17,)=0,0,((VLOOKUP($D198,$C$5:$AJ$596,17,)/VLOOKUP($D198,$C$5:$AJ$596,4,))*$F198))</f>
        <v>0</v>
      </c>
      <c r="T198" s="33">
        <f>IF(VLOOKUP($D198,$C$5:$AJ$596,18,)=0,0,((VLOOKUP($D198,$C$5:$AJ$596,18,)/VLOOKUP($D198,$C$5:$AJ$596,4,))*$F198))</f>
        <v>0</v>
      </c>
      <c r="U198" s="33">
        <f>IF(VLOOKUP($D198,$C$5:$AJ$596,19,)=0,0,((VLOOKUP($D198,$C$5:$AJ$596,19,)/VLOOKUP($D198,$C$5:$AJ$596,4,))*$F198))</f>
        <v>0</v>
      </c>
      <c r="V198" s="33">
        <f>IF(VLOOKUP($D198,$C$5:$AJ$596,20,)=0,0,((VLOOKUP($D198,$C$5:$AJ$596,20,)/VLOOKUP($D198,$C$5:$AJ$596,4,))*$F198))</f>
        <v>0</v>
      </c>
      <c r="W198" s="33">
        <f>IF(VLOOKUP($D198,$C$5:$AJ$596,21,)=0,0,((VLOOKUP($D198,$C$5:$AJ$596,21,)/VLOOKUP($D198,$C$5:$AJ$596,4,))*$F198))</f>
        <v>0</v>
      </c>
      <c r="X198" s="33">
        <f>IF(VLOOKUP($D198,$C$5:$AJ$596,22,)=0,0,((VLOOKUP($D198,$C$5:$AJ$596,22,)/VLOOKUP($D198,$C$5:$AJ$596,4,))*$F198))</f>
        <v>0</v>
      </c>
      <c r="Y198" s="33">
        <f>IF(VLOOKUP($D198,$C$5:$AJ$596,23,)=0,0,((VLOOKUP($D198,$C$5:$AJ$596,23,)/VLOOKUP($D198,$C$5:$AJ$596,4,))*$F198))</f>
        <v>0</v>
      </c>
      <c r="Z198" s="33">
        <f>IF(VLOOKUP($D198,$C$5:$AJ$596,24,)=0,0,((VLOOKUP($D198,$C$5:$AJ$596,24,)/VLOOKUP($D198,$C$5:$AJ$596,4,))*$F198))</f>
        <v>0</v>
      </c>
      <c r="AA198" s="33">
        <f>IF(VLOOKUP($D198,$C$5:$AJ$596,25,)=0,0,((VLOOKUP($D198,$C$5:$AJ$596,25,)/VLOOKUP($D198,$C$5:$AJ$596,4,))*$F198))</f>
        <v>0</v>
      </c>
      <c r="AB198" s="33">
        <f>IF(VLOOKUP($D198,$C$5:$AJ$596,26,)=0,0,((VLOOKUP($D198,$C$5:$AJ$596,26,)/VLOOKUP($D198,$C$5:$AJ$596,4,))*$F198))</f>
        <v>0</v>
      </c>
      <c r="AC198" s="33">
        <f>IF(VLOOKUP($D198,$C$5:$AJ$596,27,)=0,0,((VLOOKUP($D198,$C$5:$AJ$596,27,)/VLOOKUP($D198,$C$5:$AJ$596,4,))*$F198))</f>
        <v>0</v>
      </c>
      <c r="AD198" s="33">
        <f>IF(VLOOKUP($D198,$C$5:$AJ$596,28,)=0,0,((VLOOKUP($D198,$C$5:$AJ$596,28,)/VLOOKUP($D198,$C$5:$AJ$596,4,))*$F198))</f>
        <v>0</v>
      </c>
      <c r="AE198" s="33"/>
      <c r="AF198" s="33">
        <f>IF(VLOOKUP($D198,$C$5:$AJ$596,30,)=0,0,((VLOOKUP($D198,$C$5:$AJ$596,30,)/VLOOKUP($D198,$C$5:$AJ$596,4,))*$F198))</f>
        <v>0</v>
      </c>
      <c r="AG198" s="33"/>
      <c r="AH198" s="33">
        <f>IF(VLOOKUP($D198,$C$5:$AJ$596,32,)=0,0,((VLOOKUP($D198,$C$5:$AJ$596,32,)/VLOOKUP($D198,$C$5:$AJ$596,4,))*$F198))</f>
        <v>0</v>
      </c>
      <c r="AI198" s="33"/>
      <c r="AJ198" s="33">
        <f>IF(VLOOKUP($D198,$C$5:$AJ$596,34,)=0,0,((VLOOKUP($D198,$C$5:$AJ$596,34,)/VLOOKUP($D198,$C$5:$AJ$596,4,))*$F198))</f>
        <v>0</v>
      </c>
      <c r="AK198" s="33">
        <f>SUM(H198:AJ198)</f>
        <v>118138077.59565996</v>
      </c>
      <c r="AL198" s="30" t="str">
        <f>IF(ABS(AK198-F198)&lt;1,"ok","err")</f>
        <v>ok</v>
      </c>
    </row>
    <row r="199" spans="1:38" x14ac:dyDescent="0.25">
      <c r="A199" s="29">
        <v>548</v>
      </c>
      <c r="B199" s="29" t="s">
        <v>1479</v>
      </c>
      <c r="C199" s="29" t="s">
        <v>1480</v>
      </c>
      <c r="D199" s="139" t="s">
        <v>685</v>
      </c>
      <c r="E199" s="14"/>
      <c r="F199" s="33">
        <f>'Jurisdictional Study'!F990</f>
        <v>591153.32126668247</v>
      </c>
      <c r="H199" s="33">
        <f>IF(VLOOKUP($D199,$C$5:$AJ$596,6,)=0,0,((VLOOKUP($D199,$C$5:$AJ$596,6,)/VLOOKUP($D199,$C$5:$AJ$596,4,))*$F199))</f>
        <v>591153.32126668247</v>
      </c>
      <c r="I199" s="33">
        <f>IF(VLOOKUP($D199,$C$5:$AJ$596,7,)=0,0,((VLOOKUP($D199,$C$5:$AJ$596,7,)/VLOOKUP($D199,$C$5:$AJ$596,4,))*$F199))</f>
        <v>0</v>
      </c>
      <c r="J199" s="33">
        <f>IF(VLOOKUP($D199,$C$5:$AJ$596,8,)=0,0,((VLOOKUP($D199,$C$5:$AJ$596,8,)/VLOOKUP($D199,$C$5:$AJ$596,4,))*$F199))</f>
        <v>0</v>
      </c>
      <c r="K199" s="33">
        <f>IF(VLOOKUP($D199,$C$5:$AJ$596,9,)=0,0,((VLOOKUP($D199,$C$5:$AJ$596,9,)/VLOOKUP($D199,$C$5:$AJ$596,4,))*$F199))</f>
        <v>0</v>
      </c>
      <c r="L199" s="33">
        <f>IF(VLOOKUP($D199,$C$5:$AJ$596,10,)=0,0,((VLOOKUP($D199,$C$5:$AJ$596,10,)/VLOOKUP($D199,$C$5:$AJ$596,4,))*$F199))</f>
        <v>0</v>
      </c>
      <c r="M199" s="33">
        <f>IF(VLOOKUP($D199,$C$5:$AJ$596,11,)=0,0,((VLOOKUP($D199,$C$5:$AJ$596,11,)/VLOOKUP($D199,$C$5:$AJ$596,4,))*$F199))</f>
        <v>0</v>
      </c>
      <c r="N199" s="33"/>
      <c r="O199" s="33">
        <f>IF(VLOOKUP($D199,$C$5:$AJ$596,13,)=0,0,((VLOOKUP($D199,$C$5:$AJ$596,13,)/VLOOKUP($D199,$C$5:$AJ$596,4,))*$F199))</f>
        <v>0</v>
      </c>
      <c r="P199" s="33">
        <f>IF(VLOOKUP($D199,$C$5:$AJ$596,14,)=0,0,((VLOOKUP($D199,$C$5:$AJ$596,14,)/VLOOKUP($D199,$C$5:$AJ$596,4,))*$F199))</f>
        <v>0</v>
      </c>
      <c r="Q199" s="33">
        <f>IF(VLOOKUP($D199,$C$5:$AJ$596,15,)=0,0,((VLOOKUP($D199,$C$5:$AJ$596,15,)/VLOOKUP($D199,$C$5:$AJ$596,4,))*$F199))</f>
        <v>0</v>
      </c>
      <c r="R199" s="33"/>
      <c r="S199" s="33">
        <f>IF(VLOOKUP($D199,$C$5:$AJ$596,17,)=0,0,((VLOOKUP($D199,$C$5:$AJ$596,17,)/VLOOKUP($D199,$C$5:$AJ$596,4,))*$F199))</f>
        <v>0</v>
      </c>
      <c r="T199" s="33">
        <f>IF(VLOOKUP($D199,$C$5:$AJ$596,18,)=0,0,((VLOOKUP($D199,$C$5:$AJ$596,18,)/VLOOKUP($D199,$C$5:$AJ$596,4,))*$F199))</f>
        <v>0</v>
      </c>
      <c r="U199" s="33">
        <f>IF(VLOOKUP($D199,$C$5:$AJ$596,19,)=0,0,((VLOOKUP($D199,$C$5:$AJ$596,19,)/VLOOKUP($D199,$C$5:$AJ$596,4,))*$F199))</f>
        <v>0</v>
      </c>
      <c r="V199" s="33">
        <f>IF(VLOOKUP($D199,$C$5:$AJ$596,20,)=0,0,((VLOOKUP($D199,$C$5:$AJ$596,20,)/VLOOKUP($D199,$C$5:$AJ$596,4,))*$F199))</f>
        <v>0</v>
      </c>
      <c r="W199" s="33">
        <f>IF(VLOOKUP($D199,$C$5:$AJ$596,21,)=0,0,((VLOOKUP($D199,$C$5:$AJ$596,21,)/VLOOKUP($D199,$C$5:$AJ$596,4,))*$F199))</f>
        <v>0</v>
      </c>
      <c r="X199" s="33">
        <f>IF(VLOOKUP($D199,$C$5:$AJ$596,22,)=0,0,((VLOOKUP($D199,$C$5:$AJ$596,22,)/VLOOKUP($D199,$C$5:$AJ$596,4,))*$F199))</f>
        <v>0</v>
      </c>
      <c r="Y199" s="33">
        <f>IF(VLOOKUP($D199,$C$5:$AJ$596,23,)=0,0,((VLOOKUP($D199,$C$5:$AJ$596,23,)/VLOOKUP($D199,$C$5:$AJ$596,4,))*$F199))</f>
        <v>0</v>
      </c>
      <c r="Z199" s="33">
        <f>IF(VLOOKUP($D199,$C$5:$AJ$596,24,)=0,0,((VLOOKUP($D199,$C$5:$AJ$596,24,)/VLOOKUP($D199,$C$5:$AJ$596,4,))*$F199))</f>
        <v>0</v>
      </c>
      <c r="AA199" s="33">
        <f>IF(VLOOKUP($D199,$C$5:$AJ$596,25,)=0,0,((VLOOKUP($D199,$C$5:$AJ$596,25,)/VLOOKUP($D199,$C$5:$AJ$596,4,))*$F199))</f>
        <v>0</v>
      </c>
      <c r="AB199" s="33">
        <f>IF(VLOOKUP($D199,$C$5:$AJ$596,26,)=0,0,((VLOOKUP($D199,$C$5:$AJ$596,26,)/VLOOKUP($D199,$C$5:$AJ$596,4,))*$F199))</f>
        <v>0</v>
      </c>
      <c r="AC199" s="33">
        <f>IF(VLOOKUP($D199,$C$5:$AJ$596,27,)=0,0,((VLOOKUP($D199,$C$5:$AJ$596,27,)/VLOOKUP($D199,$C$5:$AJ$596,4,))*$F199))</f>
        <v>0</v>
      </c>
      <c r="AD199" s="33">
        <f>IF(VLOOKUP($D199,$C$5:$AJ$596,28,)=0,0,((VLOOKUP($D199,$C$5:$AJ$596,28,)/VLOOKUP($D199,$C$5:$AJ$596,4,))*$F199))</f>
        <v>0</v>
      </c>
      <c r="AE199" s="33"/>
      <c r="AF199" s="33">
        <f>IF(VLOOKUP($D199,$C$5:$AJ$596,30,)=0,0,((VLOOKUP($D199,$C$5:$AJ$596,30,)/VLOOKUP($D199,$C$5:$AJ$596,4,))*$F199))</f>
        <v>0</v>
      </c>
      <c r="AG199" s="33"/>
      <c r="AH199" s="33">
        <f>IF(VLOOKUP($D199,$C$5:$AJ$596,32,)=0,0,((VLOOKUP($D199,$C$5:$AJ$596,32,)/VLOOKUP($D199,$C$5:$AJ$596,4,))*$F199))</f>
        <v>0</v>
      </c>
      <c r="AI199" s="33"/>
      <c r="AJ199" s="33">
        <f>IF(VLOOKUP($D199,$C$5:$AJ$596,34,)=0,0,((VLOOKUP($D199,$C$5:$AJ$596,34,)/VLOOKUP($D199,$C$5:$AJ$596,4,))*$F199))</f>
        <v>0</v>
      </c>
      <c r="AK199" s="33">
        <f>SUM(H199:AJ199)</f>
        <v>591153.32126668247</v>
      </c>
      <c r="AL199" s="30" t="str">
        <f>IF(ABS(AK199-F199)&lt;1,"ok","err")</f>
        <v>ok</v>
      </c>
    </row>
    <row r="200" spans="1:38" x14ac:dyDescent="0.25">
      <c r="A200" s="29">
        <v>549</v>
      </c>
      <c r="B200" s="29" t="s">
        <v>1481</v>
      </c>
      <c r="C200" s="29" t="s">
        <v>1482</v>
      </c>
      <c r="D200" s="139" t="s">
        <v>685</v>
      </c>
      <c r="E200" s="14"/>
      <c r="F200" s="33">
        <f>'Jurisdictional Study'!F991</f>
        <v>4321197.9156749835</v>
      </c>
      <c r="H200" s="33">
        <f>IF(VLOOKUP($D200,$C$5:$AJ$596,6,)=0,0,((VLOOKUP($D200,$C$5:$AJ$596,6,)/VLOOKUP($D200,$C$5:$AJ$596,4,))*$F200))</f>
        <v>4321197.9156749835</v>
      </c>
      <c r="I200" s="33">
        <f>IF(VLOOKUP($D200,$C$5:$AJ$596,7,)=0,0,((VLOOKUP($D200,$C$5:$AJ$596,7,)/VLOOKUP($D200,$C$5:$AJ$596,4,))*$F200))</f>
        <v>0</v>
      </c>
      <c r="J200" s="33">
        <f>IF(VLOOKUP($D200,$C$5:$AJ$596,8,)=0,0,((VLOOKUP($D200,$C$5:$AJ$596,8,)/VLOOKUP($D200,$C$5:$AJ$596,4,))*$F200))</f>
        <v>0</v>
      </c>
      <c r="K200" s="33">
        <f>IF(VLOOKUP($D200,$C$5:$AJ$596,9,)=0,0,((VLOOKUP($D200,$C$5:$AJ$596,9,)/VLOOKUP($D200,$C$5:$AJ$596,4,))*$F200))</f>
        <v>0</v>
      </c>
      <c r="L200" s="33">
        <f>IF(VLOOKUP($D200,$C$5:$AJ$596,10,)=0,0,((VLOOKUP($D200,$C$5:$AJ$596,10,)/VLOOKUP($D200,$C$5:$AJ$596,4,))*$F200))</f>
        <v>0</v>
      </c>
      <c r="M200" s="33">
        <f>IF(VLOOKUP($D200,$C$5:$AJ$596,11,)=0,0,((VLOOKUP($D200,$C$5:$AJ$596,11,)/VLOOKUP($D200,$C$5:$AJ$596,4,))*$F200))</f>
        <v>0</v>
      </c>
      <c r="N200" s="33"/>
      <c r="O200" s="33">
        <f>IF(VLOOKUP($D200,$C$5:$AJ$596,13,)=0,0,((VLOOKUP($D200,$C$5:$AJ$596,13,)/VLOOKUP($D200,$C$5:$AJ$596,4,))*$F200))</f>
        <v>0</v>
      </c>
      <c r="P200" s="33">
        <f>IF(VLOOKUP($D200,$C$5:$AJ$596,14,)=0,0,((VLOOKUP($D200,$C$5:$AJ$596,14,)/VLOOKUP($D200,$C$5:$AJ$596,4,))*$F200))</f>
        <v>0</v>
      </c>
      <c r="Q200" s="33">
        <f>IF(VLOOKUP($D200,$C$5:$AJ$596,15,)=0,0,((VLOOKUP($D200,$C$5:$AJ$596,15,)/VLOOKUP($D200,$C$5:$AJ$596,4,))*$F200))</f>
        <v>0</v>
      </c>
      <c r="R200" s="33"/>
      <c r="S200" s="33">
        <f>IF(VLOOKUP($D200,$C$5:$AJ$596,17,)=0,0,((VLOOKUP($D200,$C$5:$AJ$596,17,)/VLOOKUP($D200,$C$5:$AJ$596,4,))*$F200))</f>
        <v>0</v>
      </c>
      <c r="T200" s="33">
        <f>IF(VLOOKUP($D200,$C$5:$AJ$596,18,)=0,0,((VLOOKUP($D200,$C$5:$AJ$596,18,)/VLOOKUP($D200,$C$5:$AJ$596,4,))*$F200))</f>
        <v>0</v>
      </c>
      <c r="U200" s="33">
        <f>IF(VLOOKUP($D200,$C$5:$AJ$596,19,)=0,0,((VLOOKUP($D200,$C$5:$AJ$596,19,)/VLOOKUP($D200,$C$5:$AJ$596,4,))*$F200))</f>
        <v>0</v>
      </c>
      <c r="V200" s="33">
        <f>IF(VLOOKUP($D200,$C$5:$AJ$596,20,)=0,0,((VLOOKUP($D200,$C$5:$AJ$596,20,)/VLOOKUP($D200,$C$5:$AJ$596,4,))*$F200))</f>
        <v>0</v>
      </c>
      <c r="W200" s="33">
        <f>IF(VLOOKUP($D200,$C$5:$AJ$596,21,)=0,0,((VLOOKUP($D200,$C$5:$AJ$596,21,)/VLOOKUP($D200,$C$5:$AJ$596,4,))*$F200))</f>
        <v>0</v>
      </c>
      <c r="X200" s="33">
        <f>IF(VLOOKUP($D200,$C$5:$AJ$596,22,)=0,0,((VLOOKUP($D200,$C$5:$AJ$596,22,)/VLOOKUP($D200,$C$5:$AJ$596,4,))*$F200))</f>
        <v>0</v>
      </c>
      <c r="Y200" s="33">
        <f>IF(VLOOKUP($D200,$C$5:$AJ$596,23,)=0,0,((VLOOKUP($D200,$C$5:$AJ$596,23,)/VLOOKUP($D200,$C$5:$AJ$596,4,))*$F200))</f>
        <v>0</v>
      </c>
      <c r="Z200" s="33">
        <f>IF(VLOOKUP($D200,$C$5:$AJ$596,24,)=0,0,((VLOOKUP($D200,$C$5:$AJ$596,24,)/VLOOKUP($D200,$C$5:$AJ$596,4,))*$F200))</f>
        <v>0</v>
      </c>
      <c r="AA200" s="33">
        <f>IF(VLOOKUP($D200,$C$5:$AJ$596,25,)=0,0,((VLOOKUP($D200,$C$5:$AJ$596,25,)/VLOOKUP($D200,$C$5:$AJ$596,4,))*$F200))</f>
        <v>0</v>
      </c>
      <c r="AB200" s="33">
        <f>IF(VLOOKUP($D200,$C$5:$AJ$596,26,)=0,0,((VLOOKUP($D200,$C$5:$AJ$596,26,)/VLOOKUP($D200,$C$5:$AJ$596,4,))*$F200))</f>
        <v>0</v>
      </c>
      <c r="AC200" s="33">
        <f>IF(VLOOKUP($D200,$C$5:$AJ$596,27,)=0,0,((VLOOKUP($D200,$C$5:$AJ$596,27,)/VLOOKUP($D200,$C$5:$AJ$596,4,))*$F200))</f>
        <v>0</v>
      </c>
      <c r="AD200" s="33">
        <f>IF(VLOOKUP($D200,$C$5:$AJ$596,28,)=0,0,((VLOOKUP($D200,$C$5:$AJ$596,28,)/VLOOKUP($D200,$C$5:$AJ$596,4,))*$F200))</f>
        <v>0</v>
      </c>
      <c r="AE200" s="33"/>
      <c r="AF200" s="33">
        <f>IF(VLOOKUP($D200,$C$5:$AJ$596,30,)=0,0,((VLOOKUP($D200,$C$5:$AJ$596,30,)/VLOOKUP($D200,$C$5:$AJ$596,4,))*$F200))</f>
        <v>0</v>
      </c>
      <c r="AG200" s="33"/>
      <c r="AH200" s="33">
        <f>IF(VLOOKUP($D200,$C$5:$AJ$596,32,)=0,0,((VLOOKUP($D200,$C$5:$AJ$596,32,)/VLOOKUP($D200,$C$5:$AJ$596,4,))*$F200))</f>
        <v>0</v>
      </c>
      <c r="AI200" s="33"/>
      <c r="AJ200" s="33">
        <f>IF(VLOOKUP($D200,$C$5:$AJ$596,34,)=0,0,((VLOOKUP($D200,$C$5:$AJ$596,34,)/VLOOKUP($D200,$C$5:$AJ$596,4,))*$F200))</f>
        <v>0</v>
      </c>
      <c r="AK200" s="33">
        <f>SUM(H200:AJ200)</f>
        <v>4321197.9156749835</v>
      </c>
      <c r="AL200" s="30" t="str">
        <f>IF(ABS(AK200-F200)&lt;1,"ok","err")</f>
        <v>ok</v>
      </c>
    </row>
    <row r="201" spans="1:38" x14ac:dyDescent="0.25">
      <c r="A201" s="29">
        <v>550</v>
      </c>
      <c r="B201" s="29" t="s">
        <v>341</v>
      </c>
      <c r="C201" s="29" t="s">
        <v>1483</v>
      </c>
      <c r="D201" s="139" t="s">
        <v>685</v>
      </c>
      <c r="E201" s="14"/>
      <c r="F201" s="33">
        <f>'Jurisdictional Study'!F992</f>
        <v>9366.7637631422731</v>
      </c>
      <c r="H201" s="33">
        <f>IF(VLOOKUP($D201,$C$5:$AJ$596,6,)=0,0,((VLOOKUP($D201,$C$5:$AJ$596,6,)/VLOOKUP($D201,$C$5:$AJ$596,4,))*$F201))</f>
        <v>9366.7637631422731</v>
      </c>
      <c r="I201" s="33">
        <f>IF(VLOOKUP($D201,$C$5:$AJ$596,7,)=0,0,((VLOOKUP($D201,$C$5:$AJ$596,7,)/VLOOKUP($D201,$C$5:$AJ$596,4,))*$F201))</f>
        <v>0</v>
      </c>
      <c r="J201" s="33">
        <f>IF(VLOOKUP($D201,$C$5:$AJ$596,8,)=0,0,((VLOOKUP($D201,$C$5:$AJ$596,8,)/VLOOKUP($D201,$C$5:$AJ$596,4,))*$F201))</f>
        <v>0</v>
      </c>
      <c r="K201" s="33">
        <f>IF(VLOOKUP($D201,$C$5:$AJ$596,9,)=0,0,((VLOOKUP($D201,$C$5:$AJ$596,9,)/VLOOKUP($D201,$C$5:$AJ$596,4,))*$F201))</f>
        <v>0</v>
      </c>
      <c r="L201" s="33">
        <f>IF(VLOOKUP($D201,$C$5:$AJ$596,10,)=0,0,((VLOOKUP($D201,$C$5:$AJ$596,10,)/VLOOKUP($D201,$C$5:$AJ$596,4,))*$F201))</f>
        <v>0</v>
      </c>
      <c r="M201" s="33">
        <f>IF(VLOOKUP($D201,$C$5:$AJ$596,11,)=0,0,((VLOOKUP($D201,$C$5:$AJ$596,11,)/VLOOKUP($D201,$C$5:$AJ$596,4,))*$F201))</f>
        <v>0</v>
      </c>
      <c r="N201" s="33"/>
      <c r="O201" s="33">
        <f>IF(VLOOKUP($D201,$C$5:$AJ$596,13,)=0,0,((VLOOKUP($D201,$C$5:$AJ$596,13,)/VLOOKUP($D201,$C$5:$AJ$596,4,))*$F201))</f>
        <v>0</v>
      </c>
      <c r="P201" s="33">
        <f>IF(VLOOKUP($D201,$C$5:$AJ$596,14,)=0,0,((VLOOKUP($D201,$C$5:$AJ$596,14,)/VLOOKUP($D201,$C$5:$AJ$596,4,))*$F201))</f>
        <v>0</v>
      </c>
      <c r="Q201" s="33">
        <f>IF(VLOOKUP($D201,$C$5:$AJ$596,15,)=0,0,((VLOOKUP($D201,$C$5:$AJ$596,15,)/VLOOKUP($D201,$C$5:$AJ$596,4,))*$F201))</f>
        <v>0</v>
      </c>
      <c r="R201" s="33"/>
      <c r="S201" s="33">
        <f>IF(VLOOKUP($D201,$C$5:$AJ$596,17,)=0,0,((VLOOKUP($D201,$C$5:$AJ$596,17,)/VLOOKUP($D201,$C$5:$AJ$596,4,))*$F201))</f>
        <v>0</v>
      </c>
      <c r="T201" s="33">
        <f>IF(VLOOKUP($D201,$C$5:$AJ$596,18,)=0,0,((VLOOKUP($D201,$C$5:$AJ$596,18,)/VLOOKUP($D201,$C$5:$AJ$596,4,))*$F201))</f>
        <v>0</v>
      </c>
      <c r="U201" s="33">
        <f>IF(VLOOKUP($D201,$C$5:$AJ$596,19,)=0,0,((VLOOKUP($D201,$C$5:$AJ$596,19,)/VLOOKUP($D201,$C$5:$AJ$596,4,))*$F201))</f>
        <v>0</v>
      </c>
      <c r="V201" s="33">
        <f>IF(VLOOKUP($D201,$C$5:$AJ$596,20,)=0,0,((VLOOKUP($D201,$C$5:$AJ$596,20,)/VLOOKUP($D201,$C$5:$AJ$596,4,))*$F201))</f>
        <v>0</v>
      </c>
      <c r="W201" s="33">
        <f>IF(VLOOKUP($D201,$C$5:$AJ$596,21,)=0,0,((VLOOKUP($D201,$C$5:$AJ$596,21,)/VLOOKUP($D201,$C$5:$AJ$596,4,))*$F201))</f>
        <v>0</v>
      </c>
      <c r="X201" s="33">
        <f>IF(VLOOKUP($D201,$C$5:$AJ$596,22,)=0,0,((VLOOKUP($D201,$C$5:$AJ$596,22,)/VLOOKUP($D201,$C$5:$AJ$596,4,))*$F201))</f>
        <v>0</v>
      </c>
      <c r="Y201" s="33">
        <f>IF(VLOOKUP($D201,$C$5:$AJ$596,23,)=0,0,((VLOOKUP($D201,$C$5:$AJ$596,23,)/VLOOKUP($D201,$C$5:$AJ$596,4,))*$F201))</f>
        <v>0</v>
      </c>
      <c r="Z201" s="33">
        <f>IF(VLOOKUP($D201,$C$5:$AJ$596,24,)=0,0,((VLOOKUP($D201,$C$5:$AJ$596,24,)/VLOOKUP($D201,$C$5:$AJ$596,4,))*$F201))</f>
        <v>0</v>
      </c>
      <c r="AA201" s="33">
        <f>IF(VLOOKUP($D201,$C$5:$AJ$596,25,)=0,0,((VLOOKUP($D201,$C$5:$AJ$596,25,)/VLOOKUP($D201,$C$5:$AJ$596,4,))*$F201))</f>
        <v>0</v>
      </c>
      <c r="AB201" s="33">
        <f>IF(VLOOKUP($D201,$C$5:$AJ$596,26,)=0,0,((VLOOKUP($D201,$C$5:$AJ$596,26,)/VLOOKUP($D201,$C$5:$AJ$596,4,))*$F201))</f>
        <v>0</v>
      </c>
      <c r="AC201" s="33">
        <f>IF(VLOOKUP($D201,$C$5:$AJ$596,27,)=0,0,((VLOOKUP($D201,$C$5:$AJ$596,27,)/VLOOKUP($D201,$C$5:$AJ$596,4,))*$F201))</f>
        <v>0</v>
      </c>
      <c r="AD201" s="33">
        <f>IF(VLOOKUP($D201,$C$5:$AJ$596,28,)=0,0,((VLOOKUP($D201,$C$5:$AJ$596,28,)/VLOOKUP($D201,$C$5:$AJ$596,4,))*$F201))</f>
        <v>0</v>
      </c>
      <c r="AE201" s="33"/>
      <c r="AF201" s="33">
        <f>IF(VLOOKUP($D201,$C$5:$AJ$596,30,)=0,0,((VLOOKUP($D201,$C$5:$AJ$596,30,)/VLOOKUP($D201,$C$5:$AJ$596,4,))*$F201))</f>
        <v>0</v>
      </c>
      <c r="AG201" s="33"/>
      <c r="AH201" s="33">
        <f>IF(VLOOKUP($D201,$C$5:$AJ$596,32,)=0,0,((VLOOKUP($D201,$C$5:$AJ$596,32,)/VLOOKUP($D201,$C$5:$AJ$596,4,))*$F201))</f>
        <v>0</v>
      </c>
      <c r="AI201" s="33"/>
      <c r="AJ201" s="33">
        <f>IF(VLOOKUP($D201,$C$5:$AJ$596,34,)=0,0,((VLOOKUP($D201,$C$5:$AJ$596,34,)/VLOOKUP($D201,$C$5:$AJ$596,4,))*$F201))</f>
        <v>0</v>
      </c>
      <c r="AK201" s="33">
        <f>SUM(H201:AJ201)</f>
        <v>9366.7637631422731</v>
      </c>
      <c r="AL201" s="30" t="str">
        <f>IF(ABS(AK201-F201)&lt;1,"ok","err")</f>
        <v>ok</v>
      </c>
    </row>
    <row r="202" spans="1:38" x14ac:dyDescent="0.25">
      <c r="D202" s="139"/>
      <c r="E202" s="14"/>
      <c r="F202" s="32"/>
      <c r="Y202" s="29"/>
      <c r="AK202" s="33"/>
      <c r="AL202" s="30"/>
    </row>
    <row r="203" spans="1:38" x14ac:dyDescent="0.25">
      <c r="B203" s="29" t="s">
        <v>1484</v>
      </c>
      <c r="D203" s="139"/>
      <c r="E203" s="14"/>
      <c r="F203" s="32">
        <f>SUM(F197:F202)</f>
        <v>124283867.70184161</v>
      </c>
      <c r="H203" s="32">
        <f t="shared" ref="H203:M203" si="158">SUM(H197:H202)</f>
        <v>6145790.1061816486</v>
      </c>
      <c r="I203" s="32">
        <f t="shared" si="158"/>
        <v>0</v>
      </c>
      <c r="J203" s="32">
        <f t="shared" si="158"/>
        <v>0</v>
      </c>
      <c r="K203" s="32">
        <f t="shared" si="158"/>
        <v>118138077.59565996</v>
      </c>
      <c r="L203" s="32">
        <f t="shared" si="158"/>
        <v>0</v>
      </c>
      <c r="M203" s="32">
        <f t="shared" si="158"/>
        <v>0</v>
      </c>
      <c r="O203" s="32">
        <f>SUM(O197:O202)</f>
        <v>0</v>
      </c>
      <c r="P203" s="32">
        <f>SUM(P197:P202)</f>
        <v>0</v>
      </c>
      <c r="Q203" s="32">
        <f>SUM(Q197:Q202)</f>
        <v>0</v>
      </c>
      <c r="S203" s="32">
        <f t="shared" ref="S203:AD203" si="159">SUM(S197:S202)</f>
        <v>0</v>
      </c>
      <c r="T203" s="32">
        <f t="shared" si="159"/>
        <v>0</v>
      </c>
      <c r="U203" s="32">
        <f t="shared" si="159"/>
        <v>0</v>
      </c>
      <c r="V203" s="32">
        <f t="shared" si="159"/>
        <v>0</v>
      </c>
      <c r="W203" s="32">
        <f t="shared" si="159"/>
        <v>0</v>
      </c>
      <c r="X203" s="32">
        <f t="shared" si="159"/>
        <v>0</v>
      </c>
      <c r="Y203" s="32">
        <f t="shared" si="159"/>
        <v>0</v>
      </c>
      <c r="Z203" s="32">
        <f t="shared" si="159"/>
        <v>0</v>
      </c>
      <c r="AA203" s="32">
        <f t="shared" si="159"/>
        <v>0</v>
      </c>
      <c r="AB203" s="32">
        <f t="shared" si="159"/>
        <v>0</v>
      </c>
      <c r="AC203" s="32">
        <f t="shared" si="159"/>
        <v>0</v>
      </c>
      <c r="AD203" s="32">
        <f t="shared" si="159"/>
        <v>0</v>
      </c>
      <c r="AF203" s="32">
        <f>SUM(AF197:AF202)</f>
        <v>0</v>
      </c>
      <c r="AH203" s="32">
        <f>SUM(AH197:AH202)</f>
        <v>0</v>
      </c>
      <c r="AJ203" s="32">
        <f>SUM(AJ197:AJ202)</f>
        <v>0</v>
      </c>
      <c r="AK203" s="33">
        <f>SUM(H203:AJ203)</f>
        <v>124283867.70184161</v>
      </c>
      <c r="AL203" s="30" t="str">
        <f>IF(ABS(AK203-F203)&lt;1,"ok","err")</f>
        <v>ok</v>
      </c>
    </row>
    <row r="204" spans="1:38" x14ac:dyDescent="0.25">
      <c r="D204" s="139"/>
      <c r="E204" s="14"/>
      <c r="F204" s="32"/>
      <c r="Y204" s="29"/>
      <c r="AL204" s="30"/>
    </row>
    <row r="205" spans="1:38" x14ac:dyDescent="0.25">
      <c r="A205" s="4" t="s">
        <v>1485</v>
      </c>
      <c r="D205" s="139"/>
      <c r="E205" s="14"/>
      <c r="F205" s="32"/>
      <c r="Y205" s="29"/>
      <c r="AL205" s="30"/>
    </row>
    <row r="206" spans="1:38" x14ac:dyDescent="0.25">
      <c r="A206" s="29">
        <v>551</v>
      </c>
      <c r="B206" s="29" t="s">
        <v>541</v>
      </c>
      <c r="C206" s="29" t="s">
        <v>1486</v>
      </c>
      <c r="D206" s="139" t="s">
        <v>685</v>
      </c>
      <c r="E206" s="14"/>
      <c r="F206" s="32">
        <f>'Jurisdictional Study'!F994</f>
        <v>397058.41500495514</v>
      </c>
      <c r="H206" s="33">
        <f>IF(VLOOKUP($D206,$C$5:$AJ$596,6,)=0,0,((VLOOKUP($D206,$C$5:$AJ$596,6,)/VLOOKUP($D206,$C$5:$AJ$596,4,))*$F206))</f>
        <v>397058.41500495514</v>
      </c>
      <c r="I206" s="33">
        <f>IF(VLOOKUP($D206,$C$5:$AJ$596,7,)=0,0,((VLOOKUP($D206,$C$5:$AJ$596,7,)/VLOOKUP($D206,$C$5:$AJ$596,4,))*$F206))</f>
        <v>0</v>
      </c>
      <c r="J206" s="33">
        <f>IF(VLOOKUP($D206,$C$5:$AJ$596,8,)=0,0,((VLOOKUP($D206,$C$5:$AJ$596,8,)/VLOOKUP($D206,$C$5:$AJ$596,4,))*$F206))</f>
        <v>0</v>
      </c>
      <c r="K206" s="33">
        <f>IF(VLOOKUP($D206,$C$5:$AJ$596,9,)=0,0,((VLOOKUP($D206,$C$5:$AJ$596,9,)/VLOOKUP($D206,$C$5:$AJ$596,4,))*$F206))</f>
        <v>0</v>
      </c>
      <c r="L206" s="33">
        <f>IF(VLOOKUP($D206,$C$5:$AJ$596,10,)=0,0,((VLOOKUP($D206,$C$5:$AJ$596,10,)/VLOOKUP($D206,$C$5:$AJ$596,4,))*$F206))</f>
        <v>0</v>
      </c>
      <c r="M206" s="33">
        <f>IF(VLOOKUP($D206,$C$5:$AJ$596,11,)=0,0,((VLOOKUP($D206,$C$5:$AJ$596,11,)/VLOOKUP($D206,$C$5:$AJ$596,4,))*$F206))</f>
        <v>0</v>
      </c>
      <c r="N206" s="33"/>
      <c r="O206" s="33">
        <f>IF(VLOOKUP($D206,$C$5:$AJ$596,13,)=0,0,((VLOOKUP($D206,$C$5:$AJ$596,13,)/VLOOKUP($D206,$C$5:$AJ$596,4,))*$F206))</f>
        <v>0</v>
      </c>
      <c r="P206" s="33">
        <f>IF(VLOOKUP($D206,$C$5:$AJ$596,14,)=0,0,((VLOOKUP($D206,$C$5:$AJ$596,14,)/VLOOKUP($D206,$C$5:$AJ$596,4,))*$F206))</f>
        <v>0</v>
      </c>
      <c r="Q206" s="33">
        <f>IF(VLOOKUP($D206,$C$5:$AJ$596,15,)=0,0,((VLOOKUP($D206,$C$5:$AJ$596,15,)/VLOOKUP($D206,$C$5:$AJ$596,4,))*$F206))</f>
        <v>0</v>
      </c>
      <c r="R206" s="33"/>
      <c r="S206" s="33">
        <f>IF(VLOOKUP($D206,$C$5:$AJ$596,17,)=0,0,((VLOOKUP($D206,$C$5:$AJ$596,17,)/VLOOKUP($D206,$C$5:$AJ$596,4,))*$F206))</f>
        <v>0</v>
      </c>
      <c r="T206" s="33">
        <f>IF(VLOOKUP($D206,$C$5:$AJ$596,18,)=0,0,((VLOOKUP($D206,$C$5:$AJ$596,18,)/VLOOKUP($D206,$C$5:$AJ$596,4,))*$F206))</f>
        <v>0</v>
      </c>
      <c r="U206" s="33">
        <f>IF(VLOOKUP($D206,$C$5:$AJ$596,19,)=0,0,((VLOOKUP($D206,$C$5:$AJ$596,19,)/VLOOKUP($D206,$C$5:$AJ$596,4,))*$F206))</f>
        <v>0</v>
      </c>
      <c r="V206" s="33">
        <f>IF(VLOOKUP($D206,$C$5:$AJ$596,20,)=0,0,((VLOOKUP($D206,$C$5:$AJ$596,20,)/VLOOKUP($D206,$C$5:$AJ$596,4,))*$F206))</f>
        <v>0</v>
      </c>
      <c r="W206" s="33">
        <f>IF(VLOOKUP($D206,$C$5:$AJ$596,21,)=0,0,((VLOOKUP($D206,$C$5:$AJ$596,21,)/VLOOKUP($D206,$C$5:$AJ$596,4,))*$F206))</f>
        <v>0</v>
      </c>
      <c r="X206" s="33">
        <f>IF(VLOOKUP($D206,$C$5:$AJ$596,22,)=0,0,((VLOOKUP($D206,$C$5:$AJ$596,22,)/VLOOKUP($D206,$C$5:$AJ$596,4,))*$F206))</f>
        <v>0</v>
      </c>
      <c r="Y206" s="33">
        <f>IF(VLOOKUP($D206,$C$5:$AJ$596,23,)=0,0,((VLOOKUP($D206,$C$5:$AJ$596,23,)/VLOOKUP($D206,$C$5:$AJ$596,4,))*$F206))</f>
        <v>0</v>
      </c>
      <c r="Z206" s="33">
        <f>IF(VLOOKUP($D206,$C$5:$AJ$596,24,)=0,0,((VLOOKUP($D206,$C$5:$AJ$596,24,)/VLOOKUP($D206,$C$5:$AJ$596,4,))*$F206))</f>
        <v>0</v>
      </c>
      <c r="AA206" s="33">
        <f>IF(VLOOKUP($D206,$C$5:$AJ$596,25,)=0,0,((VLOOKUP($D206,$C$5:$AJ$596,25,)/VLOOKUP($D206,$C$5:$AJ$596,4,))*$F206))</f>
        <v>0</v>
      </c>
      <c r="AB206" s="33">
        <f>IF(VLOOKUP($D206,$C$5:$AJ$596,26,)=0,0,((VLOOKUP($D206,$C$5:$AJ$596,26,)/VLOOKUP($D206,$C$5:$AJ$596,4,))*$F206))</f>
        <v>0</v>
      </c>
      <c r="AC206" s="33">
        <f>IF(VLOOKUP($D206,$C$5:$AJ$596,27,)=0,0,((VLOOKUP($D206,$C$5:$AJ$596,27,)/VLOOKUP($D206,$C$5:$AJ$596,4,))*$F206))</f>
        <v>0</v>
      </c>
      <c r="AD206" s="33">
        <f>IF(VLOOKUP($D206,$C$5:$AJ$596,28,)=0,0,((VLOOKUP($D206,$C$5:$AJ$596,28,)/VLOOKUP($D206,$C$5:$AJ$596,4,))*$F206))</f>
        <v>0</v>
      </c>
      <c r="AE206" s="33"/>
      <c r="AF206" s="33">
        <f>IF(VLOOKUP($D206,$C$5:$AJ$596,30,)=0,0,((VLOOKUP($D206,$C$5:$AJ$596,30,)/VLOOKUP($D206,$C$5:$AJ$596,4,))*$F206))</f>
        <v>0</v>
      </c>
      <c r="AG206" s="33"/>
      <c r="AH206" s="33">
        <f>IF(VLOOKUP($D206,$C$5:$AJ$596,32,)=0,0,((VLOOKUP($D206,$C$5:$AJ$596,32,)/VLOOKUP($D206,$C$5:$AJ$596,4,))*$F206))</f>
        <v>0</v>
      </c>
      <c r="AI206" s="33"/>
      <c r="AJ206" s="33">
        <f>IF(VLOOKUP($D206,$C$5:$AJ$596,34,)=0,0,((VLOOKUP($D206,$C$5:$AJ$596,34,)/VLOOKUP($D206,$C$5:$AJ$596,4,))*$F206))</f>
        <v>0</v>
      </c>
      <c r="AK206" s="33">
        <f>SUM(H206:AJ206)</f>
        <v>397058.41500495514</v>
      </c>
      <c r="AL206" s="30" t="str">
        <f>IF(ABS(AK206-F206)&lt;1,"ok","err")</f>
        <v>ok</v>
      </c>
    </row>
    <row r="207" spans="1:38" x14ac:dyDescent="0.25">
      <c r="A207" s="29">
        <v>552</v>
      </c>
      <c r="B207" s="29" t="s">
        <v>540</v>
      </c>
      <c r="C207" s="29" t="s">
        <v>1487</v>
      </c>
      <c r="D207" s="139" t="s">
        <v>685</v>
      </c>
      <c r="E207" s="14"/>
      <c r="F207" s="33">
        <f>'Jurisdictional Study'!F995</f>
        <v>703351.81324979209</v>
      </c>
      <c r="H207" s="33">
        <f>IF(VLOOKUP($D207,$C$5:$AJ$596,6,)=0,0,((VLOOKUP($D207,$C$5:$AJ$596,6,)/VLOOKUP($D207,$C$5:$AJ$596,4,))*$F207))</f>
        <v>703351.81324979209</v>
      </c>
      <c r="I207" s="33">
        <f>IF(VLOOKUP($D207,$C$5:$AJ$596,7,)=0,0,((VLOOKUP($D207,$C$5:$AJ$596,7,)/VLOOKUP($D207,$C$5:$AJ$596,4,))*$F207))</f>
        <v>0</v>
      </c>
      <c r="J207" s="33">
        <f>IF(VLOOKUP($D207,$C$5:$AJ$596,8,)=0,0,((VLOOKUP($D207,$C$5:$AJ$596,8,)/VLOOKUP($D207,$C$5:$AJ$596,4,))*$F207))</f>
        <v>0</v>
      </c>
      <c r="K207" s="33">
        <f>IF(VLOOKUP($D207,$C$5:$AJ$596,9,)=0,0,((VLOOKUP($D207,$C$5:$AJ$596,9,)/VLOOKUP($D207,$C$5:$AJ$596,4,))*$F207))</f>
        <v>0</v>
      </c>
      <c r="L207" s="33">
        <f>IF(VLOOKUP($D207,$C$5:$AJ$596,10,)=0,0,((VLOOKUP($D207,$C$5:$AJ$596,10,)/VLOOKUP($D207,$C$5:$AJ$596,4,))*$F207))</f>
        <v>0</v>
      </c>
      <c r="M207" s="33">
        <f>IF(VLOOKUP($D207,$C$5:$AJ$596,11,)=0,0,((VLOOKUP($D207,$C$5:$AJ$596,11,)/VLOOKUP($D207,$C$5:$AJ$596,4,))*$F207))</f>
        <v>0</v>
      </c>
      <c r="N207" s="33"/>
      <c r="O207" s="33">
        <f>IF(VLOOKUP($D207,$C$5:$AJ$596,13,)=0,0,((VLOOKUP($D207,$C$5:$AJ$596,13,)/VLOOKUP($D207,$C$5:$AJ$596,4,))*$F207))</f>
        <v>0</v>
      </c>
      <c r="P207" s="33">
        <f>IF(VLOOKUP($D207,$C$5:$AJ$596,14,)=0,0,((VLOOKUP($D207,$C$5:$AJ$596,14,)/VLOOKUP($D207,$C$5:$AJ$596,4,))*$F207))</f>
        <v>0</v>
      </c>
      <c r="Q207" s="33">
        <f>IF(VLOOKUP($D207,$C$5:$AJ$596,15,)=0,0,((VLOOKUP($D207,$C$5:$AJ$596,15,)/VLOOKUP($D207,$C$5:$AJ$596,4,))*$F207))</f>
        <v>0</v>
      </c>
      <c r="R207" s="33"/>
      <c r="S207" s="33">
        <f>IF(VLOOKUP($D207,$C$5:$AJ$596,17,)=0,0,((VLOOKUP($D207,$C$5:$AJ$596,17,)/VLOOKUP($D207,$C$5:$AJ$596,4,))*$F207))</f>
        <v>0</v>
      </c>
      <c r="T207" s="33">
        <f>IF(VLOOKUP($D207,$C$5:$AJ$596,18,)=0,0,((VLOOKUP($D207,$C$5:$AJ$596,18,)/VLOOKUP($D207,$C$5:$AJ$596,4,))*$F207))</f>
        <v>0</v>
      </c>
      <c r="U207" s="33">
        <f>IF(VLOOKUP($D207,$C$5:$AJ$596,19,)=0,0,((VLOOKUP($D207,$C$5:$AJ$596,19,)/VLOOKUP($D207,$C$5:$AJ$596,4,))*$F207))</f>
        <v>0</v>
      </c>
      <c r="V207" s="33">
        <f>IF(VLOOKUP($D207,$C$5:$AJ$596,20,)=0,0,((VLOOKUP($D207,$C$5:$AJ$596,20,)/VLOOKUP($D207,$C$5:$AJ$596,4,))*$F207))</f>
        <v>0</v>
      </c>
      <c r="W207" s="33">
        <f>IF(VLOOKUP($D207,$C$5:$AJ$596,21,)=0,0,((VLOOKUP($D207,$C$5:$AJ$596,21,)/VLOOKUP($D207,$C$5:$AJ$596,4,))*$F207))</f>
        <v>0</v>
      </c>
      <c r="X207" s="33">
        <f>IF(VLOOKUP($D207,$C$5:$AJ$596,22,)=0,0,((VLOOKUP($D207,$C$5:$AJ$596,22,)/VLOOKUP($D207,$C$5:$AJ$596,4,))*$F207))</f>
        <v>0</v>
      </c>
      <c r="Y207" s="33">
        <f>IF(VLOOKUP($D207,$C$5:$AJ$596,23,)=0,0,((VLOOKUP($D207,$C$5:$AJ$596,23,)/VLOOKUP($D207,$C$5:$AJ$596,4,))*$F207))</f>
        <v>0</v>
      </c>
      <c r="Z207" s="33">
        <f>IF(VLOOKUP($D207,$C$5:$AJ$596,24,)=0,0,((VLOOKUP($D207,$C$5:$AJ$596,24,)/VLOOKUP($D207,$C$5:$AJ$596,4,))*$F207))</f>
        <v>0</v>
      </c>
      <c r="AA207" s="33">
        <f>IF(VLOOKUP($D207,$C$5:$AJ$596,25,)=0,0,((VLOOKUP($D207,$C$5:$AJ$596,25,)/VLOOKUP($D207,$C$5:$AJ$596,4,))*$F207))</f>
        <v>0</v>
      </c>
      <c r="AB207" s="33">
        <f>IF(VLOOKUP($D207,$C$5:$AJ$596,26,)=0,0,((VLOOKUP($D207,$C$5:$AJ$596,26,)/VLOOKUP($D207,$C$5:$AJ$596,4,))*$F207))</f>
        <v>0</v>
      </c>
      <c r="AC207" s="33">
        <f>IF(VLOOKUP($D207,$C$5:$AJ$596,27,)=0,0,((VLOOKUP($D207,$C$5:$AJ$596,27,)/VLOOKUP($D207,$C$5:$AJ$596,4,))*$F207))</f>
        <v>0</v>
      </c>
      <c r="AD207" s="33">
        <f>IF(VLOOKUP($D207,$C$5:$AJ$596,28,)=0,0,((VLOOKUP($D207,$C$5:$AJ$596,28,)/VLOOKUP($D207,$C$5:$AJ$596,4,))*$F207))</f>
        <v>0</v>
      </c>
      <c r="AE207" s="33"/>
      <c r="AF207" s="33">
        <f>IF(VLOOKUP($D207,$C$5:$AJ$596,30,)=0,0,((VLOOKUP($D207,$C$5:$AJ$596,30,)/VLOOKUP($D207,$C$5:$AJ$596,4,))*$F207))</f>
        <v>0</v>
      </c>
      <c r="AG207" s="33"/>
      <c r="AH207" s="33">
        <f>IF(VLOOKUP($D207,$C$5:$AJ$596,32,)=0,0,((VLOOKUP($D207,$C$5:$AJ$596,32,)/VLOOKUP($D207,$C$5:$AJ$596,4,))*$F207))</f>
        <v>0</v>
      </c>
      <c r="AI207" s="33"/>
      <c r="AJ207" s="33">
        <f>IF(VLOOKUP($D207,$C$5:$AJ$596,34,)=0,0,((VLOOKUP($D207,$C$5:$AJ$596,34,)/VLOOKUP($D207,$C$5:$AJ$596,4,))*$F207))</f>
        <v>0</v>
      </c>
      <c r="AK207" s="33">
        <f>SUM(H207:AJ207)</f>
        <v>703351.81324979209</v>
      </c>
      <c r="AL207" s="30" t="str">
        <f>IF(ABS(AK207-F207)&lt;1,"ok","err")</f>
        <v>ok</v>
      </c>
    </row>
    <row r="208" spans="1:38" x14ac:dyDescent="0.25">
      <c r="A208" s="29">
        <v>553</v>
      </c>
      <c r="B208" s="29" t="s">
        <v>1488</v>
      </c>
      <c r="C208" s="29" t="s">
        <v>1489</v>
      </c>
      <c r="D208" s="139" t="s">
        <v>685</v>
      </c>
      <c r="E208" s="14"/>
      <c r="F208" s="33">
        <f>'Jurisdictional Study'!F996</f>
        <v>5367864.3255875176</v>
      </c>
      <c r="H208" s="33">
        <f>IF(VLOOKUP($D208,$C$5:$AJ$596,6,)=0,0,((VLOOKUP($D208,$C$5:$AJ$596,6,)/VLOOKUP($D208,$C$5:$AJ$596,4,))*$F208))</f>
        <v>5367864.3255875176</v>
      </c>
      <c r="I208" s="33">
        <f>IF(VLOOKUP($D208,$C$5:$AJ$596,7,)=0,0,((VLOOKUP($D208,$C$5:$AJ$596,7,)/VLOOKUP($D208,$C$5:$AJ$596,4,))*$F208))</f>
        <v>0</v>
      </c>
      <c r="J208" s="33">
        <f>IF(VLOOKUP($D208,$C$5:$AJ$596,8,)=0,0,((VLOOKUP($D208,$C$5:$AJ$596,8,)/VLOOKUP($D208,$C$5:$AJ$596,4,))*$F208))</f>
        <v>0</v>
      </c>
      <c r="K208" s="33">
        <f>IF(VLOOKUP($D208,$C$5:$AJ$596,9,)=0,0,((VLOOKUP($D208,$C$5:$AJ$596,9,)/VLOOKUP($D208,$C$5:$AJ$596,4,))*$F208))</f>
        <v>0</v>
      </c>
      <c r="L208" s="33">
        <f>IF(VLOOKUP($D208,$C$5:$AJ$596,10,)=0,0,((VLOOKUP($D208,$C$5:$AJ$596,10,)/VLOOKUP($D208,$C$5:$AJ$596,4,))*$F208))</f>
        <v>0</v>
      </c>
      <c r="M208" s="33">
        <f>IF(VLOOKUP($D208,$C$5:$AJ$596,11,)=0,0,((VLOOKUP($D208,$C$5:$AJ$596,11,)/VLOOKUP($D208,$C$5:$AJ$596,4,))*$F208))</f>
        <v>0</v>
      </c>
      <c r="N208" s="33"/>
      <c r="O208" s="33">
        <f>IF(VLOOKUP($D208,$C$5:$AJ$596,13,)=0,0,((VLOOKUP($D208,$C$5:$AJ$596,13,)/VLOOKUP($D208,$C$5:$AJ$596,4,))*$F208))</f>
        <v>0</v>
      </c>
      <c r="P208" s="33">
        <f>IF(VLOOKUP($D208,$C$5:$AJ$596,14,)=0,0,((VLOOKUP($D208,$C$5:$AJ$596,14,)/VLOOKUP($D208,$C$5:$AJ$596,4,))*$F208))</f>
        <v>0</v>
      </c>
      <c r="Q208" s="33">
        <f>IF(VLOOKUP($D208,$C$5:$AJ$596,15,)=0,0,((VLOOKUP($D208,$C$5:$AJ$596,15,)/VLOOKUP($D208,$C$5:$AJ$596,4,))*$F208))</f>
        <v>0</v>
      </c>
      <c r="R208" s="33"/>
      <c r="S208" s="33">
        <f>IF(VLOOKUP($D208,$C$5:$AJ$596,17,)=0,0,((VLOOKUP($D208,$C$5:$AJ$596,17,)/VLOOKUP($D208,$C$5:$AJ$596,4,))*$F208))</f>
        <v>0</v>
      </c>
      <c r="T208" s="33">
        <f>IF(VLOOKUP($D208,$C$5:$AJ$596,18,)=0,0,((VLOOKUP($D208,$C$5:$AJ$596,18,)/VLOOKUP($D208,$C$5:$AJ$596,4,))*$F208))</f>
        <v>0</v>
      </c>
      <c r="U208" s="33">
        <f>IF(VLOOKUP($D208,$C$5:$AJ$596,19,)=0,0,((VLOOKUP($D208,$C$5:$AJ$596,19,)/VLOOKUP($D208,$C$5:$AJ$596,4,))*$F208))</f>
        <v>0</v>
      </c>
      <c r="V208" s="33">
        <f>IF(VLOOKUP($D208,$C$5:$AJ$596,20,)=0,0,((VLOOKUP($D208,$C$5:$AJ$596,20,)/VLOOKUP($D208,$C$5:$AJ$596,4,))*$F208))</f>
        <v>0</v>
      </c>
      <c r="W208" s="33">
        <f>IF(VLOOKUP($D208,$C$5:$AJ$596,21,)=0,0,((VLOOKUP($D208,$C$5:$AJ$596,21,)/VLOOKUP($D208,$C$5:$AJ$596,4,))*$F208))</f>
        <v>0</v>
      </c>
      <c r="X208" s="33">
        <f>IF(VLOOKUP($D208,$C$5:$AJ$596,22,)=0,0,((VLOOKUP($D208,$C$5:$AJ$596,22,)/VLOOKUP($D208,$C$5:$AJ$596,4,))*$F208))</f>
        <v>0</v>
      </c>
      <c r="Y208" s="33">
        <f>IF(VLOOKUP($D208,$C$5:$AJ$596,23,)=0,0,((VLOOKUP($D208,$C$5:$AJ$596,23,)/VLOOKUP($D208,$C$5:$AJ$596,4,))*$F208))</f>
        <v>0</v>
      </c>
      <c r="Z208" s="33">
        <f>IF(VLOOKUP($D208,$C$5:$AJ$596,24,)=0,0,((VLOOKUP($D208,$C$5:$AJ$596,24,)/VLOOKUP($D208,$C$5:$AJ$596,4,))*$F208))</f>
        <v>0</v>
      </c>
      <c r="AA208" s="33">
        <f>IF(VLOOKUP($D208,$C$5:$AJ$596,25,)=0,0,((VLOOKUP($D208,$C$5:$AJ$596,25,)/VLOOKUP($D208,$C$5:$AJ$596,4,))*$F208))</f>
        <v>0</v>
      </c>
      <c r="AB208" s="33">
        <f>IF(VLOOKUP($D208,$C$5:$AJ$596,26,)=0,0,((VLOOKUP($D208,$C$5:$AJ$596,26,)/VLOOKUP($D208,$C$5:$AJ$596,4,))*$F208))</f>
        <v>0</v>
      </c>
      <c r="AC208" s="33">
        <f>IF(VLOOKUP($D208,$C$5:$AJ$596,27,)=0,0,((VLOOKUP($D208,$C$5:$AJ$596,27,)/VLOOKUP($D208,$C$5:$AJ$596,4,))*$F208))</f>
        <v>0</v>
      </c>
      <c r="AD208" s="33">
        <f>IF(VLOOKUP($D208,$C$5:$AJ$596,28,)=0,0,((VLOOKUP($D208,$C$5:$AJ$596,28,)/VLOOKUP($D208,$C$5:$AJ$596,4,))*$F208))</f>
        <v>0</v>
      </c>
      <c r="AE208" s="33"/>
      <c r="AF208" s="33">
        <f>IF(VLOOKUP($D208,$C$5:$AJ$596,30,)=0,0,((VLOOKUP($D208,$C$5:$AJ$596,30,)/VLOOKUP($D208,$C$5:$AJ$596,4,))*$F208))</f>
        <v>0</v>
      </c>
      <c r="AG208" s="33"/>
      <c r="AH208" s="33">
        <f>IF(VLOOKUP($D208,$C$5:$AJ$596,32,)=0,0,((VLOOKUP($D208,$C$5:$AJ$596,32,)/VLOOKUP($D208,$C$5:$AJ$596,4,))*$F208))</f>
        <v>0</v>
      </c>
      <c r="AI208" s="33"/>
      <c r="AJ208" s="33">
        <f>IF(VLOOKUP($D208,$C$5:$AJ$596,34,)=0,0,((VLOOKUP($D208,$C$5:$AJ$596,34,)/VLOOKUP($D208,$C$5:$AJ$596,4,))*$F208))</f>
        <v>0</v>
      </c>
      <c r="AK208" s="33">
        <f>SUM(H208:AJ208)</f>
        <v>5367864.3255875176</v>
      </c>
      <c r="AL208" s="30" t="str">
        <f>IF(ABS(AK208-F208)&lt;1,"ok","err")</f>
        <v>ok</v>
      </c>
    </row>
    <row r="209" spans="1:38" x14ac:dyDescent="0.25">
      <c r="A209" s="29">
        <v>554</v>
      </c>
      <c r="B209" s="29" t="s">
        <v>1490</v>
      </c>
      <c r="C209" s="29" t="s">
        <v>1491</v>
      </c>
      <c r="D209" s="139" t="s">
        <v>685</v>
      </c>
      <c r="E209" s="14"/>
      <c r="F209" s="33">
        <f>'Jurisdictional Study'!F997</f>
        <v>5523374.8738237098</v>
      </c>
      <c r="H209" s="33">
        <f>IF(VLOOKUP($D209,$C$5:$AJ$596,6,)=0,0,((VLOOKUP($D209,$C$5:$AJ$596,6,)/VLOOKUP($D209,$C$5:$AJ$596,4,))*$F209))</f>
        <v>5523374.8738237098</v>
      </c>
      <c r="I209" s="33">
        <f>IF(VLOOKUP($D209,$C$5:$AJ$596,7,)=0,0,((VLOOKUP($D209,$C$5:$AJ$596,7,)/VLOOKUP($D209,$C$5:$AJ$596,4,))*$F209))</f>
        <v>0</v>
      </c>
      <c r="J209" s="33">
        <f>IF(VLOOKUP($D209,$C$5:$AJ$596,8,)=0,0,((VLOOKUP($D209,$C$5:$AJ$596,8,)/VLOOKUP($D209,$C$5:$AJ$596,4,))*$F209))</f>
        <v>0</v>
      </c>
      <c r="K209" s="33">
        <f>IF(VLOOKUP($D209,$C$5:$AJ$596,9,)=0,0,((VLOOKUP($D209,$C$5:$AJ$596,9,)/VLOOKUP($D209,$C$5:$AJ$596,4,))*$F209))</f>
        <v>0</v>
      </c>
      <c r="L209" s="33">
        <f>IF(VLOOKUP($D209,$C$5:$AJ$596,10,)=0,0,((VLOOKUP($D209,$C$5:$AJ$596,10,)/VLOOKUP($D209,$C$5:$AJ$596,4,))*$F209))</f>
        <v>0</v>
      </c>
      <c r="M209" s="33">
        <f>IF(VLOOKUP($D209,$C$5:$AJ$596,11,)=0,0,((VLOOKUP($D209,$C$5:$AJ$596,11,)/VLOOKUP($D209,$C$5:$AJ$596,4,))*$F209))</f>
        <v>0</v>
      </c>
      <c r="N209" s="33"/>
      <c r="O209" s="33">
        <f>IF(VLOOKUP($D209,$C$5:$AJ$596,13,)=0,0,((VLOOKUP($D209,$C$5:$AJ$596,13,)/VLOOKUP($D209,$C$5:$AJ$596,4,))*$F209))</f>
        <v>0</v>
      </c>
      <c r="P209" s="33">
        <f>IF(VLOOKUP($D209,$C$5:$AJ$596,14,)=0,0,((VLOOKUP($D209,$C$5:$AJ$596,14,)/VLOOKUP($D209,$C$5:$AJ$596,4,))*$F209))</f>
        <v>0</v>
      </c>
      <c r="Q209" s="33">
        <f>IF(VLOOKUP($D209,$C$5:$AJ$596,15,)=0,0,((VLOOKUP($D209,$C$5:$AJ$596,15,)/VLOOKUP($D209,$C$5:$AJ$596,4,))*$F209))</f>
        <v>0</v>
      </c>
      <c r="R209" s="33"/>
      <c r="S209" s="33">
        <f>IF(VLOOKUP($D209,$C$5:$AJ$596,17,)=0,0,((VLOOKUP($D209,$C$5:$AJ$596,17,)/VLOOKUP($D209,$C$5:$AJ$596,4,))*$F209))</f>
        <v>0</v>
      </c>
      <c r="T209" s="33">
        <f>IF(VLOOKUP($D209,$C$5:$AJ$596,18,)=0,0,((VLOOKUP($D209,$C$5:$AJ$596,18,)/VLOOKUP($D209,$C$5:$AJ$596,4,))*$F209))</f>
        <v>0</v>
      </c>
      <c r="U209" s="33">
        <f>IF(VLOOKUP($D209,$C$5:$AJ$596,19,)=0,0,((VLOOKUP($D209,$C$5:$AJ$596,19,)/VLOOKUP($D209,$C$5:$AJ$596,4,))*$F209))</f>
        <v>0</v>
      </c>
      <c r="V209" s="33">
        <f>IF(VLOOKUP($D209,$C$5:$AJ$596,20,)=0,0,((VLOOKUP($D209,$C$5:$AJ$596,20,)/VLOOKUP($D209,$C$5:$AJ$596,4,))*$F209))</f>
        <v>0</v>
      </c>
      <c r="W209" s="33">
        <f>IF(VLOOKUP($D209,$C$5:$AJ$596,21,)=0,0,((VLOOKUP($D209,$C$5:$AJ$596,21,)/VLOOKUP($D209,$C$5:$AJ$596,4,))*$F209))</f>
        <v>0</v>
      </c>
      <c r="X209" s="33">
        <f>IF(VLOOKUP($D209,$C$5:$AJ$596,22,)=0,0,((VLOOKUP($D209,$C$5:$AJ$596,22,)/VLOOKUP($D209,$C$5:$AJ$596,4,))*$F209))</f>
        <v>0</v>
      </c>
      <c r="Y209" s="33">
        <f>IF(VLOOKUP($D209,$C$5:$AJ$596,23,)=0,0,((VLOOKUP($D209,$C$5:$AJ$596,23,)/VLOOKUP($D209,$C$5:$AJ$596,4,))*$F209))</f>
        <v>0</v>
      </c>
      <c r="Z209" s="33">
        <f>IF(VLOOKUP($D209,$C$5:$AJ$596,24,)=0,0,((VLOOKUP($D209,$C$5:$AJ$596,24,)/VLOOKUP($D209,$C$5:$AJ$596,4,))*$F209))</f>
        <v>0</v>
      </c>
      <c r="AA209" s="33">
        <f>IF(VLOOKUP($D209,$C$5:$AJ$596,25,)=0,0,((VLOOKUP($D209,$C$5:$AJ$596,25,)/VLOOKUP($D209,$C$5:$AJ$596,4,))*$F209))</f>
        <v>0</v>
      </c>
      <c r="AB209" s="33">
        <f>IF(VLOOKUP($D209,$C$5:$AJ$596,26,)=0,0,((VLOOKUP($D209,$C$5:$AJ$596,26,)/VLOOKUP($D209,$C$5:$AJ$596,4,))*$F209))</f>
        <v>0</v>
      </c>
      <c r="AC209" s="33">
        <f>IF(VLOOKUP($D209,$C$5:$AJ$596,27,)=0,0,((VLOOKUP($D209,$C$5:$AJ$596,27,)/VLOOKUP($D209,$C$5:$AJ$596,4,))*$F209))</f>
        <v>0</v>
      </c>
      <c r="AD209" s="33">
        <f>IF(VLOOKUP($D209,$C$5:$AJ$596,28,)=0,0,((VLOOKUP($D209,$C$5:$AJ$596,28,)/VLOOKUP($D209,$C$5:$AJ$596,4,))*$F209))</f>
        <v>0</v>
      </c>
      <c r="AE209" s="33"/>
      <c r="AF209" s="33">
        <f>IF(VLOOKUP($D209,$C$5:$AJ$596,30,)=0,0,((VLOOKUP($D209,$C$5:$AJ$596,30,)/VLOOKUP($D209,$C$5:$AJ$596,4,))*$F209))</f>
        <v>0</v>
      </c>
      <c r="AG209" s="33"/>
      <c r="AH209" s="33">
        <f>IF(VLOOKUP($D209,$C$5:$AJ$596,32,)=0,0,((VLOOKUP($D209,$C$5:$AJ$596,32,)/VLOOKUP($D209,$C$5:$AJ$596,4,))*$F209))</f>
        <v>0</v>
      </c>
      <c r="AI209" s="33"/>
      <c r="AJ209" s="33">
        <f>IF(VLOOKUP($D209,$C$5:$AJ$596,34,)=0,0,((VLOOKUP($D209,$C$5:$AJ$596,34,)/VLOOKUP($D209,$C$5:$AJ$596,4,))*$F209))</f>
        <v>0</v>
      </c>
      <c r="AK209" s="33">
        <f>SUM(H209:AJ209)</f>
        <v>5523374.8738237098</v>
      </c>
      <c r="AL209" s="30" t="str">
        <f>IF(ABS(AK209-F209)&lt;1,"ok","err")</f>
        <v>ok</v>
      </c>
    </row>
    <row r="210" spans="1:38" x14ac:dyDescent="0.25">
      <c r="D210" s="139"/>
      <c r="E210" s="14"/>
      <c r="F210" s="32"/>
      <c r="Y210" s="29"/>
      <c r="AL210" s="30"/>
    </row>
    <row r="211" spans="1:38" x14ac:dyDescent="0.25">
      <c r="B211" s="29" t="s">
        <v>1493</v>
      </c>
      <c r="D211" s="14"/>
      <c r="E211" s="14"/>
      <c r="F211" s="32">
        <f>SUM(F206:F210)</f>
        <v>11991649.427665975</v>
      </c>
      <c r="H211" s="32">
        <f t="shared" ref="H211:M211" si="160">SUM(H206:H210)</f>
        <v>11991649.427665975</v>
      </c>
      <c r="I211" s="32">
        <f t="shared" si="160"/>
        <v>0</v>
      </c>
      <c r="J211" s="32">
        <f t="shared" si="160"/>
        <v>0</v>
      </c>
      <c r="K211" s="32">
        <f t="shared" si="160"/>
        <v>0</v>
      </c>
      <c r="L211" s="32">
        <f t="shared" si="160"/>
        <v>0</v>
      </c>
      <c r="M211" s="32">
        <f t="shared" si="160"/>
        <v>0</v>
      </c>
      <c r="O211" s="32">
        <f>SUM(O206:O210)</f>
        <v>0</v>
      </c>
      <c r="P211" s="32">
        <f>SUM(P206:P210)</f>
        <v>0</v>
      </c>
      <c r="Q211" s="32">
        <f>SUM(Q206:Q210)</f>
        <v>0</v>
      </c>
      <c r="S211" s="32">
        <f t="shared" ref="S211:AD211" si="161">SUM(S206:S210)</f>
        <v>0</v>
      </c>
      <c r="T211" s="32">
        <f t="shared" si="161"/>
        <v>0</v>
      </c>
      <c r="U211" s="32">
        <f t="shared" si="161"/>
        <v>0</v>
      </c>
      <c r="V211" s="32">
        <f t="shared" si="161"/>
        <v>0</v>
      </c>
      <c r="W211" s="32">
        <f t="shared" si="161"/>
        <v>0</v>
      </c>
      <c r="X211" s="32">
        <f t="shared" si="161"/>
        <v>0</v>
      </c>
      <c r="Y211" s="32">
        <f t="shared" si="161"/>
        <v>0</v>
      </c>
      <c r="Z211" s="32">
        <f t="shared" si="161"/>
        <v>0</v>
      </c>
      <c r="AA211" s="32">
        <f t="shared" si="161"/>
        <v>0</v>
      </c>
      <c r="AB211" s="32">
        <f t="shared" si="161"/>
        <v>0</v>
      </c>
      <c r="AC211" s="32">
        <f t="shared" si="161"/>
        <v>0</v>
      </c>
      <c r="AD211" s="32">
        <f t="shared" si="161"/>
        <v>0</v>
      </c>
      <c r="AF211" s="32">
        <f>SUM(AF206:AF210)</f>
        <v>0</v>
      </c>
      <c r="AH211" s="32">
        <f>SUM(AH206:AH210)</f>
        <v>0</v>
      </c>
      <c r="AJ211" s="32">
        <f>SUM(AJ206:AJ210)</f>
        <v>0</v>
      </c>
      <c r="AK211" s="33">
        <f>SUM(H211:AJ211)</f>
        <v>11991649.427665975</v>
      </c>
      <c r="AL211" s="30" t="str">
        <f>IF(ABS(AK211-F211)&lt;1,"ok","err")</f>
        <v>ok</v>
      </c>
    </row>
    <row r="212" spans="1:38" x14ac:dyDescent="0.25">
      <c r="D212" s="14"/>
      <c r="E212" s="14"/>
      <c r="F212" s="32"/>
      <c r="H212" s="32"/>
      <c r="I212" s="32"/>
      <c r="J212" s="32"/>
      <c r="K212" s="32"/>
      <c r="L212" s="32"/>
      <c r="M212" s="32"/>
      <c r="O212" s="32"/>
      <c r="P212" s="32"/>
      <c r="Q212" s="32"/>
      <c r="S212" s="32"/>
      <c r="T212" s="32"/>
      <c r="U212" s="32"/>
      <c r="V212" s="32"/>
      <c r="W212" s="32"/>
      <c r="X212" s="32"/>
      <c r="Y212" s="32"/>
      <c r="Z212" s="32"/>
      <c r="AA212" s="32"/>
      <c r="AB212" s="32"/>
      <c r="AC212" s="32"/>
      <c r="AD212" s="32"/>
      <c r="AF212" s="32"/>
      <c r="AH212" s="32"/>
      <c r="AJ212" s="32"/>
      <c r="AK212" s="33"/>
      <c r="AL212" s="30"/>
    </row>
    <row r="213" spans="1:38" x14ac:dyDescent="0.25">
      <c r="B213" s="29" t="s">
        <v>1492</v>
      </c>
      <c r="D213" s="14"/>
      <c r="E213" s="14"/>
      <c r="F213" s="32">
        <f>F203+F211</f>
        <v>136275517.12950757</v>
      </c>
      <c r="H213" s="32">
        <f t="shared" ref="H213:M213" si="162">H203+H211</f>
        <v>18137439.533847623</v>
      </c>
      <c r="I213" s="32">
        <f t="shared" si="162"/>
        <v>0</v>
      </c>
      <c r="J213" s="32">
        <f t="shared" si="162"/>
        <v>0</v>
      </c>
      <c r="K213" s="32">
        <f t="shared" si="162"/>
        <v>118138077.59565996</v>
      </c>
      <c r="L213" s="32">
        <f t="shared" si="162"/>
        <v>0</v>
      </c>
      <c r="M213" s="32">
        <f t="shared" si="162"/>
        <v>0</v>
      </c>
      <c r="O213" s="32">
        <f>O203+O211</f>
        <v>0</v>
      </c>
      <c r="P213" s="32">
        <f>P203+P211</f>
        <v>0</v>
      </c>
      <c r="Q213" s="32">
        <f>Q203+Q211</f>
        <v>0</v>
      </c>
      <c r="S213" s="32">
        <f t="shared" ref="S213:AD213" si="163">S203+S211</f>
        <v>0</v>
      </c>
      <c r="T213" s="32">
        <f t="shared" si="163"/>
        <v>0</v>
      </c>
      <c r="U213" s="32">
        <f t="shared" si="163"/>
        <v>0</v>
      </c>
      <c r="V213" s="32">
        <f t="shared" si="163"/>
        <v>0</v>
      </c>
      <c r="W213" s="32">
        <f t="shared" si="163"/>
        <v>0</v>
      </c>
      <c r="X213" s="32">
        <f t="shared" si="163"/>
        <v>0</v>
      </c>
      <c r="Y213" s="32">
        <f t="shared" si="163"/>
        <v>0</v>
      </c>
      <c r="Z213" s="32">
        <f t="shared" si="163"/>
        <v>0</v>
      </c>
      <c r="AA213" s="32">
        <f t="shared" si="163"/>
        <v>0</v>
      </c>
      <c r="AB213" s="32">
        <f t="shared" si="163"/>
        <v>0</v>
      </c>
      <c r="AC213" s="32">
        <f t="shared" si="163"/>
        <v>0</v>
      </c>
      <c r="AD213" s="32">
        <f t="shared" si="163"/>
        <v>0</v>
      </c>
      <c r="AF213" s="32">
        <f>AF203+AF211</f>
        <v>0</v>
      </c>
      <c r="AH213" s="32">
        <f>AH203+AH211</f>
        <v>0</v>
      </c>
      <c r="AJ213" s="32">
        <f>AJ203+AJ211</f>
        <v>0</v>
      </c>
      <c r="AK213" s="33">
        <f>SUM(H213:AJ213)</f>
        <v>136275517.12950757</v>
      </c>
      <c r="AL213" s="30" t="str">
        <f>IF(ABS(AK213-F213)&lt;1,"ok","err")</f>
        <v>ok</v>
      </c>
    </row>
    <row r="214" spans="1:38" x14ac:dyDescent="0.25">
      <c r="D214" s="139"/>
      <c r="E214" s="14"/>
      <c r="F214" s="32"/>
      <c r="H214" s="32"/>
      <c r="I214" s="32"/>
      <c r="J214" s="32"/>
      <c r="K214" s="32"/>
      <c r="L214" s="32"/>
      <c r="M214" s="32"/>
      <c r="O214" s="32"/>
      <c r="P214" s="32"/>
      <c r="Q214" s="32"/>
      <c r="S214" s="32"/>
      <c r="T214" s="32"/>
      <c r="U214" s="32"/>
      <c r="V214" s="32"/>
      <c r="W214" s="32"/>
      <c r="X214" s="32"/>
      <c r="Y214" s="32"/>
      <c r="Z214" s="32"/>
      <c r="AA214" s="32"/>
      <c r="AB214" s="32"/>
      <c r="AC214" s="32"/>
      <c r="AD214" s="32"/>
      <c r="AF214" s="32"/>
      <c r="AH214" s="32"/>
      <c r="AJ214" s="32"/>
      <c r="AK214" s="33"/>
      <c r="AL214" s="30"/>
    </row>
    <row r="215" spans="1:38" x14ac:dyDescent="0.25">
      <c r="B215" s="29" t="s">
        <v>1494</v>
      </c>
      <c r="D215" s="139"/>
      <c r="E215" s="14"/>
      <c r="F215" s="32">
        <f>F171+F192+F213</f>
        <v>572519638.55680227</v>
      </c>
      <c r="H215" s="32">
        <f t="shared" ref="H215:M215" si="164">H171+H192+H213</f>
        <v>63086754.030480079</v>
      </c>
      <c r="I215" s="32">
        <f t="shared" si="164"/>
        <v>0</v>
      </c>
      <c r="J215" s="32">
        <f t="shared" si="164"/>
        <v>0</v>
      </c>
      <c r="K215" s="32">
        <f t="shared" si="164"/>
        <v>509432884.52632213</v>
      </c>
      <c r="L215" s="32">
        <f t="shared" si="164"/>
        <v>0</v>
      </c>
      <c r="M215" s="32">
        <f t="shared" si="164"/>
        <v>0</v>
      </c>
      <c r="O215" s="32">
        <f>O171+O192+O213</f>
        <v>0</v>
      </c>
      <c r="P215" s="32">
        <f>P171+P192+P213</f>
        <v>0</v>
      </c>
      <c r="Q215" s="32">
        <f>Q171+Q192+Q213</f>
        <v>0</v>
      </c>
      <c r="S215" s="32">
        <f t="shared" ref="S215:AD215" si="165">S171+S192+S213</f>
        <v>0</v>
      </c>
      <c r="T215" s="32">
        <f t="shared" si="165"/>
        <v>0</v>
      </c>
      <c r="U215" s="32">
        <f t="shared" si="165"/>
        <v>0</v>
      </c>
      <c r="V215" s="32">
        <f t="shared" si="165"/>
        <v>0</v>
      </c>
      <c r="W215" s="32">
        <f t="shared" si="165"/>
        <v>0</v>
      </c>
      <c r="X215" s="32">
        <f t="shared" si="165"/>
        <v>0</v>
      </c>
      <c r="Y215" s="32">
        <f t="shared" si="165"/>
        <v>0</v>
      </c>
      <c r="Z215" s="32">
        <f t="shared" si="165"/>
        <v>0</v>
      </c>
      <c r="AA215" s="32">
        <f t="shared" si="165"/>
        <v>0</v>
      </c>
      <c r="AB215" s="32">
        <f t="shared" si="165"/>
        <v>0</v>
      </c>
      <c r="AC215" s="32">
        <f t="shared" si="165"/>
        <v>0</v>
      </c>
      <c r="AD215" s="32">
        <f t="shared" si="165"/>
        <v>0</v>
      </c>
      <c r="AF215" s="32">
        <f>AF171+AF192+AF213</f>
        <v>0</v>
      </c>
      <c r="AH215" s="32">
        <f>AH171+AH192+AH213</f>
        <v>0</v>
      </c>
      <c r="AJ215" s="32">
        <f>AJ171+AJ192+AJ213</f>
        <v>0</v>
      </c>
      <c r="AK215" s="33">
        <f>SUM(H215:AJ215)</f>
        <v>572519638.55680215</v>
      </c>
      <c r="AL215" s="30" t="str">
        <f>IF(ABS(AK215-F215)&lt;1,"ok","err")</f>
        <v>ok</v>
      </c>
    </row>
    <row r="216" spans="1:38" x14ac:dyDescent="0.25">
      <c r="D216" s="139"/>
      <c r="E216" s="14"/>
      <c r="F216" s="34"/>
      <c r="Y216" s="29"/>
      <c r="AL216" s="30"/>
    </row>
    <row r="217" spans="1:38" x14ac:dyDescent="0.25">
      <c r="A217" s="4" t="s">
        <v>1495</v>
      </c>
      <c r="D217" s="139"/>
      <c r="E217" s="14"/>
      <c r="Y217" s="29"/>
      <c r="AL217" s="30"/>
    </row>
    <row r="218" spans="1:38" x14ac:dyDescent="0.25">
      <c r="A218" s="29">
        <v>555</v>
      </c>
      <c r="B218" s="29" t="s">
        <v>444</v>
      </c>
      <c r="C218" s="29" t="s">
        <v>461</v>
      </c>
      <c r="D218" s="139" t="s">
        <v>755</v>
      </c>
      <c r="E218" s="14"/>
      <c r="F218" s="32">
        <f>'Jurisdictional Study'!F1007-842902.73</f>
        <v>53726175.659549534</v>
      </c>
      <c r="G218" s="32"/>
      <c r="H218" s="33">
        <f t="shared" ref="H218:H223" si="166">IF(VLOOKUP($D218,$C$5:$AJ$596,6,)=0,0,((VLOOKUP($D218,$C$5:$AJ$596,6,)/VLOOKUP($D218,$C$5:$AJ$596,4,))*$F218))</f>
        <v>11177018.614864385</v>
      </c>
      <c r="I218" s="33">
        <f t="shared" ref="I218:I223" si="167">IF(VLOOKUP($D218,$C$5:$AJ$596,7,)=0,0,((VLOOKUP($D218,$C$5:$AJ$596,7,)/VLOOKUP($D218,$C$5:$AJ$596,4,))*$F218))</f>
        <v>0</v>
      </c>
      <c r="J218" s="33">
        <f t="shared" ref="J218:J223" si="168">IF(VLOOKUP($D218,$C$5:$AJ$596,8,)=0,0,((VLOOKUP($D218,$C$5:$AJ$596,8,)/VLOOKUP($D218,$C$5:$AJ$596,4,))*$F218))</f>
        <v>0</v>
      </c>
      <c r="K218" s="33">
        <f t="shared" ref="K218:K223" si="169">IF(VLOOKUP($D218,$C$5:$AJ$596,9,)=0,0,((VLOOKUP($D218,$C$5:$AJ$596,9,)/VLOOKUP($D218,$C$5:$AJ$596,4,))*$F218))</f>
        <v>42549157.044685155</v>
      </c>
      <c r="L218" s="33">
        <f t="shared" ref="L218:L223" si="170">IF(VLOOKUP($D218,$C$5:$AJ$596,10,)=0,0,((VLOOKUP($D218,$C$5:$AJ$596,10,)/VLOOKUP($D218,$C$5:$AJ$596,4,))*$F218))</f>
        <v>0</v>
      </c>
      <c r="M218" s="33">
        <f t="shared" ref="M218:M223" si="171">IF(VLOOKUP($D218,$C$5:$AJ$596,11,)=0,0,((VLOOKUP($D218,$C$5:$AJ$596,11,)/VLOOKUP($D218,$C$5:$AJ$596,4,))*$F218))</f>
        <v>0</v>
      </c>
      <c r="N218" s="33"/>
      <c r="O218" s="33">
        <f t="shared" ref="O218:O223" si="172">IF(VLOOKUP($D218,$C$5:$AJ$596,13,)=0,0,((VLOOKUP($D218,$C$5:$AJ$596,13,)/VLOOKUP($D218,$C$5:$AJ$596,4,))*$F218))</f>
        <v>0</v>
      </c>
      <c r="P218" s="33">
        <f t="shared" ref="P218:P223" si="173">IF(VLOOKUP($D218,$C$5:$AJ$596,14,)=0,0,((VLOOKUP($D218,$C$5:$AJ$596,14,)/VLOOKUP($D218,$C$5:$AJ$596,4,))*$F218))</f>
        <v>0</v>
      </c>
      <c r="Q218" s="33">
        <f t="shared" ref="Q218:Q223" si="174">IF(VLOOKUP($D218,$C$5:$AJ$596,15,)=0,0,((VLOOKUP($D218,$C$5:$AJ$596,15,)/VLOOKUP($D218,$C$5:$AJ$596,4,))*$F218))</f>
        <v>0</v>
      </c>
      <c r="R218" s="33"/>
      <c r="S218" s="33">
        <f t="shared" ref="S218:S223" si="175">IF(VLOOKUP($D218,$C$5:$AJ$596,17,)=0,0,((VLOOKUP($D218,$C$5:$AJ$596,17,)/VLOOKUP($D218,$C$5:$AJ$596,4,))*$F218))</f>
        <v>0</v>
      </c>
      <c r="T218" s="33">
        <f t="shared" ref="T218:T223" si="176">IF(VLOOKUP($D218,$C$5:$AJ$596,18,)=0,0,((VLOOKUP($D218,$C$5:$AJ$596,18,)/VLOOKUP($D218,$C$5:$AJ$596,4,))*$F218))</f>
        <v>0</v>
      </c>
      <c r="U218" s="33">
        <f t="shared" ref="U218:U223" si="177">IF(VLOOKUP($D218,$C$5:$AJ$596,19,)=0,0,((VLOOKUP($D218,$C$5:$AJ$596,19,)/VLOOKUP($D218,$C$5:$AJ$596,4,))*$F218))</f>
        <v>0</v>
      </c>
      <c r="V218" s="33">
        <f t="shared" ref="V218:V223" si="178">IF(VLOOKUP($D218,$C$5:$AJ$596,20,)=0,0,((VLOOKUP($D218,$C$5:$AJ$596,20,)/VLOOKUP($D218,$C$5:$AJ$596,4,))*$F218))</f>
        <v>0</v>
      </c>
      <c r="W218" s="33">
        <f t="shared" ref="W218:W223" si="179">IF(VLOOKUP($D218,$C$5:$AJ$596,21,)=0,0,((VLOOKUP($D218,$C$5:$AJ$596,21,)/VLOOKUP($D218,$C$5:$AJ$596,4,))*$F218))</f>
        <v>0</v>
      </c>
      <c r="X218" s="33">
        <f t="shared" ref="X218:X223" si="180">IF(VLOOKUP($D218,$C$5:$AJ$596,22,)=0,0,((VLOOKUP($D218,$C$5:$AJ$596,22,)/VLOOKUP($D218,$C$5:$AJ$596,4,))*$F218))</f>
        <v>0</v>
      </c>
      <c r="Y218" s="33">
        <f t="shared" ref="Y218:Y223" si="181">IF(VLOOKUP($D218,$C$5:$AJ$596,23,)=0,0,((VLOOKUP($D218,$C$5:$AJ$596,23,)/VLOOKUP($D218,$C$5:$AJ$596,4,))*$F218))</f>
        <v>0</v>
      </c>
      <c r="Z218" s="33">
        <f t="shared" ref="Z218:Z223" si="182">IF(VLOOKUP($D218,$C$5:$AJ$596,24,)=0,0,((VLOOKUP($D218,$C$5:$AJ$596,24,)/VLOOKUP($D218,$C$5:$AJ$596,4,))*$F218))</f>
        <v>0</v>
      </c>
      <c r="AA218" s="33">
        <f t="shared" ref="AA218:AA223" si="183">IF(VLOOKUP($D218,$C$5:$AJ$596,25,)=0,0,((VLOOKUP($D218,$C$5:$AJ$596,25,)/VLOOKUP($D218,$C$5:$AJ$596,4,))*$F218))</f>
        <v>0</v>
      </c>
      <c r="AB218" s="33">
        <f t="shared" ref="AB218:AB223" si="184">IF(VLOOKUP($D218,$C$5:$AJ$596,26,)=0,0,((VLOOKUP($D218,$C$5:$AJ$596,26,)/VLOOKUP($D218,$C$5:$AJ$596,4,))*$F218))</f>
        <v>0</v>
      </c>
      <c r="AC218" s="33">
        <f t="shared" ref="AC218:AC223" si="185">IF(VLOOKUP($D218,$C$5:$AJ$596,27,)=0,0,((VLOOKUP($D218,$C$5:$AJ$596,27,)/VLOOKUP($D218,$C$5:$AJ$596,4,))*$F218))</f>
        <v>0</v>
      </c>
      <c r="AD218" s="33">
        <f t="shared" ref="AD218:AD223" si="186">IF(VLOOKUP($D218,$C$5:$AJ$596,28,)=0,0,((VLOOKUP($D218,$C$5:$AJ$596,28,)/VLOOKUP($D218,$C$5:$AJ$596,4,))*$F218))</f>
        <v>0</v>
      </c>
      <c r="AE218" s="33"/>
      <c r="AF218" s="33">
        <f t="shared" ref="AF218:AF223" si="187">IF(VLOOKUP($D218,$C$5:$AJ$596,30,)=0,0,((VLOOKUP($D218,$C$5:$AJ$596,30,)/VLOOKUP($D218,$C$5:$AJ$596,4,))*$F218))</f>
        <v>0</v>
      </c>
      <c r="AG218" s="33"/>
      <c r="AH218" s="33">
        <f t="shared" ref="AH218:AH223" si="188">IF(VLOOKUP($D218,$C$5:$AJ$596,32,)=0,0,((VLOOKUP($D218,$C$5:$AJ$596,32,)/VLOOKUP($D218,$C$5:$AJ$596,4,))*$F218))</f>
        <v>0</v>
      </c>
      <c r="AI218" s="33"/>
      <c r="AJ218" s="33">
        <f t="shared" ref="AJ218:AJ223" si="189">IF(VLOOKUP($D218,$C$5:$AJ$596,34,)=0,0,((VLOOKUP($D218,$C$5:$AJ$596,34,)/VLOOKUP($D218,$C$5:$AJ$596,4,))*$F218))</f>
        <v>0</v>
      </c>
      <c r="AK218" s="33">
        <f t="shared" ref="AK218:AK223" si="190">SUM(H218:AJ218)</f>
        <v>53726175.659549542</v>
      </c>
      <c r="AL218" s="30" t="str">
        <f t="shared" ref="AL218:AL223" si="191">IF(ABS(AK218-F218)&lt;1,"ok","err")</f>
        <v>ok</v>
      </c>
    </row>
    <row r="219" spans="1:38" x14ac:dyDescent="0.25">
      <c r="A219" s="29">
        <v>555</v>
      </c>
      <c r="B219" s="29" t="s">
        <v>1496</v>
      </c>
      <c r="C219" s="29" t="s">
        <v>1497</v>
      </c>
      <c r="D219" s="139" t="s">
        <v>755</v>
      </c>
      <c r="E219" s="14"/>
      <c r="F219" s="33"/>
      <c r="G219" s="32"/>
      <c r="H219" s="33">
        <f t="shared" si="166"/>
        <v>0</v>
      </c>
      <c r="I219" s="33">
        <f t="shared" si="167"/>
        <v>0</v>
      </c>
      <c r="J219" s="33">
        <f t="shared" si="168"/>
        <v>0</v>
      </c>
      <c r="K219" s="33">
        <f t="shared" si="169"/>
        <v>0</v>
      </c>
      <c r="L219" s="33">
        <f t="shared" si="170"/>
        <v>0</v>
      </c>
      <c r="M219" s="33">
        <f t="shared" si="171"/>
        <v>0</v>
      </c>
      <c r="N219" s="33"/>
      <c r="O219" s="33">
        <f t="shared" si="172"/>
        <v>0</v>
      </c>
      <c r="P219" s="33">
        <f t="shared" si="173"/>
        <v>0</v>
      </c>
      <c r="Q219" s="33">
        <f t="shared" si="174"/>
        <v>0</v>
      </c>
      <c r="R219" s="33"/>
      <c r="S219" s="33">
        <f t="shared" si="175"/>
        <v>0</v>
      </c>
      <c r="T219" s="33">
        <f t="shared" si="176"/>
        <v>0</v>
      </c>
      <c r="U219" s="33">
        <f t="shared" si="177"/>
        <v>0</v>
      </c>
      <c r="V219" s="33">
        <f t="shared" si="178"/>
        <v>0</v>
      </c>
      <c r="W219" s="33">
        <f t="shared" si="179"/>
        <v>0</v>
      </c>
      <c r="X219" s="33">
        <f t="shared" si="180"/>
        <v>0</v>
      </c>
      <c r="Y219" s="33">
        <f t="shared" si="181"/>
        <v>0</v>
      </c>
      <c r="Z219" s="33">
        <f t="shared" si="182"/>
        <v>0</v>
      </c>
      <c r="AA219" s="33">
        <f t="shared" si="183"/>
        <v>0</v>
      </c>
      <c r="AB219" s="33">
        <f t="shared" si="184"/>
        <v>0</v>
      </c>
      <c r="AC219" s="33">
        <f t="shared" si="185"/>
        <v>0</v>
      </c>
      <c r="AD219" s="33">
        <f t="shared" si="186"/>
        <v>0</v>
      </c>
      <c r="AE219" s="33"/>
      <c r="AF219" s="33">
        <f t="shared" si="187"/>
        <v>0</v>
      </c>
      <c r="AG219" s="33"/>
      <c r="AH219" s="33">
        <f t="shared" si="188"/>
        <v>0</v>
      </c>
      <c r="AI219" s="33"/>
      <c r="AJ219" s="33">
        <f t="shared" si="189"/>
        <v>0</v>
      </c>
      <c r="AK219" s="33">
        <f t="shared" si="190"/>
        <v>0</v>
      </c>
      <c r="AL219" s="30" t="str">
        <f t="shared" si="191"/>
        <v>ok</v>
      </c>
    </row>
    <row r="220" spans="1:38" x14ac:dyDescent="0.25">
      <c r="A220" s="29">
        <v>555</v>
      </c>
      <c r="B220" s="29" t="s">
        <v>1498</v>
      </c>
      <c r="C220" s="29" t="s">
        <v>1499</v>
      </c>
      <c r="D220" s="139" t="s">
        <v>755</v>
      </c>
      <c r="E220" s="14"/>
      <c r="F220" s="33"/>
      <c r="G220" s="32"/>
      <c r="H220" s="33">
        <f t="shared" si="166"/>
        <v>0</v>
      </c>
      <c r="I220" s="33">
        <f t="shared" si="167"/>
        <v>0</v>
      </c>
      <c r="J220" s="33">
        <f t="shared" si="168"/>
        <v>0</v>
      </c>
      <c r="K220" s="33">
        <f t="shared" si="169"/>
        <v>0</v>
      </c>
      <c r="L220" s="33">
        <f t="shared" si="170"/>
        <v>0</v>
      </c>
      <c r="M220" s="33">
        <f t="shared" si="171"/>
        <v>0</v>
      </c>
      <c r="N220" s="33"/>
      <c r="O220" s="33">
        <f t="shared" si="172"/>
        <v>0</v>
      </c>
      <c r="P220" s="33">
        <f t="shared" si="173"/>
        <v>0</v>
      </c>
      <c r="Q220" s="33">
        <f t="shared" si="174"/>
        <v>0</v>
      </c>
      <c r="R220" s="33"/>
      <c r="S220" s="33">
        <f t="shared" si="175"/>
        <v>0</v>
      </c>
      <c r="T220" s="33">
        <f t="shared" si="176"/>
        <v>0</v>
      </c>
      <c r="U220" s="33">
        <f t="shared" si="177"/>
        <v>0</v>
      </c>
      <c r="V220" s="33">
        <f t="shared" si="178"/>
        <v>0</v>
      </c>
      <c r="W220" s="33">
        <f t="shared" si="179"/>
        <v>0</v>
      </c>
      <c r="X220" s="33">
        <f t="shared" si="180"/>
        <v>0</v>
      </c>
      <c r="Y220" s="33">
        <f t="shared" si="181"/>
        <v>0</v>
      </c>
      <c r="Z220" s="33">
        <f t="shared" si="182"/>
        <v>0</v>
      </c>
      <c r="AA220" s="33">
        <f t="shared" si="183"/>
        <v>0</v>
      </c>
      <c r="AB220" s="33">
        <f t="shared" si="184"/>
        <v>0</v>
      </c>
      <c r="AC220" s="33">
        <f t="shared" si="185"/>
        <v>0</v>
      </c>
      <c r="AD220" s="33">
        <f t="shared" si="186"/>
        <v>0</v>
      </c>
      <c r="AE220" s="33"/>
      <c r="AF220" s="33">
        <f t="shared" si="187"/>
        <v>0</v>
      </c>
      <c r="AG220" s="33"/>
      <c r="AH220" s="33">
        <f t="shared" si="188"/>
        <v>0</v>
      </c>
      <c r="AI220" s="33"/>
      <c r="AJ220" s="33">
        <f t="shared" si="189"/>
        <v>0</v>
      </c>
      <c r="AK220" s="33">
        <f t="shared" si="190"/>
        <v>0</v>
      </c>
      <c r="AL220" s="30" t="str">
        <f t="shared" si="191"/>
        <v>ok</v>
      </c>
    </row>
    <row r="221" spans="1:38" x14ac:dyDescent="0.25">
      <c r="A221" s="29">
        <v>555</v>
      </c>
      <c r="B221" s="29" t="s">
        <v>1500</v>
      </c>
      <c r="C221" s="29" t="s">
        <v>1501</v>
      </c>
      <c r="D221" s="139" t="s">
        <v>755</v>
      </c>
      <c r="E221" s="14"/>
      <c r="F221" s="33"/>
      <c r="G221" s="32"/>
      <c r="H221" s="33">
        <f t="shared" si="166"/>
        <v>0</v>
      </c>
      <c r="I221" s="33">
        <f t="shared" si="167"/>
        <v>0</v>
      </c>
      <c r="J221" s="33">
        <f t="shared" si="168"/>
        <v>0</v>
      </c>
      <c r="K221" s="33">
        <f t="shared" si="169"/>
        <v>0</v>
      </c>
      <c r="L221" s="33">
        <f t="shared" si="170"/>
        <v>0</v>
      </c>
      <c r="M221" s="33">
        <f t="shared" si="171"/>
        <v>0</v>
      </c>
      <c r="N221" s="33"/>
      <c r="O221" s="33">
        <f t="shared" si="172"/>
        <v>0</v>
      </c>
      <c r="P221" s="33">
        <f t="shared" si="173"/>
        <v>0</v>
      </c>
      <c r="Q221" s="33">
        <f t="shared" si="174"/>
        <v>0</v>
      </c>
      <c r="R221" s="33"/>
      <c r="S221" s="33">
        <f t="shared" si="175"/>
        <v>0</v>
      </c>
      <c r="T221" s="33">
        <f t="shared" si="176"/>
        <v>0</v>
      </c>
      <c r="U221" s="33">
        <f t="shared" si="177"/>
        <v>0</v>
      </c>
      <c r="V221" s="33">
        <f t="shared" si="178"/>
        <v>0</v>
      </c>
      <c r="W221" s="33">
        <f t="shared" si="179"/>
        <v>0</v>
      </c>
      <c r="X221" s="33">
        <f t="shared" si="180"/>
        <v>0</v>
      </c>
      <c r="Y221" s="33">
        <f t="shared" si="181"/>
        <v>0</v>
      </c>
      <c r="Z221" s="33">
        <f t="shared" si="182"/>
        <v>0</v>
      </c>
      <c r="AA221" s="33">
        <f t="shared" si="183"/>
        <v>0</v>
      </c>
      <c r="AB221" s="33">
        <f t="shared" si="184"/>
        <v>0</v>
      </c>
      <c r="AC221" s="33">
        <f t="shared" si="185"/>
        <v>0</v>
      </c>
      <c r="AD221" s="33">
        <f t="shared" si="186"/>
        <v>0</v>
      </c>
      <c r="AE221" s="33"/>
      <c r="AF221" s="33">
        <f t="shared" si="187"/>
        <v>0</v>
      </c>
      <c r="AG221" s="33"/>
      <c r="AH221" s="33">
        <f t="shared" si="188"/>
        <v>0</v>
      </c>
      <c r="AI221" s="33"/>
      <c r="AJ221" s="33">
        <f t="shared" si="189"/>
        <v>0</v>
      </c>
      <c r="AK221" s="33">
        <f t="shared" si="190"/>
        <v>0</v>
      </c>
      <c r="AL221" s="30" t="str">
        <f t="shared" si="191"/>
        <v>ok</v>
      </c>
    </row>
    <row r="222" spans="1:38" x14ac:dyDescent="0.25">
      <c r="A222" s="29">
        <v>556</v>
      </c>
      <c r="B222" s="29" t="s">
        <v>1502</v>
      </c>
      <c r="C222" s="29" t="s">
        <v>1503</v>
      </c>
      <c r="D222" s="139" t="s">
        <v>685</v>
      </c>
      <c r="E222" s="14"/>
      <c r="F222" s="33">
        <f>'Jurisdictional Study'!F1009</f>
        <v>1717588.0217524811</v>
      </c>
      <c r="G222" s="32"/>
      <c r="H222" s="33">
        <f t="shared" si="166"/>
        <v>1717588.0217524811</v>
      </c>
      <c r="I222" s="33">
        <f t="shared" si="167"/>
        <v>0</v>
      </c>
      <c r="J222" s="33">
        <f t="shared" si="168"/>
        <v>0</v>
      </c>
      <c r="K222" s="33">
        <f t="shared" si="169"/>
        <v>0</v>
      </c>
      <c r="L222" s="33">
        <f t="shared" si="170"/>
        <v>0</v>
      </c>
      <c r="M222" s="33">
        <f t="shared" si="171"/>
        <v>0</v>
      </c>
      <c r="N222" s="33"/>
      <c r="O222" s="33">
        <f t="shared" si="172"/>
        <v>0</v>
      </c>
      <c r="P222" s="33">
        <f t="shared" si="173"/>
        <v>0</v>
      </c>
      <c r="Q222" s="33">
        <f t="shared" si="174"/>
        <v>0</v>
      </c>
      <c r="R222" s="33"/>
      <c r="S222" s="33">
        <f t="shared" si="175"/>
        <v>0</v>
      </c>
      <c r="T222" s="33">
        <f t="shared" si="176"/>
        <v>0</v>
      </c>
      <c r="U222" s="33">
        <f t="shared" si="177"/>
        <v>0</v>
      </c>
      <c r="V222" s="33">
        <f t="shared" si="178"/>
        <v>0</v>
      </c>
      <c r="W222" s="33">
        <f t="shared" si="179"/>
        <v>0</v>
      </c>
      <c r="X222" s="33">
        <f t="shared" si="180"/>
        <v>0</v>
      </c>
      <c r="Y222" s="33">
        <f t="shared" si="181"/>
        <v>0</v>
      </c>
      <c r="Z222" s="33">
        <f t="shared" si="182"/>
        <v>0</v>
      </c>
      <c r="AA222" s="33">
        <f t="shared" si="183"/>
        <v>0</v>
      </c>
      <c r="AB222" s="33">
        <f t="shared" si="184"/>
        <v>0</v>
      </c>
      <c r="AC222" s="33">
        <f t="shared" si="185"/>
        <v>0</v>
      </c>
      <c r="AD222" s="33">
        <f t="shared" si="186"/>
        <v>0</v>
      </c>
      <c r="AE222" s="33"/>
      <c r="AF222" s="33">
        <f t="shared" si="187"/>
        <v>0</v>
      </c>
      <c r="AG222" s="33"/>
      <c r="AH222" s="33">
        <f t="shared" si="188"/>
        <v>0</v>
      </c>
      <c r="AI222" s="33"/>
      <c r="AJ222" s="33">
        <f t="shared" si="189"/>
        <v>0</v>
      </c>
      <c r="AK222" s="33">
        <f t="shared" si="190"/>
        <v>1717588.0217524811</v>
      </c>
      <c r="AL222" s="30" t="str">
        <f t="shared" si="191"/>
        <v>ok</v>
      </c>
    </row>
    <row r="223" spans="1:38" x14ac:dyDescent="0.25">
      <c r="A223" s="29">
        <v>557</v>
      </c>
      <c r="B223" s="29" t="s">
        <v>462</v>
      </c>
      <c r="C223" s="29" t="s">
        <v>463</v>
      </c>
      <c r="D223" s="139" t="s">
        <v>685</v>
      </c>
      <c r="E223" s="14"/>
      <c r="F223" s="33">
        <f>'Jurisdictional Study'!F1010-27458.48</f>
        <v>140244.31575461465</v>
      </c>
      <c r="G223" s="32"/>
      <c r="H223" s="33">
        <f t="shared" si="166"/>
        <v>140244.31575461465</v>
      </c>
      <c r="I223" s="33">
        <f t="shared" si="167"/>
        <v>0</v>
      </c>
      <c r="J223" s="33">
        <f t="shared" si="168"/>
        <v>0</v>
      </c>
      <c r="K223" s="33">
        <f t="shared" si="169"/>
        <v>0</v>
      </c>
      <c r="L223" s="33">
        <f t="shared" si="170"/>
        <v>0</v>
      </c>
      <c r="M223" s="33">
        <f t="shared" si="171"/>
        <v>0</v>
      </c>
      <c r="N223" s="33"/>
      <c r="O223" s="33">
        <f t="shared" si="172"/>
        <v>0</v>
      </c>
      <c r="P223" s="33">
        <f t="shared" si="173"/>
        <v>0</v>
      </c>
      <c r="Q223" s="33">
        <f t="shared" si="174"/>
        <v>0</v>
      </c>
      <c r="R223" s="33"/>
      <c r="S223" s="33">
        <f t="shared" si="175"/>
        <v>0</v>
      </c>
      <c r="T223" s="33">
        <f t="shared" si="176"/>
        <v>0</v>
      </c>
      <c r="U223" s="33">
        <f t="shared" si="177"/>
        <v>0</v>
      </c>
      <c r="V223" s="33">
        <f t="shared" si="178"/>
        <v>0</v>
      </c>
      <c r="W223" s="33">
        <f t="shared" si="179"/>
        <v>0</v>
      </c>
      <c r="X223" s="33">
        <f t="shared" si="180"/>
        <v>0</v>
      </c>
      <c r="Y223" s="33">
        <f t="shared" si="181"/>
        <v>0</v>
      </c>
      <c r="Z223" s="33">
        <f t="shared" si="182"/>
        <v>0</v>
      </c>
      <c r="AA223" s="33">
        <f t="shared" si="183"/>
        <v>0</v>
      </c>
      <c r="AB223" s="33">
        <f t="shared" si="184"/>
        <v>0</v>
      </c>
      <c r="AC223" s="33">
        <f t="shared" si="185"/>
        <v>0</v>
      </c>
      <c r="AD223" s="33">
        <f t="shared" si="186"/>
        <v>0</v>
      </c>
      <c r="AE223" s="33"/>
      <c r="AF223" s="33">
        <f t="shared" si="187"/>
        <v>0</v>
      </c>
      <c r="AG223" s="33"/>
      <c r="AH223" s="33">
        <f t="shared" si="188"/>
        <v>0</v>
      </c>
      <c r="AI223" s="33"/>
      <c r="AJ223" s="33">
        <f t="shared" si="189"/>
        <v>0</v>
      </c>
      <c r="AK223" s="33">
        <f t="shared" si="190"/>
        <v>140244.31575461465</v>
      </c>
      <c r="AL223" s="30" t="str">
        <f t="shared" si="191"/>
        <v>ok</v>
      </c>
    </row>
    <row r="224" spans="1:38" x14ac:dyDescent="0.25">
      <c r="D224" s="14"/>
      <c r="E224" s="14"/>
      <c r="F224" s="33"/>
      <c r="G224" s="32"/>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0"/>
    </row>
    <row r="225" spans="1:38" x14ac:dyDescent="0.25">
      <c r="B225" s="29" t="s">
        <v>1517</v>
      </c>
      <c r="C225" s="29" t="s">
        <v>464</v>
      </c>
      <c r="D225" s="14"/>
      <c r="E225" s="14"/>
      <c r="F225" s="32">
        <f>SUM(F218:F224)</f>
        <v>55584007.997056633</v>
      </c>
      <c r="G225" s="32"/>
      <c r="H225" s="32">
        <f t="shared" ref="H225:M225" si="192">SUM(H218:H224)</f>
        <v>13034850.95237148</v>
      </c>
      <c r="I225" s="32">
        <f t="shared" si="192"/>
        <v>0</v>
      </c>
      <c r="J225" s="32">
        <f t="shared" si="192"/>
        <v>0</v>
      </c>
      <c r="K225" s="32">
        <f t="shared" si="192"/>
        <v>42549157.044685155</v>
      </c>
      <c r="L225" s="32">
        <f t="shared" si="192"/>
        <v>0</v>
      </c>
      <c r="M225" s="32">
        <f t="shared" si="192"/>
        <v>0</v>
      </c>
      <c r="N225" s="32"/>
      <c r="O225" s="32">
        <f>SUM(O218:O224)</f>
        <v>0</v>
      </c>
      <c r="P225" s="32">
        <f>SUM(P218:P224)</f>
        <v>0</v>
      </c>
      <c r="Q225" s="32">
        <f>SUM(Q218:Q224)</f>
        <v>0</v>
      </c>
      <c r="R225" s="32"/>
      <c r="S225" s="32">
        <f t="shared" ref="S225:AD225" si="193">SUM(S218:S224)</f>
        <v>0</v>
      </c>
      <c r="T225" s="32">
        <f t="shared" si="193"/>
        <v>0</v>
      </c>
      <c r="U225" s="32">
        <f t="shared" si="193"/>
        <v>0</v>
      </c>
      <c r="V225" s="32">
        <f t="shared" si="193"/>
        <v>0</v>
      </c>
      <c r="W225" s="32">
        <f t="shared" si="193"/>
        <v>0</v>
      </c>
      <c r="X225" s="32">
        <f t="shared" si="193"/>
        <v>0</v>
      </c>
      <c r="Y225" s="32">
        <f t="shared" si="193"/>
        <v>0</v>
      </c>
      <c r="Z225" s="32">
        <f t="shared" si="193"/>
        <v>0</v>
      </c>
      <c r="AA225" s="32">
        <f t="shared" si="193"/>
        <v>0</v>
      </c>
      <c r="AB225" s="32">
        <f t="shared" si="193"/>
        <v>0</v>
      </c>
      <c r="AC225" s="32">
        <f t="shared" si="193"/>
        <v>0</v>
      </c>
      <c r="AD225" s="32">
        <f t="shared" si="193"/>
        <v>0</v>
      </c>
      <c r="AE225" s="32"/>
      <c r="AF225" s="32">
        <f>SUM(AF218:AF224)</f>
        <v>0</v>
      </c>
      <c r="AG225" s="32"/>
      <c r="AH225" s="32">
        <f>SUM(AH218:AH224)</f>
        <v>0</v>
      </c>
      <c r="AI225" s="32"/>
      <c r="AJ225" s="32">
        <f>SUM(AJ218:AJ224)</f>
        <v>0</v>
      </c>
      <c r="AK225" s="33">
        <f>SUM(H225:AJ225)</f>
        <v>55584007.997056633</v>
      </c>
      <c r="AL225" s="30" t="str">
        <f>IF(ABS(AK225-F225)&lt;1,"ok","err")</f>
        <v>ok</v>
      </c>
    </row>
    <row r="226" spans="1:38" x14ac:dyDescent="0.25">
      <c r="D226" s="14"/>
      <c r="E226" s="14"/>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3"/>
      <c r="AL226" s="30"/>
    </row>
    <row r="227" spans="1:38" x14ac:dyDescent="0.25">
      <c r="B227" s="29" t="s">
        <v>1504</v>
      </c>
      <c r="D227" s="14"/>
      <c r="E227" s="14"/>
      <c r="F227" s="32">
        <f>F215+F225</f>
        <v>628103646.55385888</v>
      </c>
      <c r="G227" s="32"/>
      <c r="H227" s="32">
        <f t="shared" ref="H227:M227" si="194">H215+H225</f>
        <v>76121604.982851565</v>
      </c>
      <c r="I227" s="32">
        <f t="shared" si="194"/>
        <v>0</v>
      </c>
      <c r="J227" s="32">
        <f t="shared" si="194"/>
        <v>0</v>
      </c>
      <c r="K227" s="32">
        <f t="shared" si="194"/>
        <v>551982041.57100725</v>
      </c>
      <c r="L227" s="32">
        <f t="shared" si="194"/>
        <v>0</v>
      </c>
      <c r="M227" s="32">
        <f t="shared" si="194"/>
        <v>0</v>
      </c>
      <c r="N227" s="32"/>
      <c r="O227" s="32">
        <f>O215+O225</f>
        <v>0</v>
      </c>
      <c r="P227" s="32">
        <f>P215+P225</f>
        <v>0</v>
      </c>
      <c r="Q227" s="32">
        <f>Q215+Q225</f>
        <v>0</v>
      </c>
      <c r="R227" s="32"/>
      <c r="S227" s="32">
        <f t="shared" ref="S227:AD227" si="195">S215+S225</f>
        <v>0</v>
      </c>
      <c r="T227" s="32">
        <f t="shared" si="195"/>
        <v>0</v>
      </c>
      <c r="U227" s="32">
        <f t="shared" si="195"/>
        <v>0</v>
      </c>
      <c r="V227" s="32">
        <f t="shared" si="195"/>
        <v>0</v>
      </c>
      <c r="W227" s="32">
        <f t="shared" si="195"/>
        <v>0</v>
      </c>
      <c r="X227" s="32">
        <f t="shared" si="195"/>
        <v>0</v>
      </c>
      <c r="Y227" s="32">
        <f t="shared" si="195"/>
        <v>0</v>
      </c>
      <c r="Z227" s="32">
        <f t="shared" si="195"/>
        <v>0</v>
      </c>
      <c r="AA227" s="32">
        <f t="shared" si="195"/>
        <v>0</v>
      </c>
      <c r="AB227" s="32">
        <f t="shared" si="195"/>
        <v>0</v>
      </c>
      <c r="AC227" s="32">
        <f t="shared" si="195"/>
        <v>0</v>
      </c>
      <c r="AD227" s="32">
        <f t="shared" si="195"/>
        <v>0</v>
      </c>
      <c r="AE227" s="32"/>
      <c r="AF227" s="32">
        <f>AF215+AF225</f>
        <v>0</v>
      </c>
      <c r="AG227" s="32"/>
      <c r="AH227" s="32">
        <f>AH215+AH225</f>
        <v>0</v>
      </c>
      <c r="AI227" s="32"/>
      <c r="AJ227" s="32">
        <f>AJ215+AJ225</f>
        <v>0</v>
      </c>
      <c r="AK227" s="33">
        <f>SUM(H227:AJ227)</f>
        <v>628103646.55385876</v>
      </c>
      <c r="AL227" s="30" t="str">
        <f>IF(ABS(AK227-F227)&lt;1,"ok","err")</f>
        <v>ok</v>
      </c>
    </row>
    <row r="228" spans="1:38" x14ac:dyDescent="0.25">
      <c r="D228" s="14"/>
      <c r="E228" s="14"/>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3"/>
      <c r="AL228" s="30"/>
    </row>
    <row r="229" spans="1:38" x14ac:dyDescent="0.25">
      <c r="A229" s="3" t="s">
        <v>277</v>
      </c>
      <c r="D229" s="14"/>
      <c r="E229" s="14"/>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3"/>
      <c r="AL229" s="30"/>
    </row>
    <row r="230" spans="1:38" x14ac:dyDescent="0.25">
      <c r="D230" s="14"/>
      <c r="E230" s="14"/>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3"/>
      <c r="AL230" s="30"/>
    </row>
    <row r="231" spans="1:38" x14ac:dyDescent="0.25">
      <c r="A231" s="4" t="s">
        <v>436</v>
      </c>
      <c r="D231" s="14"/>
      <c r="E231" s="14"/>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3"/>
      <c r="AL231" s="30"/>
    </row>
    <row r="232" spans="1:38" x14ac:dyDescent="0.25">
      <c r="A232" s="29">
        <v>560</v>
      </c>
      <c r="B232" s="29" t="s">
        <v>439</v>
      </c>
      <c r="C232" s="29" t="s">
        <v>466</v>
      </c>
      <c r="D232" s="14" t="s">
        <v>689</v>
      </c>
      <c r="E232" s="14"/>
      <c r="F232" s="32">
        <f>'Jurisdictional Study'!F1017</f>
        <v>1754566.021489697</v>
      </c>
      <c r="G232" s="32"/>
      <c r="H232" s="33">
        <f t="shared" ref="H232:H245" si="196">IF(VLOOKUP($D232,$C$5:$AJ$596,6,)=0,0,((VLOOKUP($D232,$C$5:$AJ$596,6,)/VLOOKUP($D232,$C$5:$AJ$596,4,))*$F232))</f>
        <v>0</v>
      </c>
      <c r="I232" s="33">
        <f t="shared" ref="I232:I245" si="197">IF(VLOOKUP($D232,$C$5:$AJ$596,7,)=0,0,((VLOOKUP($D232,$C$5:$AJ$596,7,)/VLOOKUP($D232,$C$5:$AJ$596,4,))*$F232))</f>
        <v>0</v>
      </c>
      <c r="J232" s="33">
        <f t="shared" ref="J232:J245" si="198">IF(VLOOKUP($D232,$C$5:$AJ$596,8,)=0,0,((VLOOKUP($D232,$C$5:$AJ$596,8,)/VLOOKUP($D232,$C$5:$AJ$596,4,))*$F232))</f>
        <v>0</v>
      </c>
      <c r="K232" s="33">
        <f t="shared" ref="K232:K245" si="199">IF(VLOOKUP($D232,$C$5:$AJ$596,9,)=0,0,((VLOOKUP($D232,$C$5:$AJ$596,9,)/VLOOKUP($D232,$C$5:$AJ$596,4,))*$F232))</f>
        <v>0</v>
      </c>
      <c r="L232" s="33">
        <f t="shared" ref="L232:L245" si="200">IF(VLOOKUP($D232,$C$5:$AJ$596,10,)=0,0,((VLOOKUP($D232,$C$5:$AJ$596,10,)/VLOOKUP($D232,$C$5:$AJ$596,4,))*$F232))</f>
        <v>0</v>
      </c>
      <c r="M232" s="33">
        <f t="shared" ref="M232:M245" si="201">IF(VLOOKUP($D232,$C$5:$AJ$596,11,)=0,0,((VLOOKUP($D232,$C$5:$AJ$596,11,)/VLOOKUP($D232,$C$5:$AJ$596,4,))*$F232))</f>
        <v>0</v>
      </c>
      <c r="N232" s="33"/>
      <c r="O232" s="33">
        <f t="shared" ref="O232:O245" si="202">IF(VLOOKUP($D232,$C$5:$AJ$596,13,)=0,0,((VLOOKUP($D232,$C$5:$AJ$596,13,)/VLOOKUP($D232,$C$5:$AJ$596,4,))*$F232))</f>
        <v>1754566.021489697</v>
      </c>
      <c r="P232" s="33">
        <f t="shared" ref="P232:P245" si="203">IF(VLOOKUP($D232,$C$5:$AJ$596,14,)=0,0,((VLOOKUP($D232,$C$5:$AJ$596,14,)/VLOOKUP($D232,$C$5:$AJ$596,4,))*$F232))</f>
        <v>0</v>
      </c>
      <c r="Q232" s="33">
        <f t="shared" ref="Q232:Q245" si="204">IF(VLOOKUP($D232,$C$5:$AJ$596,15,)=0,0,((VLOOKUP($D232,$C$5:$AJ$596,15,)/VLOOKUP($D232,$C$5:$AJ$596,4,))*$F232))</f>
        <v>0</v>
      </c>
      <c r="R232" s="33"/>
      <c r="S232" s="33">
        <f t="shared" ref="S232:S245" si="205">IF(VLOOKUP($D232,$C$5:$AJ$596,17,)=0,0,((VLOOKUP($D232,$C$5:$AJ$596,17,)/VLOOKUP($D232,$C$5:$AJ$596,4,))*$F232))</f>
        <v>0</v>
      </c>
      <c r="T232" s="33">
        <f t="shared" ref="T232:T245" si="206">IF(VLOOKUP($D232,$C$5:$AJ$596,18,)=0,0,((VLOOKUP($D232,$C$5:$AJ$596,18,)/VLOOKUP($D232,$C$5:$AJ$596,4,))*$F232))</f>
        <v>0</v>
      </c>
      <c r="U232" s="33">
        <f t="shared" ref="U232:U245" si="207">IF(VLOOKUP($D232,$C$5:$AJ$596,19,)=0,0,((VLOOKUP($D232,$C$5:$AJ$596,19,)/VLOOKUP($D232,$C$5:$AJ$596,4,))*$F232))</f>
        <v>0</v>
      </c>
      <c r="V232" s="33">
        <f t="shared" ref="V232:V245" si="208">IF(VLOOKUP($D232,$C$5:$AJ$596,20,)=0,0,((VLOOKUP($D232,$C$5:$AJ$596,20,)/VLOOKUP($D232,$C$5:$AJ$596,4,))*$F232))</f>
        <v>0</v>
      </c>
      <c r="W232" s="33">
        <f t="shared" ref="W232:W245" si="209">IF(VLOOKUP($D232,$C$5:$AJ$596,21,)=0,0,((VLOOKUP($D232,$C$5:$AJ$596,21,)/VLOOKUP($D232,$C$5:$AJ$596,4,))*$F232))</f>
        <v>0</v>
      </c>
      <c r="X232" s="33">
        <f t="shared" ref="X232:X245" si="210">IF(VLOOKUP($D232,$C$5:$AJ$596,22,)=0,0,((VLOOKUP($D232,$C$5:$AJ$596,22,)/VLOOKUP($D232,$C$5:$AJ$596,4,))*$F232))</f>
        <v>0</v>
      </c>
      <c r="Y232" s="33">
        <f t="shared" ref="Y232:Y245" si="211">IF(VLOOKUP($D232,$C$5:$AJ$596,23,)=0,0,((VLOOKUP($D232,$C$5:$AJ$596,23,)/VLOOKUP($D232,$C$5:$AJ$596,4,))*$F232))</f>
        <v>0</v>
      </c>
      <c r="Z232" s="33">
        <f t="shared" ref="Z232:Z245" si="212">IF(VLOOKUP($D232,$C$5:$AJ$596,24,)=0,0,((VLOOKUP($D232,$C$5:$AJ$596,24,)/VLOOKUP($D232,$C$5:$AJ$596,4,))*$F232))</f>
        <v>0</v>
      </c>
      <c r="AA232" s="33">
        <f t="shared" ref="AA232:AA245" si="213">IF(VLOOKUP($D232,$C$5:$AJ$596,25,)=0,0,((VLOOKUP($D232,$C$5:$AJ$596,25,)/VLOOKUP($D232,$C$5:$AJ$596,4,))*$F232))</f>
        <v>0</v>
      </c>
      <c r="AB232" s="33">
        <f t="shared" ref="AB232:AB245" si="214">IF(VLOOKUP($D232,$C$5:$AJ$596,26,)=0,0,((VLOOKUP($D232,$C$5:$AJ$596,26,)/VLOOKUP($D232,$C$5:$AJ$596,4,))*$F232))</f>
        <v>0</v>
      </c>
      <c r="AC232" s="33">
        <f t="shared" ref="AC232:AC245" si="215">IF(VLOOKUP($D232,$C$5:$AJ$596,27,)=0,0,((VLOOKUP($D232,$C$5:$AJ$596,27,)/VLOOKUP($D232,$C$5:$AJ$596,4,))*$F232))</f>
        <v>0</v>
      </c>
      <c r="AD232" s="33">
        <f t="shared" ref="AD232:AD245" si="216">IF(VLOOKUP($D232,$C$5:$AJ$596,28,)=0,0,((VLOOKUP($D232,$C$5:$AJ$596,28,)/VLOOKUP($D232,$C$5:$AJ$596,4,))*$F232))</f>
        <v>0</v>
      </c>
      <c r="AE232" s="33"/>
      <c r="AF232" s="33">
        <f t="shared" ref="AF232:AF245" si="217">IF(VLOOKUP($D232,$C$5:$AJ$596,30,)=0,0,((VLOOKUP($D232,$C$5:$AJ$596,30,)/VLOOKUP($D232,$C$5:$AJ$596,4,))*$F232))</f>
        <v>0</v>
      </c>
      <c r="AG232" s="33"/>
      <c r="AH232" s="33">
        <f t="shared" ref="AH232:AH245" si="218">IF(VLOOKUP($D232,$C$5:$AJ$596,32,)=0,0,((VLOOKUP($D232,$C$5:$AJ$596,32,)/VLOOKUP($D232,$C$5:$AJ$596,4,))*$F232))</f>
        <v>0</v>
      </c>
      <c r="AI232" s="33"/>
      <c r="AJ232" s="33">
        <f t="shared" ref="AJ232:AJ245" si="219">IF(VLOOKUP($D232,$C$5:$AJ$596,34,)=0,0,((VLOOKUP($D232,$C$5:$AJ$596,34,)/VLOOKUP($D232,$C$5:$AJ$596,4,))*$F232))</f>
        <v>0</v>
      </c>
      <c r="AK232" s="33">
        <f t="shared" ref="AK232:AK237" si="220">SUM(H232:AJ232)</f>
        <v>1754566.021489697</v>
      </c>
      <c r="AL232" s="30" t="str">
        <f t="shared" ref="AL232:AL244" si="221">IF(ABS(AK232-F232)&lt;1,"ok","err")</f>
        <v>ok</v>
      </c>
    </row>
    <row r="233" spans="1:38" x14ac:dyDescent="0.25">
      <c r="A233" s="29">
        <v>561</v>
      </c>
      <c r="B233" s="29" t="s">
        <v>759</v>
      </c>
      <c r="C233" s="29" t="s">
        <v>467</v>
      </c>
      <c r="D233" s="14" t="s">
        <v>689</v>
      </c>
      <c r="E233" s="14"/>
      <c r="F233" s="33">
        <f>'Jurisdictional Study'!F1018</f>
        <v>3371713.9222635562</v>
      </c>
      <c r="G233" s="32"/>
      <c r="H233" s="33">
        <f t="shared" si="196"/>
        <v>0</v>
      </c>
      <c r="I233" s="33">
        <f t="shared" si="197"/>
        <v>0</v>
      </c>
      <c r="J233" s="33">
        <f t="shared" si="198"/>
        <v>0</v>
      </c>
      <c r="K233" s="33">
        <f t="shared" si="199"/>
        <v>0</v>
      </c>
      <c r="L233" s="33">
        <f t="shared" si="200"/>
        <v>0</v>
      </c>
      <c r="M233" s="33">
        <f t="shared" si="201"/>
        <v>0</v>
      </c>
      <c r="N233" s="33"/>
      <c r="O233" s="33">
        <f t="shared" si="202"/>
        <v>3371713.9222635562</v>
      </c>
      <c r="P233" s="33">
        <f t="shared" si="203"/>
        <v>0</v>
      </c>
      <c r="Q233" s="33">
        <f t="shared" si="204"/>
        <v>0</v>
      </c>
      <c r="R233" s="33"/>
      <c r="S233" s="33">
        <f t="shared" si="205"/>
        <v>0</v>
      </c>
      <c r="T233" s="33">
        <f t="shared" si="206"/>
        <v>0</v>
      </c>
      <c r="U233" s="33">
        <f t="shared" si="207"/>
        <v>0</v>
      </c>
      <c r="V233" s="33">
        <f t="shared" si="208"/>
        <v>0</v>
      </c>
      <c r="W233" s="33">
        <f t="shared" si="209"/>
        <v>0</v>
      </c>
      <c r="X233" s="33">
        <f t="shared" si="210"/>
        <v>0</v>
      </c>
      <c r="Y233" s="33">
        <f t="shared" si="211"/>
        <v>0</v>
      </c>
      <c r="Z233" s="33">
        <f t="shared" si="212"/>
        <v>0</v>
      </c>
      <c r="AA233" s="33">
        <f t="shared" si="213"/>
        <v>0</v>
      </c>
      <c r="AB233" s="33">
        <f t="shared" si="214"/>
        <v>0</v>
      </c>
      <c r="AC233" s="33">
        <f t="shared" si="215"/>
        <v>0</v>
      </c>
      <c r="AD233" s="33">
        <f t="shared" si="216"/>
        <v>0</v>
      </c>
      <c r="AE233" s="33"/>
      <c r="AF233" s="33">
        <f t="shared" si="217"/>
        <v>0</v>
      </c>
      <c r="AG233" s="33"/>
      <c r="AH233" s="33">
        <f t="shared" si="218"/>
        <v>0</v>
      </c>
      <c r="AI233" s="33"/>
      <c r="AJ233" s="33">
        <f t="shared" si="219"/>
        <v>0</v>
      </c>
      <c r="AK233" s="33">
        <f t="shared" si="220"/>
        <v>3371713.9222635562</v>
      </c>
      <c r="AL233" s="30" t="str">
        <f t="shared" si="221"/>
        <v>ok</v>
      </c>
    </row>
    <row r="234" spans="1:38" x14ac:dyDescent="0.25">
      <c r="A234" s="29">
        <v>562</v>
      </c>
      <c r="B234" s="29" t="s">
        <v>437</v>
      </c>
      <c r="C234" s="29" t="s">
        <v>468</v>
      </c>
      <c r="D234" s="14" t="s">
        <v>689</v>
      </c>
      <c r="E234" s="14"/>
      <c r="F234" s="33">
        <f>'Jurisdictional Study'!F1019</f>
        <v>1200024.1144666206</v>
      </c>
      <c r="G234" s="32"/>
      <c r="H234" s="33">
        <f t="shared" si="196"/>
        <v>0</v>
      </c>
      <c r="I234" s="33">
        <f t="shared" si="197"/>
        <v>0</v>
      </c>
      <c r="J234" s="33">
        <f t="shared" si="198"/>
        <v>0</v>
      </c>
      <c r="K234" s="33">
        <f t="shared" si="199"/>
        <v>0</v>
      </c>
      <c r="L234" s="33">
        <f t="shared" si="200"/>
        <v>0</v>
      </c>
      <c r="M234" s="33">
        <f t="shared" si="201"/>
        <v>0</v>
      </c>
      <c r="N234" s="33"/>
      <c r="O234" s="33">
        <f t="shared" si="202"/>
        <v>1200024.1144666206</v>
      </c>
      <c r="P234" s="33">
        <f t="shared" si="203"/>
        <v>0</v>
      </c>
      <c r="Q234" s="33">
        <f t="shared" si="204"/>
        <v>0</v>
      </c>
      <c r="R234" s="33"/>
      <c r="S234" s="33">
        <f t="shared" si="205"/>
        <v>0</v>
      </c>
      <c r="T234" s="33">
        <f t="shared" si="206"/>
        <v>0</v>
      </c>
      <c r="U234" s="33">
        <f t="shared" si="207"/>
        <v>0</v>
      </c>
      <c r="V234" s="33">
        <f t="shared" si="208"/>
        <v>0</v>
      </c>
      <c r="W234" s="33">
        <f t="shared" si="209"/>
        <v>0</v>
      </c>
      <c r="X234" s="33">
        <f t="shared" si="210"/>
        <v>0</v>
      </c>
      <c r="Y234" s="33">
        <f t="shared" si="211"/>
        <v>0</v>
      </c>
      <c r="Z234" s="33">
        <f t="shared" si="212"/>
        <v>0</v>
      </c>
      <c r="AA234" s="33">
        <f t="shared" si="213"/>
        <v>0</v>
      </c>
      <c r="AB234" s="33">
        <f t="shared" si="214"/>
        <v>0</v>
      </c>
      <c r="AC234" s="33">
        <f t="shared" si="215"/>
        <v>0</v>
      </c>
      <c r="AD234" s="33">
        <f t="shared" si="216"/>
        <v>0</v>
      </c>
      <c r="AE234" s="33"/>
      <c r="AF234" s="33">
        <f t="shared" si="217"/>
        <v>0</v>
      </c>
      <c r="AG234" s="33"/>
      <c r="AH234" s="33">
        <f t="shared" si="218"/>
        <v>0</v>
      </c>
      <c r="AI234" s="33"/>
      <c r="AJ234" s="33">
        <f t="shared" si="219"/>
        <v>0</v>
      </c>
      <c r="AK234" s="33">
        <f t="shared" si="220"/>
        <v>1200024.1144666206</v>
      </c>
      <c r="AL234" s="30" t="str">
        <f t="shared" si="221"/>
        <v>ok</v>
      </c>
    </row>
    <row r="235" spans="1:38" x14ac:dyDescent="0.25">
      <c r="A235" s="29">
        <v>563</v>
      </c>
      <c r="B235" s="29" t="s">
        <v>761</v>
      </c>
      <c r="C235" s="29" t="s">
        <v>469</v>
      </c>
      <c r="D235" s="14" t="s">
        <v>689</v>
      </c>
      <c r="E235" s="14"/>
      <c r="F235" s="33">
        <f>'Jurisdictional Study'!F1020</f>
        <v>883151.95305194124</v>
      </c>
      <c r="G235" s="32"/>
      <c r="H235" s="33">
        <f t="shared" si="196"/>
        <v>0</v>
      </c>
      <c r="I235" s="33">
        <f t="shared" si="197"/>
        <v>0</v>
      </c>
      <c r="J235" s="33">
        <f t="shared" si="198"/>
        <v>0</v>
      </c>
      <c r="K235" s="33">
        <f t="shared" si="199"/>
        <v>0</v>
      </c>
      <c r="L235" s="33">
        <f t="shared" si="200"/>
        <v>0</v>
      </c>
      <c r="M235" s="33">
        <f t="shared" si="201"/>
        <v>0</v>
      </c>
      <c r="N235" s="33"/>
      <c r="O235" s="33">
        <f t="shared" si="202"/>
        <v>883151.95305194124</v>
      </c>
      <c r="P235" s="33">
        <f t="shared" si="203"/>
        <v>0</v>
      </c>
      <c r="Q235" s="33">
        <f t="shared" si="204"/>
        <v>0</v>
      </c>
      <c r="R235" s="33"/>
      <c r="S235" s="33">
        <f t="shared" si="205"/>
        <v>0</v>
      </c>
      <c r="T235" s="33">
        <f t="shared" si="206"/>
        <v>0</v>
      </c>
      <c r="U235" s="33">
        <f t="shared" si="207"/>
        <v>0</v>
      </c>
      <c r="V235" s="33">
        <f t="shared" si="208"/>
        <v>0</v>
      </c>
      <c r="W235" s="33">
        <f t="shared" si="209"/>
        <v>0</v>
      </c>
      <c r="X235" s="33">
        <f t="shared" si="210"/>
        <v>0</v>
      </c>
      <c r="Y235" s="33">
        <f t="shared" si="211"/>
        <v>0</v>
      </c>
      <c r="Z235" s="33">
        <f t="shared" si="212"/>
        <v>0</v>
      </c>
      <c r="AA235" s="33">
        <f t="shared" si="213"/>
        <v>0</v>
      </c>
      <c r="AB235" s="33">
        <f t="shared" si="214"/>
        <v>0</v>
      </c>
      <c r="AC235" s="33">
        <f t="shared" si="215"/>
        <v>0</v>
      </c>
      <c r="AD235" s="33">
        <f t="shared" si="216"/>
        <v>0</v>
      </c>
      <c r="AE235" s="33"/>
      <c r="AF235" s="33">
        <f t="shared" si="217"/>
        <v>0</v>
      </c>
      <c r="AG235" s="33"/>
      <c r="AH235" s="33">
        <f t="shared" si="218"/>
        <v>0</v>
      </c>
      <c r="AI235" s="33"/>
      <c r="AJ235" s="33">
        <f t="shared" si="219"/>
        <v>0</v>
      </c>
      <c r="AK235" s="33">
        <f t="shared" si="220"/>
        <v>883151.95305194124</v>
      </c>
      <c r="AL235" s="30" t="str">
        <f t="shared" si="221"/>
        <v>ok</v>
      </c>
    </row>
    <row r="236" spans="1:38" x14ac:dyDescent="0.25">
      <c r="A236" s="29">
        <v>565</v>
      </c>
      <c r="B236" s="29" t="s">
        <v>1505</v>
      </c>
      <c r="C236" s="29" t="s">
        <v>1506</v>
      </c>
      <c r="D236" s="14" t="s">
        <v>689</v>
      </c>
      <c r="E236" s="14"/>
      <c r="F236" s="33">
        <f>'Jurisdictional Study'!F1022-249595</f>
        <v>3463756.6706155809</v>
      </c>
      <c r="G236" s="32"/>
      <c r="H236" s="33">
        <f t="shared" si="196"/>
        <v>0</v>
      </c>
      <c r="I236" s="33">
        <f t="shared" si="197"/>
        <v>0</v>
      </c>
      <c r="J236" s="33">
        <f t="shared" si="198"/>
        <v>0</v>
      </c>
      <c r="K236" s="33">
        <f t="shared" si="199"/>
        <v>0</v>
      </c>
      <c r="L236" s="33">
        <f t="shared" si="200"/>
        <v>0</v>
      </c>
      <c r="M236" s="33">
        <f t="shared" si="201"/>
        <v>0</v>
      </c>
      <c r="N236" s="33"/>
      <c r="O236" s="33">
        <f t="shared" si="202"/>
        <v>3463756.6706155809</v>
      </c>
      <c r="P236" s="33">
        <f t="shared" si="203"/>
        <v>0</v>
      </c>
      <c r="Q236" s="33">
        <f t="shared" si="204"/>
        <v>0</v>
      </c>
      <c r="R236" s="33"/>
      <c r="S236" s="33">
        <f t="shared" si="205"/>
        <v>0</v>
      </c>
      <c r="T236" s="33">
        <f t="shared" si="206"/>
        <v>0</v>
      </c>
      <c r="U236" s="33">
        <f t="shared" si="207"/>
        <v>0</v>
      </c>
      <c r="V236" s="33">
        <f t="shared" si="208"/>
        <v>0</v>
      </c>
      <c r="W236" s="33">
        <f t="shared" si="209"/>
        <v>0</v>
      </c>
      <c r="X236" s="33">
        <f t="shared" si="210"/>
        <v>0</v>
      </c>
      <c r="Y236" s="33">
        <f t="shared" si="211"/>
        <v>0</v>
      </c>
      <c r="Z236" s="33">
        <f t="shared" si="212"/>
        <v>0</v>
      </c>
      <c r="AA236" s="33">
        <f t="shared" si="213"/>
        <v>0</v>
      </c>
      <c r="AB236" s="33">
        <f t="shared" si="214"/>
        <v>0</v>
      </c>
      <c r="AC236" s="33">
        <f t="shared" si="215"/>
        <v>0</v>
      </c>
      <c r="AD236" s="33">
        <f t="shared" si="216"/>
        <v>0</v>
      </c>
      <c r="AE236" s="33"/>
      <c r="AF236" s="33">
        <f t="shared" si="217"/>
        <v>0</v>
      </c>
      <c r="AG236" s="33"/>
      <c r="AH236" s="33">
        <f t="shared" si="218"/>
        <v>0</v>
      </c>
      <c r="AI236" s="33"/>
      <c r="AJ236" s="33">
        <f t="shared" si="219"/>
        <v>0</v>
      </c>
      <c r="AK236" s="33">
        <f t="shared" si="220"/>
        <v>3463756.6706155809</v>
      </c>
      <c r="AL236" s="30" t="str">
        <f t="shared" si="221"/>
        <v>ok</v>
      </c>
    </row>
    <row r="237" spans="1:38" x14ac:dyDescent="0.25">
      <c r="A237" s="29">
        <v>566</v>
      </c>
      <c r="B237" s="29" t="s">
        <v>811</v>
      </c>
      <c r="C237" s="29" t="s">
        <v>812</v>
      </c>
      <c r="D237" s="14" t="s">
        <v>454</v>
      </c>
      <c r="E237" s="14"/>
      <c r="F237" s="33">
        <f>'Jurisdictional Study'!F1023</f>
        <v>21086168.160572104</v>
      </c>
      <c r="G237" s="32"/>
      <c r="H237" s="33">
        <f t="shared" si="196"/>
        <v>0</v>
      </c>
      <c r="I237" s="33">
        <f t="shared" si="197"/>
        <v>0</v>
      </c>
      <c r="J237" s="33">
        <f t="shared" si="198"/>
        <v>0</v>
      </c>
      <c r="K237" s="33">
        <f t="shared" si="199"/>
        <v>0</v>
      </c>
      <c r="L237" s="33">
        <f t="shared" si="200"/>
        <v>0</v>
      </c>
      <c r="M237" s="33">
        <f t="shared" si="201"/>
        <v>0</v>
      </c>
      <c r="N237" s="33"/>
      <c r="O237" s="33">
        <f t="shared" si="202"/>
        <v>21086168.160572104</v>
      </c>
      <c r="P237" s="33">
        <f t="shared" si="203"/>
        <v>0</v>
      </c>
      <c r="Q237" s="33">
        <f t="shared" si="204"/>
        <v>0</v>
      </c>
      <c r="R237" s="33"/>
      <c r="S237" s="33">
        <f t="shared" si="205"/>
        <v>0</v>
      </c>
      <c r="T237" s="33">
        <f t="shared" si="206"/>
        <v>0</v>
      </c>
      <c r="U237" s="33">
        <f t="shared" si="207"/>
        <v>0</v>
      </c>
      <c r="V237" s="33">
        <f t="shared" si="208"/>
        <v>0</v>
      </c>
      <c r="W237" s="33">
        <f t="shared" si="209"/>
        <v>0</v>
      </c>
      <c r="X237" s="33">
        <f t="shared" si="210"/>
        <v>0</v>
      </c>
      <c r="Y237" s="33">
        <f t="shared" si="211"/>
        <v>0</v>
      </c>
      <c r="Z237" s="33">
        <f t="shared" si="212"/>
        <v>0</v>
      </c>
      <c r="AA237" s="33">
        <f t="shared" si="213"/>
        <v>0</v>
      </c>
      <c r="AB237" s="33">
        <f t="shared" si="214"/>
        <v>0</v>
      </c>
      <c r="AC237" s="33">
        <f t="shared" si="215"/>
        <v>0</v>
      </c>
      <c r="AD237" s="33">
        <f t="shared" si="216"/>
        <v>0</v>
      </c>
      <c r="AE237" s="33"/>
      <c r="AF237" s="33">
        <f t="shared" si="217"/>
        <v>0</v>
      </c>
      <c r="AG237" s="33"/>
      <c r="AH237" s="33">
        <f t="shared" si="218"/>
        <v>0</v>
      </c>
      <c r="AI237" s="33"/>
      <c r="AJ237" s="33">
        <f t="shared" si="219"/>
        <v>0</v>
      </c>
      <c r="AK237" s="33">
        <f t="shared" si="220"/>
        <v>21086168.160572104</v>
      </c>
      <c r="AL237" s="30" t="str">
        <f t="shared" si="221"/>
        <v>ok</v>
      </c>
    </row>
    <row r="238" spans="1:38" x14ac:dyDescent="0.25">
      <c r="A238" s="29">
        <v>567</v>
      </c>
      <c r="B238" s="29" t="s">
        <v>341</v>
      </c>
      <c r="C238" s="29" t="s">
        <v>1507</v>
      </c>
      <c r="D238" s="14" t="s">
        <v>454</v>
      </c>
      <c r="E238" s="14"/>
      <c r="F238" s="33">
        <f>'Jurisdictional Study'!F1024</f>
        <v>112529.34894111859</v>
      </c>
      <c r="G238" s="32"/>
      <c r="H238" s="33">
        <f t="shared" si="196"/>
        <v>0</v>
      </c>
      <c r="I238" s="33">
        <f t="shared" si="197"/>
        <v>0</v>
      </c>
      <c r="J238" s="33">
        <f t="shared" si="198"/>
        <v>0</v>
      </c>
      <c r="K238" s="33">
        <f t="shared" si="199"/>
        <v>0</v>
      </c>
      <c r="L238" s="33">
        <f t="shared" si="200"/>
        <v>0</v>
      </c>
      <c r="M238" s="33">
        <f t="shared" si="201"/>
        <v>0</v>
      </c>
      <c r="N238" s="33"/>
      <c r="O238" s="33">
        <f t="shared" si="202"/>
        <v>112529.34894111859</v>
      </c>
      <c r="P238" s="33">
        <f t="shared" si="203"/>
        <v>0</v>
      </c>
      <c r="Q238" s="33">
        <f t="shared" si="204"/>
        <v>0</v>
      </c>
      <c r="R238" s="33"/>
      <c r="S238" s="33">
        <f t="shared" si="205"/>
        <v>0</v>
      </c>
      <c r="T238" s="33">
        <f t="shared" si="206"/>
        <v>0</v>
      </c>
      <c r="U238" s="33">
        <f t="shared" si="207"/>
        <v>0</v>
      </c>
      <c r="V238" s="33">
        <f t="shared" si="208"/>
        <v>0</v>
      </c>
      <c r="W238" s="33">
        <f t="shared" si="209"/>
        <v>0</v>
      </c>
      <c r="X238" s="33">
        <f t="shared" si="210"/>
        <v>0</v>
      </c>
      <c r="Y238" s="33">
        <f t="shared" si="211"/>
        <v>0</v>
      </c>
      <c r="Z238" s="33">
        <f t="shared" si="212"/>
        <v>0</v>
      </c>
      <c r="AA238" s="33">
        <f t="shared" si="213"/>
        <v>0</v>
      </c>
      <c r="AB238" s="33">
        <f t="shared" si="214"/>
        <v>0</v>
      </c>
      <c r="AC238" s="33">
        <f t="shared" si="215"/>
        <v>0</v>
      </c>
      <c r="AD238" s="33">
        <f t="shared" si="216"/>
        <v>0</v>
      </c>
      <c r="AE238" s="33"/>
      <c r="AF238" s="33">
        <f t="shared" si="217"/>
        <v>0</v>
      </c>
      <c r="AG238" s="33"/>
      <c r="AH238" s="33">
        <f t="shared" si="218"/>
        <v>0</v>
      </c>
      <c r="AI238" s="33"/>
      <c r="AJ238" s="33">
        <f t="shared" si="219"/>
        <v>0</v>
      </c>
      <c r="AK238" s="33">
        <f t="shared" ref="AK238:AK244" si="222">SUM(H238:AJ238)</f>
        <v>112529.34894111859</v>
      </c>
      <c r="AL238" s="30" t="str">
        <f t="shared" si="221"/>
        <v>ok</v>
      </c>
    </row>
    <row r="239" spans="1:38" x14ac:dyDescent="0.25">
      <c r="A239" s="29">
        <v>568</v>
      </c>
      <c r="B239" s="29" t="s">
        <v>438</v>
      </c>
      <c r="C239" s="29" t="s">
        <v>1256</v>
      </c>
      <c r="D239" s="14" t="s">
        <v>689</v>
      </c>
      <c r="E239" s="14"/>
      <c r="F239" s="33">
        <f>'Jurisdictional Study'!F1027</f>
        <v>0</v>
      </c>
      <c r="G239" s="32"/>
      <c r="H239" s="33">
        <f t="shared" si="196"/>
        <v>0</v>
      </c>
      <c r="I239" s="33">
        <f t="shared" si="197"/>
        <v>0</v>
      </c>
      <c r="J239" s="33">
        <f t="shared" si="198"/>
        <v>0</v>
      </c>
      <c r="K239" s="33">
        <f t="shared" si="199"/>
        <v>0</v>
      </c>
      <c r="L239" s="33">
        <f t="shared" si="200"/>
        <v>0</v>
      </c>
      <c r="M239" s="33">
        <f t="shared" si="201"/>
        <v>0</v>
      </c>
      <c r="N239" s="33"/>
      <c r="O239" s="33">
        <f t="shared" si="202"/>
        <v>0</v>
      </c>
      <c r="P239" s="33">
        <f t="shared" si="203"/>
        <v>0</v>
      </c>
      <c r="Q239" s="33">
        <f t="shared" si="204"/>
        <v>0</v>
      </c>
      <c r="R239" s="33"/>
      <c r="S239" s="33">
        <f t="shared" si="205"/>
        <v>0</v>
      </c>
      <c r="T239" s="33">
        <f t="shared" si="206"/>
        <v>0</v>
      </c>
      <c r="U239" s="33">
        <f t="shared" si="207"/>
        <v>0</v>
      </c>
      <c r="V239" s="33">
        <f t="shared" si="208"/>
        <v>0</v>
      </c>
      <c r="W239" s="33">
        <f t="shared" si="209"/>
        <v>0</v>
      </c>
      <c r="X239" s="33">
        <f t="shared" si="210"/>
        <v>0</v>
      </c>
      <c r="Y239" s="33">
        <f t="shared" si="211"/>
        <v>0</v>
      </c>
      <c r="Z239" s="33">
        <f t="shared" si="212"/>
        <v>0</v>
      </c>
      <c r="AA239" s="33">
        <f t="shared" si="213"/>
        <v>0</v>
      </c>
      <c r="AB239" s="33">
        <f t="shared" si="214"/>
        <v>0</v>
      </c>
      <c r="AC239" s="33">
        <f t="shared" si="215"/>
        <v>0</v>
      </c>
      <c r="AD239" s="33">
        <f t="shared" si="216"/>
        <v>0</v>
      </c>
      <c r="AE239" s="33"/>
      <c r="AF239" s="33">
        <f t="shared" si="217"/>
        <v>0</v>
      </c>
      <c r="AG239" s="33"/>
      <c r="AH239" s="33">
        <f t="shared" si="218"/>
        <v>0</v>
      </c>
      <c r="AI239" s="33"/>
      <c r="AJ239" s="33">
        <f t="shared" si="219"/>
        <v>0</v>
      </c>
      <c r="AK239" s="33">
        <f t="shared" si="222"/>
        <v>0</v>
      </c>
      <c r="AL239" s="30" t="str">
        <f t="shared" si="221"/>
        <v>ok</v>
      </c>
    </row>
    <row r="240" spans="1:38" x14ac:dyDescent="0.25">
      <c r="A240" s="29">
        <v>569</v>
      </c>
      <c r="B240" s="29" t="s">
        <v>1508</v>
      </c>
      <c r="C240" s="29" t="s">
        <v>1509</v>
      </c>
      <c r="D240" s="14" t="s">
        <v>689</v>
      </c>
      <c r="E240" s="14"/>
      <c r="F240" s="33">
        <f>'Jurisdictional Study'!F1028</f>
        <v>0</v>
      </c>
      <c r="G240" s="32"/>
      <c r="H240" s="33">
        <f t="shared" si="196"/>
        <v>0</v>
      </c>
      <c r="I240" s="33">
        <f t="shared" si="197"/>
        <v>0</v>
      </c>
      <c r="J240" s="33">
        <f t="shared" si="198"/>
        <v>0</v>
      </c>
      <c r="K240" s="33">
        <f t="shared" si="199"/>
        <v>0</v>
      </c>
      <c r="L240" s="33">
        <f t="shared" si="200"/>
        <v>0</v>
      </c>
      <c r="M240" s="33">
        <f t="shared" si="201"/>
        <v>0</v>
      </c>
      <c r="N240" s="33"/>
      <c r="O240" s="33">
        <f t="shared" si="202"/>
        <v>0</v>
      </c>
      <c r="P240" s="33">
        <f t="shared" si="203"/>
        <v>0</v>
      </c>
      <c r="Q240" s="33">
        <f t="shared" si="204"/>
        <v>0</v>
      </c>
      <c r="R240" s="33"/>
      <c r="S240" s="33">
        <f t="shared" si="205"/>
        <v>0</v>
      </c>
      <c r="T240" s="33">
        <f t="shared" si="206"/>
        <v>0</v>
      </c>
      <c r="U240" s="33">
        <f t="shared" si="207"/>
        <v>0</v>
      </c>
      <c r="V240" s="33">
        <f t="shared" si="208"/>
        <v>0</v>
      </c>
      <c r="W240" s="33">
        <f t="shared" si="209"/>
        <v>0</v>
      </c>
      <c r="X240" s="33">
        <f t="shared" si="210"/>
        <v>0</v>
      </c>
      <c r="Y240" s="33">
        <f t="shared" si="211"/>
        <v>0</v>
      </c>
      <c r="Z240" s="33">
        <f t="shared" si="212"/>
        <v>0</v>
      </c>
      <c r="AA240" s="33">
        <f t="shared" si="213"/>
        <v>0</v>
      </c>
      <c r="AB240" s="33">
        <f t="shared" si="214"/>
        <v>0</v>
      </c>
      <c r="AC240" s="33">
        <f t="shared" si="215"/>
        <v>0</v>
      </c>
      <c r="AD240" s="33">
        <f t="shared" si="216"/>
        <v>0</v>
      </c>
      <c r="AE240" s="33"/>
      <c r="AF240" s="33">
        <f t="shared" si="217"/>
        <v>0</v>
      </c>
      <c r="AG240" s="33"/>
      <c r="AH240" s="33">
        <f t="shared" si="218"/>
        <v>0</v>
      </c>
      <c r="AI240" s="33"/>
      <c r="AJ240" s="33">
        <f t="shared" si="219"/>
        <v>0</v>
      </c>
      <c r="AK240" s="33">
        <f t="shared" si="222"/>
        <v>0</v>
      </c>
      <c r="AL240" s="30" t="str">
        <f t="shared" si="221"/>
        <v>ok</v>
      </c>
    </row>
    <row r="241" spans="1:39" x14ac:dyDescent="0.25">
      <c r="A241" s="29">
        <v>570</v>
      </c>
      <c r="B241" s="29" t="s">
        <v>440</v>
      </c>
      <c r="C241" s="29" t="s">
        <v>1257</v>
      </c>
      <c r="D241" s="14" t="s">
        <v>689</v>
      </c>
      <c r="E241" s="14"/>
      <c r="F241" s="33">
        <f>'Jurisdictional Study'!F1029</f>
        <v>1773674.1636164705</v>
      </c>
      <c r="G241" s="32"/>
      <c r="H241" s="33">
        <f t="shared" si="196"/>
        <v>0</v>
      </c>
      <c r="I241" s="33">
        <f t="shared" si="197"/>
        <v>0</v>
      </c>
      <c r="J241" s="33">
        <f t="shared" si="198"/>
        <v>0</v>
      </c>
      <c r="K241" s="33">
        <f t="shared" si="199"/>
        <v>0</v>
      </c>
      <c r="L241" s="33">
        <f t="shared" si="200"/>
        <v>0</v>
      </c>
      <c r="M241" s="33">
        <f t="shared" si="201"/>
        <v>0</v>
      </c>
      <c r="N241" s="33"/>
      <c r="O241" s="33">
        <f t="shared" si="202"/>
        <v>1773674.1636164705</v>
      </c>
      <c r="P241" s="33">
        <f t="shared" si="203"/>
        <v>0</v>
      </c>
      <c r="Q241" s="33">
        <f t="shared" si="204"/>
        <v>0</v>
      </c>
      <c r="R241" s="33"/>
      <c r="S241" s="33">
        <f t="shared" si="205"/>
        <v>0</v>
      </c>
      <c r="T241" s="33">
        <f t="shared" si="206"/>
        <v>0</v>
      </c>
      <c r="U241" s="33">
        <f t="shared" si="207"/>
        <v>0</v>
      </c>
      <c r="V241" s="33">
        <f t="shared" si="208"/>
        <v>0</v>
      </c>
      <c r="W241" s="33">
        <f t="shared" si="209"/>
        <v>0</v>
      </c>
      <c r="X241" s="33">
        <f t="shared" si="210"/>
        <v>0</v>
      </c>
      <c r="Y241" s="33">
        <f t="shared" si="211"/>
        <v>0</v>
      </c>
      <c r="Z241" s="33">
        <f t="shared" si="212"/>
        <v>0</v>
      </c>
      <c r="AA241" s="33">
        <f t="shared" si="213"/>
        <v>0</v>
      </c>
      <c r="AB241" s="33">
        <f t="shared" si="214"/>
        <v>0</v>
      </c>
      <c r="AC241" s="33">
        <f t="shared" si="215"/>
        <v>0</v>
      </c>
      <c r="AD241" s="33">
        <f t="shared" si="216"/>
        <v>0</v>
      </c>
      <c r="AE241" s="33"/>
      <c r="AF241" s="33">
        <f t="shared" si="217"/>
        <v>0</v>
      </c>
      <c r="AG241" s="33"/>
      <c r="AH241" s="33">
        <f t="shared" si="218"/>
        <v>0</v>
      </c>
      <c r="AI241" s="33"/>
      <c r="AJ241" s="33">
        <f t="shared" si="219"/>
        <v>0</v>
      </c>
      <c r="AK241" s="33">
        <f t="shared" si="222"/>
        <v>1773674.1636164705</v>
      </c>
      <c r="AL241" s="30" t="str">
        <f t="shared" si="221"/>
        <v>ok</v>
      </c>
    </row>
    <row r="242" spans="1:39" x14ac:dyDescent="0.25">
      <c r="A242" s="29">
        <v>571</v>
      </c>
      <c r="B242" s="29" t="s">
        <v>441</v>
      </c>
      <c r="C242" s="29" t="s">
        <v>1258</v>
      </c>
      <c r="D242" s="14" t="s">
        <v>689</v>
      </c>
      <c r="E242" s="14"/>
      <c r="F242" s="33">
        <f>'Jurisdictional Study'!F1030</f>
        <v>12345181.865158921</v>
      </c>
      <c r="G242" s="32"/>
      <c r="H242" s="33">
        <f t="shared" si="196"/>
        <v>0</v>
      </c>
      <c r="I242" s="33">
        <f t="shared" si="197"/>
        <v>0</v>
      </c>
      <c r="J242" s="33">
        <f t="shared" si="198"/>
        <v>0</v>
      </c>
      <c r="K242" s="33">
        <f t="shared" si="199"/>
        <v>0</v>
      </c>
      <c r="L242" s="33">
        <f t="shared" si="200"/>
        <v>0</v>
      </c>
      <c r="M242" s="33">
        <f t="shared" si="201"/>
        <v>0</v>
      </c>
      <c r="N242" s="33"/>
      <c r="O242" s="33">
        <f t="shared" si="202"/>
        <v>12345181.865158921</v>
      </c>
      <c r="P242" s="33">
        <f t="shared" si="203"/>
        <v>0</v>
      </c>
      <c r="Q242" s="33">
        <f t="shared" si="204"/>
        <v>0</v>
      </c>
      <c r="R242" s="33"/>
      <c r="S242" s="33">
        <f t="shared" si="205"/>
        <v>0</v>
      </c>
      <c r="T242" s="33">
        <f t="shared" si="206"/>
        <v>0</v>
      </c>
      <c r="U242" s="33">
        <f t="shared" si="207"/>
        <v>0</v>
      </c>
      <c r="V242" s="33">
        <f t="shared" si="208"/>
        <v>0</v>
      </c>
      <c r="W242" s="33">
        <f t="shared" si="209"/>
        <v>0</v>
      </c>
      <c r="X242" s="33">
        <f t="shared" si="210"/>
        <v>0</v>
      </c>
      <c r="Y242" s="33">
        <f t="shared" si="211"/>
        <v>0</v>
      </c>
      <c r="Z242" s="33">
        <f t="shared" si="212"/>
        <v>0</v>
      </c>
      <c r="AA242" s="33">
        <f t="shared" si="213"/>
        <v>0</v>
      </c>
      <c r="AB242" s="33">
        <f t="shared" si="214"/>
        <v>0</v>
      </c>
      <c r="AC242" s="33">
        <f t="shared" si="215"/>
        <v>0</v>
      </c>
      <c r="AD242" s="33">
        <f t="shared" si="216"/>
        <v>0</v>
      </c>
      <c r="AE242" s="33"/>
      <c r="AF242" s="33">
        <f t="shared" si="217"/>
        <v>0</v>
      </c>
      <c r="AG242" s="33"/>
      <c r="AH242" s="33">
        <f t="shared" si="218"/>
        <v>0</v>
      </c>
      <c r="AI242" s="33"/>
      <c r="AJ242" s="33">
        <f t="shared" si="219"/>
        <v>0</v>
      </c>
      <c r="AK242" s="33">
        <f t="shared" si="222"/>
        <v>12345181.865158921</v>
      </c>
      <c r="AL242" s="30" t="str">
        <f t="shared" si="221"/>
        <v>ok</v>
      </c>
    </row>
    <row r="243" spans="1:39" x14ac:dyDescent="0.25">
      <c r="A243" s="29">
        <v>572</v>
      </c>
      <c r="B243" s="29" t="s">
        <v>1510</v>
      </c>
      <c r="C243" s="29" t="s">
        <v>1511</v>
      </c>
      <c r="D243" s="14" t="s">
        <v>689</v>
      </c>
      <c r="E243" s="14"/>
      <c r="F243" s="33">
        <f>'Jurisdictional Study'!F1031</f>
        <v>0</v>
      </c>
      <c r="G243" s="32"/>
      <c r="H243" s="33">
        <f t="shared" si="196"/>
        <v>0</v>
      </c>
      <c r="I243" s="33">
        <f t="shared" si="197"/>
        <v>0</v>
      </c>
      <c r="J243" s="33">
        <f t="shared" si="198"/>
        <v>0</v>
      </c>
      <c r="K243" s="33">
        <f t="shared" si="199"/>
        <v>0</v>
      </c>
      <c r="L243" s="33">
        <f t="shared" si="200"/>
        <v>0</v>
      </c>
      <c r="M243" s="33">
        <f t="shared" si="201"/>
        <v>0</v>
      </c>
      <c r="N243" s="33"/>
      <c r="O243" s="33">
        <f t="shared" si="202"/>
        <v>0</v>
      </c>
      <c r="P243" s="33">
        <f t="shared" si="203"/>
        <v>0</v>
      </c>
      <c r="Q243" s="33">
        <f t="shared" si="204"/>
        <v>0</v>
      </c>
      <c r="R243" s="33"/>
      <c r="S243" s="33">
        <f t="shared" si="205"/>
        <v>0</v>
      </c>
      <c r="T243" s="33">
        <f t="shared" si="206"/>
        <v>0</v>
      </c>
      <c r="U243" s="33">
        <f t="shared" si="207"/>
        <v>0</v>
      </c>
      <c r="V243" s="33">
        <f t="shared" si="208"/>
        <v>0</v>
      </c>
      <c r="W243" s="33">
        <f t="shared" si="209"/>
        <v>0</v>
      </c>
      <c r="X243" s="33">
        <f t="shared" si="210"/>
        <v>0</v>
      </c>
      <c r="Y243" s="33">
        <f t="shared" si="211"/>
        <v>0</v>
      </c>
      <c r="Z243" s="33">
        <f t="shared" si="212"/>
        <v>0</v>
      </c>
      <c r="AA243" s="33">
        <f t="shared" si="213"/>
        <v>0</v>
      </c>
      <c r="AB243" s="33">
        <f t="shared" si="214"/>
        <v>0</v>
      </c>
      <c r="AC243" s="33">
        <f t="shared" si="215"/>
        <v>0</v>
      </c>
      <c r="AD243" s="33">
        <f t="shared" si="216"/>
        <v>0</v>
      </c>
      <c r="AE243" s="33"/>
      <c r="AF243" s="33">
        <f t="shared" si="217"/>
        <v>0</v>
      </c>
      <c r="AG243" s="33"/>
      <c r="AH243" s="33">
        <f t="shared" si="218"/>
        <v>0</v>
      </c>
      <c r="AI243" s="33"/>
      <c r="AJ243" s="33">
        <f t="shared" si="219"/>
        <v>0</v>
      </c>
      <c r="AK243" s="33">
        <f t="shared" si="222"/>
        <v>0</v>
      </c>
      <c r="AL243" s="30" t="str">
        <f t="shared" si="221"/>
        <v>ok</v>
      </c>
    </row>
    <row r="244" spans="1:39" x14ac:dyDescent="0.25">
      <c r="A244" s="29">
        <v>573</v>
      </c>
      <c r="B244" s="29" t="s">
        <v>1512</v>
      </c>
      <c r="C244" s="29" t="s">
        <v>1513</v>
      </c>
      <c r="D244" s="14" t="s">
        <v>454</v>
      </c>
      <c r="E244" s="14"/>
      <c r="F244" s="33">
        <f>'Jurisdictional Study'!F1032</f>
        <v>295004.13546821114</v>
      </c>
      <c r="G244" s="32"/>
      <c r="H244" s="33">
        <f t="shared" si="196"/>
        <v>0</v>
      </c>
      <c r="I244" s="33">
        <f t="shared" si="197"/>
        <v>0</v>
      </c>
      <c r="J244" s="33">
        <f t="shared" si="198"/>
        <v>0</v>
      </c>
      <c r="K244" s="33">
        <f t="shared" si="199"/>
        <v>0</v>
      </c>
      <c r="L244" s="33">
        <f t="shared" si="200"/>
        <v>0</v>
      </c>
      <c r="M244" s="33">
        <f t="shared" si="201"/>
        <v>0</v>
      </c>
      <c r="N244" s="33"/>
      <c r="O244" s="33">
        <f t="shared" si="202"/>
        <v>295004.13546821114</v>
      </c>
      <c r="P244" s="33">
        <f t="shared" si="203"/>
        <v>0</v>
      </c>
      <c r="Q244" s="33">
        <f t="shared" si="204"/>
        <v>0</v>
      </c>
      <c r="R244" s="33"/>
      <c r="S244" s="33">
        <f t="shared" si="205"/>
        <v>0</v>
      </c>
      <c r="T244" s="33">
        <f t="shared" si="206"/>
        <v>0</v>
      </c>
      <c r="U244" s="33">
        <f t="shared" si="207"/>
        <v>0</v>
      </c>
      <c r="V244" s="33">
        <f t="shared" si="208"/>
        <v>0</v>
      </c>
      <c r="W244" s="33">
        <f t="shared" si="209"/>
        <v>0</v>
      </c>
      <c r="X244" s="33">
        <f t="shared" si="210"/>
        <v>0</v>
      </c>
      <c r="Y244" s="33">
        <f t="shared" si="211"/>
        <v>0</v>
      </c>
      <c r="Z244" s="33">
        <f t="shared" si="212"/>
        <v>0</v>
      </c>
      <c r="AA244" s="33">
        <f t="shared" si="213"/>
        <v>0</v>
      </c>
      <c r="AB244" s="33">
        <f t="shared" si="214"/>
        <v>0</v>
      </c>
      <c r="AC244" s="33">
        <f t="shared" si="215"/>
        <v>0</v>
      </c>
      <c r="AD244" s="33">
        <f t="shared" si="216"/>
        <v>0</v>
      </c>
      <c r="AE244" s="33"/>
      <c r="AF244" s="33">
        <f t="shared" si="217"/>
        <v>0</v>
      </c>
      <c r="AG244" s="33"/>
      <c r="AH244" s="33">
        <f t="shared" si="218"/>
        <v>0</v>
      </c>
      <c r="AI244" s="33"/>
      <c r="AJ244" s="33">
        <f t="shared" si="219"/>
        <v>0</v>
      </c>
      <c r="AK244" s="33">
        <f t="shared" si="222"/>
        <v>295004.13546821114</v>
      </c>
      <c r="AL244" s="30" t="str">
        <f t="shared" si="221"/>
        <v>ok</v>
      </c>
    </row>
    <row r="245" spans="1:39" x14ac:dyDescent="0.25">
      <c r="A245" s="29">
        <v>575</v>
      </c>
      <c r="B245" s="29" t="s">
        <v>542</v>
      </c>
      <c r="C245" s="29" t="s">
        <v>712</v>
      </c>
      <c r="D245" s="14" t="s">
        <v>454</v>
      </c>
      <c r="E245" s="14"/>
      <c r="F245" s="33">
        <f>'Jurisdictional Study'!F1025</f>
        <v>0</v>
      </c>
      <c r="G245" s="32"/>
      <c r="H245" s="33">
        <f t="shared" si="196"/>
        <v>0</v>
      </c>
      <c r="I245" s="33">
        <f t="shared" si="197"/>
        <v>0</v>
      </c>
      <c r="J245" s="33">
        <f t="shared" si="198"/>
        <v>0</v>
      </c>
      <c r="K245" s="33">
        <f t="shared" si="199"/>
        <v>0</v>
      </c>
      <c r="L245" s="33">
        <f t="shared" si="200"/>
        <v>0</v>
      </c>
      <c r="M245" s="33">
        <f t="shared" si="201"/>
        <v>0</v>
      </c>
      <c r="N245" s="33"/>
      <c r="O245" s="33">
        <f t="shared" si="202"/>
        <v>0</v>
      </c>
      <c r="P245" s="33">
        <f t="shared" si="203"/>
        <v>0</v>
      </c>
      <c r="Q245" s="33">
        <f t="shared" si="204"/>
        <v>0</v>
      </c>
      <c r="R245" s="33"/>
      <c r="S245" s="33">
        <f t="shared" si="205"/>
        <v>0</v>
      </c>
      <c r="T245" s="33">
        <f t="shared" si="206"/>
        <v>0</v>
      </c>
      <c r="U245" s="33">
        <f t="shared" si="207"/>
        <v>0</v>
      </c>
      <c r="V245" s="33">
        <f t="shared" si="208"/>
        <v>0</v>
      </c>
      <c r="W245" s="33">
        <f t="shared" si="209"/>
        <v>0</v>
      </c>
      <c r="X245" s="33">
        <f t="shared" si="210"/>
        <v>0</v>
      </c>
      <c r="Y245" s="33">
        <f t="shared" si="211"/>
        <v>0</v>
      </c>
      <c r="Z245" s="33">
        <f t="shared" si="212"/>
        <v>0</v>
      </c>
      <c r="AA245" s="33">
        <f t="shared" si="213"/>
        <v>0</v>
      </c>
      <c r="AB245" s="33">
        <f t="shared" si="214"/>
        <v>0</v>
      </c>
      <c r="AC245" s="33">
        <f t="shared" si="215"/>
        <v>0</v>
      </c>
      <c r="AD245" s="33">
        <f t="shared" si="216"/>
        <v>0</v>
      </c>
      <c r="AE245" s="33"/>
      <c r="AF245" s="33">
        <f t="shared" si="217"/>
        <v>0</v>
      </c>
      <c r="AG245" s="33"/>
      <c r="AH245" s="33">
        <f t="shared" si="218"/>
        <v>0</v>
      </c>
      <c r="AI245" s="33"/>
      <c r="AJ245" s="33">
        <f t="shared" si="219"/>
        <v>0</v>
      </c>
      <c r="AK245" s="33">
        <f>SUM(H245:AJ245)</f>
        <v>0</v>
      </c>
      <c r="AL245" s="30" t="str">
        <f>IF(ABS(AK245-F245)&lt;1,"ok","err")</f>
        <v>ok</v>
      </c>
    </row>
    <row r="246" spans="1:39" x14ac:dyDescent="0.25">
      <c r="D246" s="14"/>
      <c r="E246" s="14"/>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3"/>
      <c r="AL246" s="30"/>
    </row>
    <row r="247" spans="1:39" x14ac:dyDescent="0.25">
      <c r="A247" s="29" t="s">
        <v>442</v>
      </c>
      <c r="D247" s="14"/>
      <c r="E247" s="14"/>
      <c r="F247" s="34">
        <f>SUM(F232:F245)</f>
        <v>46285770.355644226</v>
      </c>
      <c r="G247" s="34">
        <f>SUM(G232:G242)</f>
        <v>0</v>
      </c>
      <c r="H247" s="34">
        <f t="shared" ref="H247:M247" si="223">SUM(H232:H245)</f>
        <v>0</v>
      </c>
      <c r="I247" s="34">
        <f t="shared" si="223"/>
        <v>0</v>
      </c>
      <c r="J247" s="34">
        <f t="shared" si="223"/>
        <v>0</v>
      </c>
      <c r="K247" s="34">
        <f t="shared" si="223"/>
        <v>0</v>
      </c>
      <c r="L247" s="34">
        <f t="shared" si="223"/>
        <v>0</v>
      </c>
      <c r="M247" s="34">
        <f t="shared" si="223"/>
        <v>0</v>
      </c>
      <c r="N247" s="34"/>
      <c r="O247" s="34">
        <f>SUM(O232:O245)</f>
        <v>46285770.355644226</v>
      </c>
      <c r="P247" s="34">
        <f>SUM(P232:P245)</f>
        <v>0</v>
      </c>
      <c r="Q247" s="34">
        <f>SUM(Q232:Q245)</f>
        <v>0</v>
      </c>
      <c r="R247" s="34"/>
      <c r="S247" s="34">
        <f t="shared" ref="S247:AD247" si="224">SUM(S232:S245)</f>
        <v>0</v>
      </c>
      <c r="T247" s="34">
        <f t="shared" si="224"/>
        <v>0</v>
      </c>
      <c r="U247" s="34">
        <f t="shared" si="224"/>
        <v>0</v>
      </c>
      <c r="V247" s="34">
        <f t="shared" si="224"/>
        <v>0</v>
      </c>
      <c r="W247" s="34">
        <f t="shared" si="224"/>
        <v>0</v>
      </c>
      <c r="X247" s="34">
        <f t="shared" si="224"/>
        <v>0</v>
      </c>
      <c r="Y247" s="34">
        <f t="shared" si="224"/>
        <v>0</v>
      </c>
      <c r="Z247" s="34">
        <f t="shared" si="224"/>
        <v>0</v>
      </c>
      <c r="AA247" s="34">
        <f t="shared" si="224"/>
        <v>0</v>
      </c>
      <c r="AB247" s="34">
        <f t="shared" si="224"/>
        <v>0</v>
      </c>
      <c r="AC247" s="34">
        <f t="shared" si="224"/>
        <v>0</v>
      </c>
      <c r="AD247" s="34">
        <f t="shared" si="224"/>
        <v>0</v>
      </c>
      <c r="AE247" s="34"/>
      <c r="AF247" s="34">
        <f>SUM(AF232:AF245)</f>
        <v>0</v>
      </c>
      <c r="AG247" s="34"/>
      <c r="AH247" s="34">
        <f>SUM(AH232:AH245)</f>
        <v>0</v>
      </c>
      <c r="AI247" s="34"/>
      <c r="AJ247" s="34">
        <f>SUM(AJ232:AJ245)</f>
        <v>0</v>
      </c>
      <c r="AK247" s="32">
        <f>SUM(H247:AJ247)</f>
        <v>46285770.355644226</v>
      </c>
      <c r="AL247" s="30" t="str">
        <f>IF(ABS(AK247-F247)&lt;1,"ok","err")</f>
        <v>ok</v>
      </c>
      <c r="AM247" s="41"/>
    </row>
    <row r="248" spans="1:39" x14ac:dyDescent="0.25">
      <c r="D248" s="14"/>
      <c r="E248" s="14"/>
      <c r="Y248" s="29"/>
      <c r="AL248" s="30"/>
    </row>
    <row r="249" spans="1:39" x14ac:dyDescent="0.25">
      <c r="A249" s="4" t="s">
        <v>756</v>
      </c>
      <c r="D249" s="14"/>
      <c r="E249" s="14"/>
      <c r="Y249" s="29"/>
      <c r="AL249" s="30"/>
    </row>
    <row r="250" spans="1:39" x14ac:dyDescent="0.25">
      <c r="A250" s="29">
        <v>580</v>
      </c>
      <c r="B250" s="29" t="s">
        <v>757</v>
      </c>
      <c r="C250" s="29" t="s">
        <v>758</v>
      </c>
      <c r="D250" s="14" t="s">
        <v>946</v>
      </c>
      <c r="E250" s="14"/>
      <c r="F250" s="32">
        <f>'Jurisdictional Study'!F1038</f>
        <v>1881212.4788570732</v>
      </c>
      <c r="H250" s="33">
        <f t="shared" ref="H250:H261" si="225">IF(VLOOKUP($D250,$C$5:$AJ$596,6,)=0,0,((VLOOKUP($D250,$C$5:$AJ$596,6,)/VLOOKUP($D250,$C$5:$AJ$596,4,))*$F250))</f>
        <v>0</v>
      </c>
      <c r="I250" s="33">
        <f t="shared" ref="I250:I261" si="226">IF(VLOOKUP($D250,$C$5:$AJ$596,7,)=0,0,((VLOOKUP($D250,$C$5:$AJ$596,7,)/VLOOKUP($D250,$C$5:$AJ$596,4,))*$F250))</f>
        <v>0</v>
      </c>
      <c r="J250" s="33">
        <f t="shared" ref="J250:J261" si="227">IF(VLOOKUP($D250,$C$5:$AJ$596,8,)=0,0,((VLOOKUP($D250,$C$5:$AJ$596,8,)/VLOOKUP($D250,$C$5:$AJ$596,4,))*$F250))</f>
        <v>0</v>
      </c>
      <c r="K250" s="33">
        <f t="shared" ref="K250:K261" si="228">IF(VLOOKUP($D250,$C$5:$AJ$596,9,)=0,0,((VLOOKUP($D250,$C$5:$AJ$596,9,)/VLOOKUP($D250,$C$5:$AJ$596,4,))*$F250))</f>
        <v>0</v>
      </c>
      <c r="L250" s="33">
        <f t="shared" ref="L250:L261" si="229">IF(VLOOKUP($D250,$C$5:$AJ$596,10,)=0,0,((VLOOKUP($D250,$C$5:$AJ$596,10,)/VLOOKUP($D250,$C$5:$AJ$596,4,))*$F250))</f>
        <v>0</v>
      </c>
      <c r="M250" s="33">
        <f t="shared" ref="M250:M261" si="230">IF(VLOOKUP($D250,$C$5:$AJ$596,11,)=0,0,((VLOOKUP($D250,$C$5:$AJ$596,11,)/VLOOKUP($D250,$C$5:$AJ$596,4,))*$F250))</f>
        <v>0</v>
      </c>
      <c r="N250" s="33"/>
      <c r="O250" s="33">
        <f t="shared" ref="O250:O261" si="231">IF(VLOOKUP($D250,$C$5:$AJ$596,13,)=0,0,((VLOOKUP($D250,$C$5:$AJ$596,13,)/VLOOKUP($D250,$C$5:$AJ$596,4,))*$F250))</f>
        <v>0</v>
      </c>
      <c r="P250" s="33">
        <f t="shared" ref="P250:P261" si="232">IF(VLOOKUP($D250,$C$5:$AJ$596,14,)=0,0,((VLOOKUP($D250,$C$5:$AJ$596,14,)/VLOOKUP($D250,$C$5:$AJ$596,4,))*$F250))</f>
        <v>0</v>
      </c>
      <c r="Q250" s="33">
        <f t="shared" ref="Q250:Q261" si="233">IF(VLOOKUP($D250,$C$5:$AJ$596,15,)=0,0,((VLOOKUP($D250,$C$5:$AJ$596,15,)/VLOOKUP($D250,$C$5:$AJ$596,4,))*$F250))</f>
        <v>0</v>
      </c>
      <c r="R250" s="33"/>
      <c r="S250" s="33">
        <f t="shared" ref="S250:S261" si="234">IF(VLOOKUP($D250,$C$5:$AJ$596,17,)=0,0,((VLOOKUP($D250,$C$5:$AJ$596,17,)/VLOOKUP($D250,$C$5:$AJ$596,4,))*$F250))</f>
        <v>0</v>
      </c>
      <c r="T250" s="33">
        <f t="shared" ref="T250:T261" si="235">IF(VLOOKUP($D250,$C$5:$AJ$596,18,)=0,0,((VLOOKUP($D250,$C$5:$AJ$596,18,)/VLOOKUP($D250,$C$5:$AJ$596,4,))*$F250))</f>
        <v>293111.11287471198</v>
      </c>
      <c r="U250" s="33">
        <f t="shared" ref="U250:U261" si="236">IF(VLOOKUP($D250,$C$5:$AJ$596,19,)=0,0,((VLOOKUP($D250,$C$5:$AJ$596,19,)/VLOOKUP($D250,$C$5:$AJ$596,4,))*$F250))</f>
        <v>0</v>
      </c>
      <c r="V250" s="33">
        <f t="shared" ref="V250:V261" si="237">IF(VLOOKUP($D250,$C$5:$AJ$596,20,)=0,0,((VLOOKUP($D250,$C$5:$AJ$596,20,)/VLOOKUP($D250,$C$5:$AJ$596,4,))*$F250))</f>
        <v>155326.77440543909</v>
      </c>
      <c r="W250" s="33">
        <f t="shared" ref="W250:W261" si="238">IF(VLOOKUP($D250,$C$5:$AJ$596,21,)=0,0,((VLOOKUP($D250,$C$5:$AJ$596,21,)/VLOOKUP($D250,$C$5:$AJ$596,4,))*$F250))</f>
        <v>266410.70422218053</v>
      </c>
      <c r="X250" s="33">
        <f t="shared" ref="X250:X261" si="239">IF(VLOOKUP($D250,$C$5:$AJ$596,22,)=0,0,((VLOOKUP($D250,$C$5:$AJ$596,22,)/VLOOKUP($D250,$C$5:$AJ$596,4,))*$F250))</f>
        <v>85544.847655978112</v>
      </c>
      <c r="Y250" s="33">
        <f t="shared" ref="Y250:Y261" si="240">IF(VLOOKUP($D250,$C$5:$AJ$596,23,)=0,0,((VLOOKUP($D250,$C$5:$AJ$596,23,)/VLOOKUP($D250,$C$5:$AJ$596,4,))*$F250))</f>
        <v>145676.97802792757</v>
      </c>
      <c r="Z250" s="33">
        <f t="shared" ref="Z250:Z261" si="241">IF(VLOOKUP($D250,$C$5:$AJ$596,24,)=0,0,((VLOOKUP($D250,$C$5:$AJ$596,24,)/VLOOKUP($D250,$C$5:$AJ$596,4,))*$F250))</f>
        <v>43922.901305323176</v>
      </c>
      <c r="AA250" s="33">
        <f t="shared" ref="AA250:AA261" si="242">IF(VLOOKUP($D250,$C$5:$AJ$596,25,)=0,0,((VLOOKUP($D250,$C$5:$AJ$596,25,)/VLOOKUP($D250,$C$5:$AJ$596,4,))*$F250))</f>
        <v>38092.221433210405</v>
      </c>
      <c r="AB250" s="33">
        <f t="shared" ref="AB250:AB261" si="243">IF(VLOOKUP($D250,$C$5:$AJ$596,26,)=0,0,((VLOOKUP($D250,$C$5:$AJ$596,26,)/VLOOKUP($D250,$C$5:$AJ$596,4,))*$F250))</f>
        <v>28207.212227485441</v>
      </c>
      <c r="AC250" s="33">
        <f t="shared" ref="AC250:AC261" si="244">IF(VLOOKUP($D250,$C$5:$AJ$596,27,)=0,0,((VLOOKUP($D250,$C$5:$AJ$596,27,)/VLOOKUP($D250,$C$5:$AJ$596,4,))*$F250))</f>
        <v>791892.7440970887</v>
      </c>
      <c r="AD250" s="33">
        <f t="shared" ref="AD250:AD261" si="245">IF(VLOOKUP($D250,$C$5:$AJ$596,28,)=0,0,((VLOOKUP($D250,$C$5:$AJ$596,28,)/VLOOKUP($D250,$C$5:$AJ$596,4,))*$F250))</f>
        <v>33026.982607728132</v>
      </c>
      <c r="AE250" s="33"/>
      <c r="AF250" s="33">
        <f t="shared" ref="AF250:AF261" si="246">IF(VLOOKUP($D250,$C$5:$AJ$596,30,)=0,0,((VLOOKUP($D250,$C$5:$AJ$596,30,)/VLOOKUP($D250,$C$5:$AJ$596,4,))*$F250))</f>
        <v>0</v>
      </c>
      <c r="AG250" s="33"/>
      <c r="AH250" s="33">
        <f t="shared" ref="AH250:AH261" si="247">IF(VLOOKUP($D250,$C$5:$AJ$596,32,)=0,0,((VLOOKUP($D250,$C$5:$AJ$596,32,)/VLOOKUP($D250,$C$5:$AJ$596,4,))*$F250))</f>
        <v>0</v>
      </c>
      <c r="AI250" s="33"/>
      <c r="AJ250" s="33">
        <f t="shared" ref="AJ250:AJ261" si="248">IF(VLOOKUP($D250,$C$5:$AJ$596,34,)=0,0,((VLOOKUP($D250,$C$5:$AJ$596,34,)/VLOOKUP($D250,$C$5:$AJ$596,4,))*$F250))</f>
        <v>0</v>
      </c>
      <c r="AK250" s="33">
        <f t="shared" ref="AK250:AK261" si="249">SUM(H250:AJ250)</f>
        <v>1881212.478857073</v>
      </c>
      <c r="AL250" s="30" t="str">
        <f t="shared" ref="AL250:AL261" si="250">IF(ABS(AK250-F250)&lt;1,"ok","err")</f>
        <v>ok</v>
      </c>
    </row>
    <row r="251" spans="1:39" x14ac:dyDescent="0.25">
      <c r="A251" s="29">
        <v>581</v>
      </c>
      <c r="B251" s="29" t="s">
        <v>759</v>
      </c>
      <c r="C251" s="29" t="s">
        <v>760</v>
      </c>
      <c r="D251" s="14" t="s">
        <v>113</v>
      </c>
      <c r="E251" s="14"/>
      <c r="F251" s="33">
        <f>'Jurisdictional Study'!F1039</f>
        <v>356173.72031329595</v>
      </c>
      <c r="H251" s="33">
        <f t="shared" si="225"/>
        <v>0</v>
      </c>
      <c r="I251" s="33">
        <f t="shared" si="226"/>
        <v>0</v>
      </c>
      <c r="J251" s="33">
        <f t="shared" si="227"/>
        <v>0</v>
      </c>
      <c r="K251" s="33">
        <f t="shared" si="228"/>
        <v>0</v>
      </c>
      <c r="L251" s="33">
        <f t="shared" si="229"/>
        <v>0</v>
      </c>
      <c r="M251" s="33">
        <f t="shared" si="230"/>
        <v>0</v>
      </c>
      <c r="N251" s="33"/>
      <c r="O251" s="33">
        <f t="shared" si="231"/>
        <v>0</v>
      </c>
      <c r="P251" s="33">
        <f t="shared" si="232"/>
        <v>0</v>
      </c>
      <c r="Q251" s="33">
        <f t="shared" si="233"/>
        <v>0</v>
      </c>
      <c r="R251" s="33"/>
      <c r="S251" s="33">
        <f t="shared" si="234"/>
        <v>0</v>
      </c>
      <c r="T251" s="33">
        <f t="shared" si="235"/>
        <v>356173.72031329595</v>
      </c>
      <c r="U251" s="33">
        <f t="shared" si="236"/>
        <v>0</v>
      </c>
      <c r="V251" s="33">
        <f t="shared" si="237"/>
        <v>0</v>
      </c>
      <c r="W251" s="33">
        <f t="shared" si="238"/>
        <v>0</v>
      </c>
      <c r="X251" s="33">
        <f t="shared" si="239"/>
        <v>0</v>
      </c>
      <c r="Y251" s="33">
        <f t="shared" si="240"/>
        <v>0</v>
      </c>
      <c r="Z251" s="33">
        <f t="shared" si="241"/>
        <v>0</v>
      </c>
      <c r="AA251" s="33">
        <f t="shared" si="242"/>
        <v>0</v>
      </c>
      <c r="AB251" s="33">
        <f t="shared" si="243"/>
        <v>0</v>
      </c>
      <c r="AC251" s="33">
        <f t="shared" si="244"/>
        <v>0</v>
      </c>
      <c r="AD251" s="33">
        <f t="shared" si="245"/>
        <v>0</v>
      </c>
      <c r="AE251" s="33"/>
      <c r="AF251" s="33">
        <f t="shared" si="246"/>
        <v>0</v>
      </c>
      <c r="AG251" s="33"/>
      <c r="AH251" s="33">
        <f t="shared" si="247"/>
        <v>0</v>
      </c>
      <c r="AI251" s="33"/>
      <c r="AJ251" s="33">
        <f t="shared" si="248"/>
        <v>0</v>
      </c>
      <c r="AK251" s="33">
        <f t="shared" si="249"/>
        <v>356173.72031329595</v>
      </c>
      <c r="AL251" s="30" t="str">
        <f t="shared" si="250"/>
        <v>ok</v>
      </c>
    </row>
    <row r="252" spans="1:39" x14ac:dyDescent="0.25">
      <c r="A252" s="29">
        <v>582</v>
      </c>
      <c r="B252" s="29" t="s">
        <v>437</v>
      </c>
      <c r="C252" s="29" t="s">
        <v>443</v>
      </c>
      <c r="D252" s="14" t="s">
        <v>113</v>
      </c>
      <c r="E252" s="14"/>
      <c r="F252" s="33">
        <f>'Jurisdictional Study'!F1040</f>
        <v>2059421.5101766321</v>
      </c>
      <c r="H252" s="33">
        <f t="shared" si="225"/>
        <v>0</v>
      </c>
      <c r="I252" s="33">
        <f t="shared" si="226"/>
        <v>0</v>
      </c>
      <c r="J252" s="33">
        <f t="shared" si="227"/>
        <v>0</v>
      </c>
      <c r="K252" s="33">
        <f t="shared" si="228"/>
        <v>0</v>
      </c>
      <c r="L252" s="33">
        <f t="shared" si="229"/>
        <v>0</v>
      </c>
      <c r="M252" s="33">
        <f t="shared" si="230"/>
        <v>0</v>
      </c>
      <c r="N252" s="33"/>
      <c r="O252" s="33">
        <f t="shared" si="231"/>
        <v>0</v>
      </c>
      <c r="P252" s="33">
        <f t="shared" si="232"/>
        <v>0</v>
      </c>
      <c r="Q252" s="33">
        <f t="shared" si="233"/>
        <v>0</v>
      </c>
      <c r="R252" s="33"/>
      <c r="S252" s="33">
        <f t="shared" si="234"/>
        <v>0</v>
      </c>
      <c r="T252" s="33">
        <f t="shared" si="235"/>
        <v>2059421.5101766321</v>
      </c>
      <c r="U252" s="33">
        <f t="shared" si="236"/>
        <v>0</v>
      </c>
      <c r="V252" s="33">
        <f t="shared" si="237"/>
        <v>0</v>
      </c>
      <c r="W252" s="33">
        <f t="shared" si="238"/>
        <v>0</v>
      </c>
      <c r="X252" s="33">
        <f t="shared" si="239"/>
        <v>0</v>
      </c>
      <c r="Y252" s="33">
        <f t="shared" si="240"/>
        <v>0</v>
      </c>
      <c r="Z252" s="33">
        <f t="shared" si="241"/>
        <v>0</v>
      </c>
      <c r="AA252" s="33">
        <f t="shared" si="242"/>
        <v>0</v>
      </c>
      <c r="AB252" s="33">
        <f t="shared" si="243"/>
        <v>0</v>
      </c>
      <c r="AC252" s="33">
        <f t="shared" si="244"/>
        <v>0</v>
      </c>
      <c r="AD252" s="33">
        <f t="shared" si="245"/>
        <v>0</v>
      </c>
      <c r="AE252" s="33"/>
      <c r="AF252" s="33">
        <f t="shared" si="246"/>
        <v>0</v>
      </c>
      <c r="AG252" s="33"/>
      <c r="AH252" s="33">
        <f t="shared" si="247"/>
        <v>0</v>
      </c>
      <c r="AI252" s="33"/>
      <c r="AJ252" s="33">
        <f t="shared" si="248"/>
        <v>0</v>
      </c>
      <c r="AK252" s="33">
        <f t="shared" si="249"/>
        <v>2059421.5101766321</v>
      </c>
      <c r="AL252" s="30" t="str">
        <f t="shared" si="250"/>
        <v>ok</v>
      </c>
    </row>
    <row r="253" spans="1:39" x14ac:dyDescent="0.25">
      <c r="A253" s="29">
        <v>583</v>
      </c>
      <c r="B253" s="29" t="s">
        <v>761</v>
      </c>
      <c r="C253" s="29" t="s">
        <v>762</v>
      </c>
      <c r="D253" s="14" t="s">
        <v>116</v>
      </c>
      <c r="E253" s="14"/>
      <c r="F253" s="33">
        <f>'Jurisdictional Study'!F1041</f>
        <v>5524750.9613741152</v>
      </c>
      <c r="H253" s="33">
        <f t="shared" si="225"/>
        <v>0</v>
      </c>
      <c r="I253" s="33">
        <f t="shared" si="226"/>
        <v>0</v>
      </c>
      <c r="J253" s="33">
        <f t="shared" si="227"/>
        <v>0</v>
      </c>
      <c r="K253" s="33">
        <f t="shared" si="228"/>
        <v>0</v>
      </c>
      <c r="L253" s="33">
        <f t="shared" si="229"/>
        <v>0</v>
      </c>
      <c r="M253" s="33">
        <f t="shared" si="230"/>
        <v>0</v>
      </c>
      <c r="N253" s="33"/>
      <c r="O253" s="33">
        <f t="shared" si="231"/>
        <v>0</v>
      </c>
      <c r="P253" s="33">
        <f t="shared" si="232"/>
        <v>0</v>
      </c>
      <c r="Q253" s="33">
        <f t="shared" si="233"/>
        <v>0</v>
      </c>
      <c r="R253" s="33"/>
      <c r="S253" s="33">
        <f t="shared" si="234"/>
        <v>0</v>
      </c>
      <c r="T253" s="33">
        <f t="shared" si="235"/>
        <v>0</v>
      </c>
      <c r="U253" s="33">
        <f t="shared" si="236"/>
        <v>0</v>
      </c>
      <c r="V253" s="33">
        <f t="shared" si="237"/>
        <v>1360854.2811627588</v>
      </c>
      <c r="W253" s="33">
        <f t="shared" si="238"/>
        <v>2193218.0122892098</v>
      </c>
      <c r="X253" s="33">
        <f t="shared" si="239"/>
        <v>754572.86194739002</v>
      </c>
      <c r="Y253" s="33">
        <f t="shared" si="240"/>
        <v>1216105.8059747568</v>
      </c>
      <c r="Z253" s="33">
        <f t="shared" si="241"/>
        <v>0</v>
      </c>
      <c r="AA253" s="33">
        <f t="shared" si="242"/>
        <v>0</v>
      </c>
      <c r="AB253" s="33">
        <f t="shared" si="243"/>
        <v>0</v>
      </c>
      <c r="AC253" s="33">
        <f t="shared" si="244"/>
        <v>0</v>
      </c>
      <c r="AD253" s="33">
        <f t="shared" si="245"/>
        <v>0</v>
      </c>
      <c r="AE253" s="33"/>
      <c r="AF253" s="33">
        <f t="shared" si="246"/>
        <v>0</v>
      </c>
      <c r="AG253" s="33"/>
      <c r="AH253" s="33">
        <f t="shared" si="247"/>
        <v>0</v>
      </c>
      <c r="AI253" s="33"/>
      <c r="AJ253" s="33">
        <f t="shared" si="248"/>
        <v>0</v>
      </c>
      <c r="AK253" s="33">
        <f t="shared" si="249"/>
        <v>5524750.9613741152</v>
      </c>
      <c r="AL253" s="30" t="str">
        <f t="shared" si="250"/>
        <v>ok</v>
      </c>
    </row>
    <row r="254" spans="1:39" x14ac:dyDescent="0.25">
      <c r="A254" s="29">
        <v>584</v>
      </c>
      <c r="B254" s="29" t="s">
        <v>763</v>
      </c>
      <c r="C254" s="29" t="s">
        <v>764</v>
      </c>
      <c r="D254" s="14" t="s">
        <v>119</v>
      </c>
      <c r="E254" s="14"/>
      <c r="F254" s="33">
        <f>'Jurisdictional Study'!F1042</f>
        <v>311.69847802795289</v>
      </c>
      <c r="H254" s="33">
        <f t="shared" si="225"/>
        <v>0</v>
      </c>
      <c r="I254" s="33">
        <f t="shared" si="226"/>
        <v>0</v>
      </c>
      <c r="J254" s="33">
        <f t="shared" si="227"/>
        <v>0</v>
      </c>
      <c r="K254" s="33">
        <f t="shared" si="228"/>
        <v>0</v>
      </c>
      <c r="L254" s="33">
        <f t="shared" si="229"/>
        <v>0</v>
      </c>
      <c r="M254" s="33">
        <f t="shared" si="230"/>
        <v>0</v>
      </c>
      <c r="N254" s="33"/>
      <c r="O254" s="33">
        <f t="shared" si="231"/>
        <v>0</v>
      </c>
      <c r="P254" s="33">
        <f t="shared" si="232"/>
        <v>0</v>
      </c>
      <c r="Q254" s="33">
        <f t="shared" si="233"/>
        <v>0</v>
      </c>
      <c r="R254" s="33"/>
      <c r="S254" s="33">
        <f t="shared" si="234"/>
        <v>0</v>
      </c>
      <c r="T254" s="33">
        <f t="shared" si="235"/>
        <v>0</v>
      </c>
      <c r="U254" s="33">
        <f t="shared" si="236"/>
        <v>0</v>
      </c>
      <c r="V254" s="33">
        <f t="shared" si="237"/>
        <v>46.471640391676246</v>
      </c>
      <c r="W254" s="33">
        <f t="shared" si="238"/>
        <v>163.33260516893884</v>
      </c>
      <c r="X254" s="33">
        <f t="shared" si="239"/>
        <v>22.569572491515327</v>
      </c>
      <c r="Y254" s="33">
        <f t="shared" si="240"/>
        <v>79.324659975822485</v>
      </c>
      <c r="Z254" s="33">
        <f t="shared" si="241"/>
        <v>0</v>
      </c>
      <c r="AA254" s="33">
        <f t="shared" si="242"/>
        <v>0</v>
      </c>
      <c r="AB254" s="33">
        <f t="shared" si="243"/>
        <v>0</v>
      </c>
      <c r="AC254" s="33">
        <f t="shared" si="244"/>
        <v>0</v>
      </c>
      <c r="AD254" s="33">
        <f t="shared" si="245"/>
        <v>0</v>
      </c>
      <c r="AE254" s="33"/>
      <c r="AF254" s="33">
        <f t="shared" si="246"/>
        <v>0</v>
      </c>
      <c r="AG254" s="33"/>
      <c r="AH254" s="33">
        <f t="shared" si="247"/>
        <v>0</v>
      </c>
      <c r="AI254" s="33"/>
      <c r="AJ254" s="33">
        <f t="shared" si="248"/>
        <v>0</v>
      </c>
      <c r="AK254" s="33">
        <f t="shared" si="249"/>
        <v>311.69847802795289</v>
      </c>
      <c r="AL254" s="30" t="str">
        <f t="shared" si="250"/>
        <v>ok</v>
      </c>
    </row>
    <row r="255" spans="1:39" x14ac:dyDescent="0.25">
      <c r="A255" s="29">
        <v>585</v>
      </c>
      <c r="B255" s="29" t="s">
        <v>765</v>
      </c>
      <c r="C255" s="29" t="s">
        <v>334</v>
      </c>
      <c r="D255" s="14" t="s">
        <v>169</v>
      </c>
      <c r="E255" s="14"/>
      <c r="F255" s="33">
        <f>'Jurisdictional Study'!F1043</f>
        <v>0</v>
      </c>
      <c r="H255" s="33">
        <f t="shared" si="225"/>
        <v>0</v>
      </c>
      <c r="I255" s="33">
        <f t="shared" si="226"/>
        <v>0</v>
      </c>
      <c r="J255" s="33">
        <f t="shared" si="227"/>
        <v>0</v>
      </c>
      <c r="K255" s="33">
        <f t="shared" si="228"/>
        <v>0</v>
      </c>
      <c r="L255" s="33">
        <f t="shared" si="229"/>
        <v>0</v>
      </c>
      <c r="M255" s="33">
        <f t="shared" si="230"/>
        <v>0</v>
      </c>
      <c r="N255" s="33"/>
      <c r="O255" s="33">
        <f t="shared" si="231"/>
        <v>0</v>
      </c>
      <c r="P255" s="33">
        <f t="shared" si="232"/>
        <v>0</v>
      </c>
      <c r="Q255" s="33">
        <f t="shared" si="233"/>
        <v>0</v>
      </c>
      <c r="R255" s="33"/>
      <c r="S255" s="33">
        <f t="shared" si="234"/>
        <v>0</v>
      </c>
      <c r="T255" s="33">
        <f t="shared" si="235"/>
        <v>0</v>
      </c>
      <c r="U255" s="33">
        <f t="shared" si="236"/>
        <v>0</v>
      </c>
      <c r="V255" s="33">
        <f t="shared" si="237"/>
        <v>0</v>
      </c>
      <c r="W255" s="33">
        <f t="shared" si="238"/>
        <v>0</v>
      </c>
      <c r="X255" s="33">
        <f t="shared" si="239"/>
        <v>0</v>
      </c>
      <c r="Y255" s="33">
        <f t="shared" si="240"/>
        <v>0</v>
      </c>
      <c r="Z255" s="33">
        <f t="shared" si="241"/>
        <v>0</v>
      </c>
      <c r="AA255" s="33">
        <f t="shared" si="242"/>
        <v>0</v>
      </c>
      <c r="AB255" s="33">
        <f t="shared" si="243"/>
        <v>0</v>
      </c>
      <c r="AC255" s="33">
        <f t="shared" si="244"/>
        <v>0</v>
      </c>
      <c r="AD255" s="33">
        <f t="shared" si="245"/>
        <v>0</v>
      </c>
      <c r="AE255" s="33"/>
      <c r="AF255" s="33">
        <f t="shared" si="246"/>
        <v>0</v>
      </c>
      <c r="AG255" s="33"/>
      <c r="AH255" s="33">
        <f t="shared" si="247"/>
        <v>0</v>
      </c>
      <c r="AI255" s="33"/>
      <c r="AJ255" s="33">
        <f t="shared" si="248"/>
        <v>0</v>
      </c>
      <c r="AK255" s="33">
        <f t="shared" si="249"/>
        <v>0</v>
      </c>
      <c r="AL255" s="30" t="str">
        <f t="shared" si="250"/>
        <v>ok</v>
      </c>
    </row>
    <row r="256" spans="1:39" x14ac:dyDescent="0.25">
      <c r="A256" s="29">
        <v>586</v>
      </c>
      <c r="B256" s="29" t="s">
        <v>335</v>
      </c>
      <c r="C256" s="29" t="s">
        <v>336</v>
      </c>
      <c r="D256" s="14" t="s">
        <v>166</v>
      </c>
      <c r="E256" s="14"/>
      <c r="F256" s="33">
        <f>'Jurisdictional Study'!F1044</f>
        <v>8624079.831690127</v>
      </c>
      <c r="H256" s="33">
        <f t="shared" si="225"/>
        <v>0</v>
      </c>
      <c r="I256" s="33">
        <f t="shared" si="226"/>
        <v>0</v>
      </c>
      <c r="J256" s="33">
        <f t="shared" si="227"/>
        <v>0</v>
      </c>
      <c r="K256" s="33">
        <f t="shared" si="228"/>
        <v>0</v>
      </c>
      <c r="L256" s="33">
        <f t="shared" si="229"/>
        <v>0</v>
      </c>
      <c r="M256" s="33">
        <f t="shared" si="230"/>
        <v>0</v>
      </c>
      <c r="N256" s="33"/>
      <c r="O256" s="33">
        <f t="shared" si="231"/>
        <v>0</v>
      </c>
      <c r="P256" s="33">
        <f t="shared" si="232"/>
        <v>0</v>
      </c>
      <c r="Q256" s="33">
        <f t="shared" si="233"/>
        <v>0</v>
      </c>
      <c r="R256" s="33"/>
      <c r="S256" s="33">
        <f t="shared" si="234"/>
        <v>0</v>
      </c>
      <c r="T256" s="33">
        <f t="shared" si="235"/>
        <v>0</v>
      </c>
      <c r="U256" s="33">
        <f t="shared" si="236"/>
        <v>0</v>
      </c>
      <c r="V256" s="33">
        <f t="shared" si="237"/>
        <v>0</v>
      </c>
      <c r="W256" s="33">
        <f t="shared" si="238"/>
        <v>0</v>
      </c>
      <c r="X256" s="33">
        <f t="shared" si="239"/>
        <v>0</v>
      </c>
      <c r="Y256" s="33">
        <f t="shared" si="240"/>
        <v>0</v>
      </c>
      <c r="Z256" s="33">
        <f t="shared" si="241"/>
        <v>0</v>
      </c>
      <c r="AA256" s="33">
        <f t="shared" si="242"/>
        <v>0</v>
      </c>
      <c r="AB256" s="33">
        <f t="shared" si="243"/>
        <v>0</v>
      </c>
      <c r="AC256" s="33">
        <f t="shared" si="244"/>
        <v>8624079.831690127</v>
      </c>
      <c r="AD256" s="33">
        <f t="shared" si="245"/>
        <v>0</v>
      </c>
      <c r="AE256" s="33"/>
      <c r="AF256" s="33">
        <f t="shared" si="246"/>
        <v>0</v>
      </c>
      <c r="AG256" s="33"/>
      <c r="AH256" s="33">
        <f t="shared" si="247"/>
        <v>0</v>
      </c>
      <c r="AI256" s="33"/>
      <c r="AJ256" s="33">
        <f t="shared" si="248"/>
        <v>0</v>
      </c>
      <c r="AK256" s="33">
        <f t="shared" si="249"/>
        <v>8624079.831690127</v>
      </c>
      <c r="AL256" s="30" t="str">
        <f t="shared" si="250"/>
        <v>ok</v>
      </c>
    </row>
    <row r="257" spans="1:38" x14ac:dyDescent="0.25">
      <c r="A257" s="29">
        <v>586</v>
      </c>
      <c r="B257" s="29" t="s">
        <v>1272</v>
      </c>
      <c r="C257" s="29" t="s">
        <v>1273</v>
      </c>
      <c r="D257" s="14" t="s">
        <v>924</v>
      </c>
      <c r="E257" s="14"/>
      <c r="F257" s="33">
        <v>0</v>
      </c>
      <c r="H257" s="33">
        <f t="shared" si="225"/>
        <v>0</v>
      </c>
      <c r="I257" s="33">
        <f t="shared" si="226"/>
        <v>0</v>
      </c>
      <c r="J257" s="33">
        <f t="shared" si="227"/>
        <v>0</v>
      </c>
      <c r="K257" s="33">
        <f t="shared" si="228"/>
        <v>0</v>
      </c>
      <c r="L257" s="33">
        <f t="shared" si="229"/>
        <v>0</v>
      </c>
      <c r="M257" s="33">
        <f t="shared" si="230"/>
        <v>0</v>
      </c>
      <c r="N257" s="33"/>
      <c r="O257" s="33">
        <f t="shared" si="231"/>
        <v>0</v>
      </c>
      <c r="P257" s="33">
        <f t="shared" si="232"/>
        <v>0</v>
      </c>
      <c r="Q257" s="33">
        <f t="shared" si="233"/>
        <v>0</v>
      </c>
      <c r="R257" s="33"/>
      <c r="S257" s="33">
        <f t="shared" si="234"/>
        <v>0</v>
      </c>
      <c r="T257" s="33">
        <f t="shared" si="235"/>
        <v>0</v>
      </c>
      <c r="U257" s="33">
        <f t="shared" si="236"/>
        <v>0</v>
      </c>
      <c r="V257" s="33">
        <f t="shared" si="237"/>
        <v>0</v>
      </c>
      <c r="W257" s="33">
        <f t="shared" si="238"/>
        <v>0</v>
      </c>
      <c r="X257" s="33">
        <f t="shared" si="239"/>
        <v>0</v>
      </c>
      <c r="Y257" s="33">
        <f t="shared" si="240"/>
        <v>0</v>
      </c>
      <c r="Z257" s="33">
        <f t="shared" si="241"/>
        <v>0</v>
      </c>
      <c r="AA257" s="33">
        <f t="shared" si="242"/>
        <v>0</v>
      </c>
      <c r="AB257" s="33">
        <f t="shared" si="243"/>
        <v>0</v>
      </c>
      <c r="AC257" s="33">
        <f t="shared" si="244"/>
        <v>0</v>
      </c>
      <c r="AD257" s="33">
        <f t="shared" si="245"/>
        <v>0</v>
      </c>
      <c r="AE257" s="33"/>
      <c r="AF257" s="33">
        <f t="shared" si="246"/>
        <v>0</v>
      </c>
      <c r="AG257" s="33"/>
      <c r="AH257" s="33">
        <f t="shared" si="247"/>
        <v>0</v>
      </c>
      <c r="AI257" s="33"/>
      <c r="AJ257" s="33">
        <f t="shared" si="248"/>
        <v>0</v>
      </c>
      <c r="AK257" s="33">
        <f t="shared" si="249"/>
        <v>0</v>
      </c>
      <c r="AL257" s="30" t="str">
        <f>IF(ABS(AK257-F257)&lt;1,"ok","err")</f>
        <v>ok</v>
      </c>
    </row>
    <row r="258" spans="1:38" x14ac:dyDescent="0.25">
      <c r="A258" s="29">
        <v>587</v>
      </c>
      <c r="B258" s="29" t="s">
        <v>337</v>
      </c>
      <c r="C258" s="29" t="s">
        <v>338</v>
      </c>
      <c r="D258" s="14" t="s">
        <v>168</v>
      </c>
      <c r="E258" s="14"/>
      <c r="F258" s="33">
        <f>'Jurisdictional Study'!F1045</f>
        <v>0</v>
      </c>
      <c r="H258" s="33">
        <f t="shared" si="225"/>
        <v>0</v>
      </c>
      <c r="I258" s="33">
        <f t="shared" si="226"/>
        <v>0</v>
      </c>
      <c r="J258" s="33">
        <f t="shared" si="227"/>
        <v>0</v>
      </c>
      <c r="K258" s="33">
        <f t="shared" si="228"/>
        <v>0</v>
      </c>
      <c r="L258" s="33">
        <f t="shared" si="229"/>
        <v>0</v>
      </c>
      <c r="M258" s="33">
        <f t="shared" si="230"/>
        <v>0</v>
      </c>
      <c r="N258" s="33"/>
      <c r="O258" s="33">
        <f t="shared" si="231"/>
        <v>0</v>
      </c>
      <c r="P258" s="33">
        <f t="shared" si="232"/>
        <v>0</v>
      </c>
      <c r="Q258" s="33">
        <f t="shared" si="233"/>
        <v>0</v>
      </c>
      <c r="R258" s="33"/>
      <c r="S258" s="33">
        <f t="shared" si="234"/>
        <v>0</v>
      </c>
      <c r="T258" s="33">
        <f t="shared" si="235"/>
        <v>0</v>
      </c>
      <c r="U258" s="33">
        <f t="shared" si="236"/>
        <v>0</v>
      </c>
      <c r="V258" s="33">
        <f t="shared" si="237"/>
        <v>0</v>
      </c>
      <c r="W258" s="33">
        <f t="shared" si="238"/>
        <v>0</v>
      </c>
      <c r="X258" s="33">
        <f t="shared" si="239"/>
        <v>0</v>
      </c>
      <c r="Y258" s="33">
        <f t="shared" si="240"/>
        <v>0</v>
      </c>
      <c r="Z258" s="33">
        <f t="shared" si="241"/>
        <v>0</v>
      </c>
      <c r="AA258" s="33">
        <f t="shared" si="242"/>
        <v>0</v>
      </c>
      <c r="AB258" s="33">
        <f t="shared" si="243"/>
        <v>0</v>
      </c>
      <c r="AC258" s="33">
        <f t="shared" si="244"/>
        <v>0</v>
      </c>
      <c r="AD258" s="33">
        <f t="shared" si="245"/>
        <v>0</v>
      </c>
      <c r="AE258" s="33"/>
      <c r="AF258" s="33">
        <f t="shared" si="246"/>
        <v>0</v>
      </c>
      <c r="AG258" s="33"/>
      <c r="AH258" s="33">
        <f t="shared" si="247"/>
        <v>0</v>
      </c>
      <c r="AI258" s="33"/>
      <c r="AJ258" s="33">
        <f t="shared" si="248"/>
        <v>0</v>
      </c>
      <c r="AK258" s="33">
        <f t="shared" si="249"/>
        <v>0</v>
      </c>
      <c r="AL258" s="30" t="str">
        <f>IF(ABS(AK258-F258)&lt;1,"ok","err")</f>
        <v>ok</v>
      </c>
    </row>
    <row r="259" spans="1:38" x14ac:dyDescent="0.25">
      <c r="A259" s="29">
        <v>588</v>
      </c>
      <c r="B259" s="29" t="s">
        <v>339</v>
      </c>
      <c r="C259" s="29" t="s">
        <v>340</v>
      </c>
      <c r="D259" s="164" t="s">
        <v>109</v>
      </c>
      <c r="E259" s="17"/>
      <c r="F259" s="33">
        <f>'Jurisdictional Study'!F1046</f>
        <v>7572405.1262109959</v>
      </c>
      <c r="H259" s="33">
        <f t="shared" si="225"/>
        <v>0</v>
      </c>
      <c r="I259" s="33">
        <f t="shared" si="226"/>
        <v>0</v>
      </c>
      <c r="J259" s="33">
        <f t="shared" si="227"/>
        <v>0</v>
      </c>
      <c r="K259" s="33">
        <f t="shared" si="228"/>
        <v>0</v>
      </c>
      <c r="L259" s="33">
        <f t="shared" si="229"/>
        <v>0</v>
      </c>
      <c r="M259" s="33">
        <f t="shared" si="230"/>
        <v>0</v>
      </c>
      <c r="N259" s="33"/>
      <c r="O259" s="33">
        <f t="shared" si="231"/>
        <v>0</v>
      </c>
      <c r="P259" s="33">
        <f t="shared" si="232"/>
        <v>0</v>
      </c>
      <c r="Q259" s="33">
        <f t="shared" si="233"/>
        <v>0</v>
      </c>
      <c r="R259" s="33"/>
      <c r="S259" s="33">
        <f t="shared" si="234"/>
        <v>0</v>
      </c>
      <c r="T259" s="33">
        <f t="shared" si="235"/>
        <v>1101482.1801458651</v>
      </c>
      <c r="U259" s="33">
        <f t="shared" si="236"/>
        <v>0</v>
      </c>
      <c r="V259" s="33">
        <f t="shared" si="237"/>
        <v>901159.50566629507</v>
      </c>
      <c r="W259" s="33">
        <f t="shared" si="238"/>
        <v>1695766.7237098916</v>
      </c>
      <c r="X259" s="33">
        <f t="shared" si="239"/>
        <v>490876.24769289762</v>
      </c>
      <c r="Y259" s="33">
        <f t="shared" si="240"/>
        <v>909337.3712967165</v>
      </c>
      <c r="Z259" s="33">
        <f t="shared" si="241"/>
        <v>664950.23537005356</v>
      </c>
      <c r="AA259" s="33">
        <f t="shared" si="242"/>
        <v>576679.38262338075</v>
      </c>
      <c r="AB259" s="33">
        <f t="shared" si="243"/>
        <v>427029.90586658579</v>
      </c>
      <c r="AC259" s="33">
        <f t="shared" si="244"/>
        <v>305127.00699344213</v>
      </c>
      <c r="AD259" s="33">
        <f t="shared" si="245"/>
        <v>499996.56684586802</v>
      </c>
      <c r="AE259" s="33"/>
      <c r="AF259" s="33">
        <f t="shared" si="246"/>
        <v>0</v>
      </c>
      <c r="AG259" s="33"/>
      <c r="AH259" s="33">
        <f t="shared" si="247"/>
        <v>0</v>
      </c>
      <c r="AI259" s="33"/>
      <c r="AJ259" s="33">
        <f t="shared" si="248"/>
        <v>0</v>
      </c>
      <c r="AK259" s="33">
        <f t="shared" si="249"/>
        <v>7572405.1262109959</v>
      </c>
      <c r="AL259" s="30" t="str">
        <f t="shared" si="250"/>
        <v>ok</v>
      </c>
    </row>
    <row r="260" spans="1:38" x14ac:dyDescent="0.25">
      <c r="A260" s="29">
        <v>588</v>
      </c>
      <c r="B260" s="29" t="s">
        <v>899</v>
      </c>
      <c r="C260" s="29" t="s">
        <v>999</v>
      </c>
      <c r="D260" s="164" t="s">
        <v>109</v>
      </c>
      <c r="E260" s="17"/>
      <c r="F260" s="33">
        <v>0</v>
      </c>
      <c r="H260" s="33">
        <f t="shared" si="225"/>
        <v>0</v>
      </c>
      <c r="I260" s="33">
        <f t="shared" si="226"/>
        <v>0</v>
      </c>
      <c r="J260" s="33">
        <f t="shared" si="227"/>
        <v>0</v>
      </c>
      <c r="K260" s="33">
        <f t="shared" si="228"/>
        <v>0</v>
      </c>
      <c r="L260" s="33">
        <f t="shared" si="229"/>
        <v>0</v>
      </c>
      <c r="M260" s="33">
        <f t="shared" si="230"/>
        <v>0</v>
      </c>
      <c r="N260" s="33"/>
      <c r="O260" s="33">
        <f t="shared" si="231"/>
        <v>0</v>
      </c>
      <c r="P260" s="33">
        <f t="shared" si="232"/>
        <v>0</v>
      </c>
      <c r="Q260" s="33">
        <f t="shared" si="233"/>
        <v>0</v>
      </c>
      <c r="R260" s="33"/>
      <c r="S260" s="33">
        <f t="shared" si="234"/>
        <v>0</v>
      </c>
      <c r="T260" s="33">
        <f t="shared" si="235"/>
        <v>0</v>
      </c>
      <c r="U260" s="33">
        <f t="shared" si="236"/>
        <v>0</v>
      </c>
      <c r="V260" s="33">
        <f t="shared" si="237"/>
        <v>0</v>
      </c>
      <c r="W260" s="33">
        <f t="shared" si="238"/>
        <v>0</v>
      </c>
      <c r="X260" s="33">
        <f t="shared" si="239"/>
        <v>0</v>
      </c>
      <c r="Y260" s="33">
        <f t="shared" si="240"/>
        <v>0</v>
      </c>
      <c r="Z260" s="33">
        <f t="shared" si="241"/>
        <v>0</v>
      </c>
      <c r="AA260" s="33">
        <f t="shared" si="242"/>
        <v>0</v>
      </c>
      <c r="AB260" s="33">
        <f t="shared" si="243"/>
        <v>0</v>
      </c>
      <c r="AC260" s="33">
        <f t="shared" si="244"/>
        <v>0</v>
      </c>
      <c r="AD260" s="33">
        <f t="shared" si="245"/>
        <v>0</v>
      </c>
      <c r="AE260" s="33"/>
      <c r="AF260" s="33">
        <f t="shared" si="246"/>
        <v>0</v>
      </c>
      <c r="AG260" s="33"/>
      <c r="AH260" s="33">
        <f t="shared" si="247"/>
        <v>0</v>
      </c>
      <c r="AI260" s="33"/>
      <c r="AJ260" s="33">
        <f t="shared" si="248"/>
        <v>0</v>
      </c>
      <c r="AK260" s="33">
        <f t="shared" si="249"/>
        <v>0</v>
      </c>
      <c r="AL260" s="30" t="str">
        <f t="shared" si="250"/>
        <v>ok</v>
      </c>
    </row>
    <row r="261" spans="1:38" x14ac:dyDescent="0.25">
      <c r="A261" s="29">
        <v>589</v>
      </c>
      <c r="B261" s="29" t="s">
        <v>341</v>
      </c>
      <c r="C261" s="29" t="s">
        <v>342</v>
      </c>
      <c r="D261" s="164" t="s">
        <v>109</v>
      </c>
      <c r="E261" s="17"/>
      <c r="F261" s="33">
        <f>'Jurisdictional Study'!F1047</f>
        <v>0</v>
      </c>
      <c r="H261" s="33">
        <f t="shared" si="225"/>
        <v>0</v>
      </c>
      <c r="I261" s="33">
        <f t="shared" si="226"/>
        <v>0</v>
      </c>
      <c r="J261" s="33">
        <f t="shared" si="227"/>
        <v>0</v>
      </c>
      <c r="K261" s="33">
        <f t="shared" si="228"/>
        <v>0</v>
      </c>
      <c r="L261" s="33">
        <f t="shared" si="229"/>
        <v>0</v>
      </c>
      <c r="M261" s="33">
        <f t="shared" si="230"/>
        <v>0</v>
      </c>
      <c r="N261" s="33"/>
      <c r="O261" s="33">
        <f t="shared" si="231"/>
        <v>0</v>
      </c>
      <c r="P261" s="33">
        <f t="shared" si="232"/>
        <v>0</v>
      </c>
      <c r="Q261" s="33">
        <f t="shared" si="233"/>
        <v>0</v>
      </c>
      <c r="R261" s="33"/>
      <c r="S261" s="33">
        <f t="shared" si="234"/>
        <v>0</v>
      </c>
      <c r="T261" s="33">
        <f t="shared" si="235"/>
        <v>0</v>
      </c>
      <c r="U261" s="33">
        <f t="shared" si="236"/>
        <v>0</v>
      </c>
      <c r="V261" s="33">
        <f t="shared" si="237"/>
        <v>0</v>
      </c>
      <c r="W261" s="33">
        <f t="shared" si="238"/>
        <v>0</v>
      </c>
      <c r="X261" s="33">
        <f t="shared" si="239"/>
        <v>0</v>
      </c>
      <c r="Y261" s="33">
        <f t="shared" si="240"/>
        <v>0</v>
      </c>
      <c r="Z261" s="33">
        <f t="shared" si="241"/>
        <v>0</v>
      </c>
      <c r="AA261" s="33">
        <f t="shared" si="242"/>
        <v>0</v>
      </c>
      <c r="AB261" s="33">
        <f t="shared" si="243"/>
        <v>0</v>
      </c>
      <c r="AC261" s="33">
        <f t="shared" si="244"/>
        <v>0</v>
      </c>
      <c r="AD261" s="33">
        <f t="shared" si="245"/>
        <v>0</v>
      </c>
      <c r="AE261" s="33"/>
      <c r="AF261" s="33">
        <f t="shared" si="246"/>
        <v>0</v>
      </c>
      <c r="AG261" s="33"/>
      <c r="AH261" s="33">
        <f t="shared" si="247"/>
        <v>0</v>
      </c>
      <c r="AI261" s="33"/>
      <c r="AJ261" s="33">
        <f t="shared" si="248"/>
        <v>0</v>
      </c>
      <c r="AK261" s="33">
        <f t="shared" si="249"/>
        <v>0</v>
      </c>
      <c r="AL261" s="30" t="str">
        <f t="shared" si="250"/>
        <v>ok</v>
      </c>
    </row>
    <row r="262" spans="1:38" x14ac:dyDescent="0.25">
      <c r="D262" s="164"/>
      <c r="E262" s="17"/>
      <c r="F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L262" s="30"/>
    </row>
    <row r="263" spans="1:38" x14ac:dyDescent="0.25">
      <c r="A263" s="29" t="s">
        <v>343</v>
      </c>
      <c r="C263" s="29" t="s">
        <v>344</v>
      </c>
      <c r="D263" s="164"/>
      <c r="E263" s="17"/>
      <c r="F263" s="32">
        <f t="shared" ref="F263:M263" si="251">SUM(F250:F262)</f>
        <v>26018355.327100269</v>
      </c>
      <c r="G263" s="32">
        <f t="shared" si="251"/>
        <v>0</v>
      </c>
      <c r="H263" s="32">
        <f t="shared" si="251"/>
        <v>0</v>
      </c>
      <c r="I263" s="32">
        <f t="shared" si="251"/>
        <v>0</v>
      </c>
      <c r="J263" s="32">
        <f t="shared" si="251"/>
        <v>0</v>
      </c>
      <c r="K263" s="32">
        <f t="shared" si="251"/>
        <v>0</v>
      </c>
      <c r="L263" s="32">
        <f t="shared" si="251"/>
        <v>0</v>
      </c>
      <c r="M263" s="32">
        <f t="shared" si="251"/>
        <v>0</v>
      </c>
      <c r="N263" s="32"/>
      <c r="O263" s="32">
        <f>SUM(O250:O262)</f>
        <v>0</v>
      </c>
      <c r="P263" s="32">
        <f>SUM(P250:P262)</f>
        <v>0</v>
      </c>
      <c r="Q263" s="32">
        <f>SUM(Q250:Q262)</f>
        <v>0</v>
      </c>
      <c r="R263" s="32"/>
      <c r="S263" s="32">
        <f t="shared" ref="S263:AD263" si="252">SUM(S250:S262)</f>
        <v>0</v>
      </c>
      <c r="T263" s="32">
        <f t="shared" si="252"/>
        <v>3810188.5235105054</v>
      </c>
      <c r="U263" s="32">
        <f t="shared" si="252"/>
        <v>0</v>
      </c>
      <c r="V263" s="32">
        <f t="shared" si="252"/>
        <v>2417387.032874885</v>
      </c>
      <c r="W263" s="32">
        <f t="shared" si="252"/>
        <v>4155558.7728264509</v>
      </c>
      <c r="X263" s="32">
        <f t="shared" si="252"/>
        <v>1331016.5268687573</v>
      </c>
      <c r="Y263" s="32">
        <f t="shared" si="252"/>
        <v>2271199.4799593766</v>
      </c>
      <c r="Z263" s="32">
        <f t="shared" si="252"/>
        <v>708873.13667537668</v>
      </c>
      <c r="AA263" s="32">
        <f t="shared" si="252"/>
        <v>614771.60405659117</v>
      </c>
      <c r="AB263" s="32">
        <f t="shared" si="252"/>
        <v>455237.11809407122</v>
      </c>
      <c r="AC263" s="32">
        <f t="shared" si="252"/>
        <v>9721099.5827806592</v>
      </c>
      <c r="AD263" s="32">
        <f t="shared" si="252"/>
        <v>533023.54945359612</v>
      </c>
      <c r="AE263" s="32"/>
      <c r="AF263" s="32">
        <f>SUM(AF250:AF262)</f>
        <v>0</v>
      </c>
      <c r="AG263" s="32"/>
      <c r="AH263" s="32">
        <f>SUM(AH250:AH262)</f>
        <v>0</v>
      </c>
      <c r="AI263" s="32"/>
      <c r="AJ263" s="32">
        <f>SUM(AJ250:AJ262)</f>
        <v>0</v>
      </c>
      <c r="AK263" s="33">
        <f>SUM(H263:AJ263)</f>
        <v>26018355.327100273</v>
      </c>
      <c r="AL263" s="30" t="str">
        <f>IF(ABS(AK263-F263)&lt;1,"ok","err")</f>
        <v>ok</v>
      </c>
    </row>
    <row r="264" spans="1:38" x14ac:dyDescent="0.25">
      <c r="D264" s="164"/>
      <c r="E264" s="17"/>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3"/>
      <c r="AL264" s="30"/>
    </row>
    <row r="265" spans="1:38" x14ac:dyDescent="0.25">
      <c r="A265" s="3" t="s">
        <v>277</v>
      </c>
      <c r="D265" s="164"/>
      <c r="E265" s="17"/>
      <c r="F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L265" s="30"/>
    </row>
    <row r="266" spans="1:38" x14ac:dyDescent="0.25">
      <c r="D266" s="164"/>
      <c r="E266" s="17"/>
      <c r="F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L266" s="30"/>
    </row>
    <row r="267" spans="1:38" x14ac:dyDescent="0.25">
      <c r="A267" s="4" t="s">
        <v>345</v>
      </c>
      <c r="D267" s="164"/>
      <c r="E267" s="17"/>
      <c r="F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L267" s="30"/>
    </row>
    <row r="268" spans="1:38" x14ac:dyDescent="0.25">
      <c r="A268" s="29">
        <v>590</v>
      </c>
      <c r="B268" s="29" t="s">
        <v>346</v>
      </c>
      <c r="C268" s="29" t="s">
        <v>347</v>
      </c>
      <c r="D268" s="139" t="s">
        <v>955</v>
      </c>
      <c r="E268" s="14"/>
      <c r="F268" s="32">
        <f>'Jurisdictional Study'!F1049</f>
        <v>73842.13945587202</v>
      </c>
      <c r="H268" s="33">
        <f t="shared" ref="H268:H276" si="253">IF(VLOOKUP($D268,$C$5:$AJ$596,6,)=0,0,((VLOOKUP($D268,$C$5:$AJ$596,6,)/VLOOKUP($D268,$C$5:$AJ$596,4,))*$F268))</f>
        <v>0</v>
      </c>
      <c r="I268" s="33">
        <f t="shared" ref="I268:I276" si="254">IF(VLOOKUP($D268,$C$5:$AJ$596,7,)=0,0,((VLOOKUP($D268,$C$5:$AJ$596,7,)/VLOOKUP($D268,$C$5:$AJ$596,4,))*$F268))</f>
        <v>0</v>
      </c>
      <c r="J268" s="33">
        <f t="shared" ref="J268:J276" si="255">IF(VLOOKUP($D268,$C$5:$AJ$596,8,)=0,0,((VLOOKUP($D268,$C$5:$AJ$596,8,)/VLOOKUP($D268,$C$5:$AJ$596,4,))*$F268))</f>
        <v>0</v>
      </c>
      <c r="K268" s="33">
        <f t="shared" ref="K268:K276" si="256">IF(VLOOKUP($D268,$C$5:$AJ$596,9,)=0,0,((VLOOKUP($D268,$C$5:$AJ$596,9,)/VLOOKUP($D268,$C$5:$AJ$596,4,))*$F268))</f>
        <v>0</v>
      </c>
      <c r="L268" s="33">
        <f t="shared" ref="L268:L276" si="257">IF(VLOOKUP($D268,$C$5:$AJ$596,10,)=0,0,((VLOOKUP($D268,$C$5:$AJ$596,10,)/VLOOKUP($D268,$C$5:$AJ$596,4,))*$F268))</f>
        <v>0</v>
      </c>
      <c r="M268" s="33">
        <f t="shared" ref="M268:M276" si="258">IF(VLOOKUP($D268,$C$5:$AJ$596,11,)=0,0,((VLOOKUP($D268,$C$5:$AJ$596,11,)/VLOOKUP($D268,$C$5:$AJ$596,4,))*$F268))</f>
        <v>0</v>
      </c>
      <c r="N268" s="33"/>
      <c r="O268" s="33">
        <f t="shared" ref="O268:O276" si="259">IF(VLOOKUP($D268,$C$5:$AJ$596,13,)=0,0,((VLOOKUP($D268,$C$5:$AJ$596,13,)/VLOOKUP($D268,$C$5:$AJ$596,4,))*$F268))</f>
        <v>0</v>
      </c>
      <c r="P268" s="33">
        <f t="shared" ref="P268:P276" si="260">IF(VLOOKUP($D268,$C$5:$AJ$596,14,)=0,0,((VLOOKUP($D268,$C$5:$AJ$596,14,)/VLOOKUP($D268,$C$5:$AJ$596,4,))*$F268))</f>
        <v>0</v>
      </c>
      <c r="Q268" s="33">
        <f t="shared" ref="Q268:Q276" si="261">IF(VLOOKUP($D268,$C$5:$AJ$596,15,)=0,0,((VLOOKUP($D268,$C$5:$AJ$596,15,)/VLOOKUP($D268,$C$5:$AJ$596,4,))*$F268))</f>
        <v>0</v>
      </c>
      <c r="R268" s="33"/>
      <c r="S268" s="33">
        <f t="shared" ref="S268:S276" si="262">IF(VLOOKUP($D268,$C$5:$AJ$596,17,)=0,0,((VLOOKUP($D268,$C$5:$AJ$596,17,)/VLOOKUP($D268,$C$5:$AJ$596,4,))*$F268))</f>
        <v>0</v>
      </c>
      <c r="T268" s="33">
        <f t="shared" ref="T268:T276" si="263">IF(VLOOKUP($D268,$C$5:$AJ$596,18,)=0,0,((VLOOKUP($D268,$C$5:$AJ$596,18,)/VLOOKUP($D268,$C$5:$AJ$596,4,))*$F268))</f>
        <v>5534.903963877221</v>
      </c>
      <c r="U268" s="33">
        <f t="shared" ref="U268:U276" si="264">IF(VLOOKUP($D268,$C$5:$AJ$596,19,)=0,0,((VLOOKUP($D268,$C$5:$AJ$596,19,)/VLOOKUP($D268,$C$5:$AJ$596,4,))*$F268))</f>
        <v>0</v>
      </c>
      <c r="V268" s="33">
        <f t="shared" ref="V268:V276" si="265">IF(VLOOKUP($D268,$C$5:$AJ$596,20,)=0,0,((VLOOKUP($D268,$C$5:$AJ$596,20,)/VLOOKUP($D268,$C$5:$AJ$596,4,))*$F268))</f>
        <v>16404.563753303177</v>
      </c>
      <c r="W268" s="33">
        <f t="shared" ref="W268:W276" si="266">IF(VLOOKUP($D268,$C$5:$AJ$596,21,)=0,0,((VLOOKUP($D268,$C$5:$AJ$596,21,)/VLOOKUP($D268,$C$5:$AJ$596,4,))*$F268))</f>
        <v>27284.94612988663</v>
      </c>
      <c r="X268" s="33">
        <f t="shared" ref="X268:X276" si="267">IF(VLOOKUP($D268,$C$5:$AJ$596,22,)=0,0,((VLOOKUP($D268,$C$5:$AJ$596,22,)/VLOOKUP($D268,$C$5:$AJ$596,4,))*$F268))</f>
        <v>9065.4641010237756</v>
      </c>
      <c r="Y268" s="33">
        <f t="shared" ref="Y268:Y276" si="268">IF(VLOOKUP($D268,$C$5:$AJ$596,23,)=0,0,((VLOOKUP($D268,$C$5:$AJ$596,23,)/VLOOKUP($D268,$C$5:$AJ$596,4,))*$F268))</f>
        <v>15021.482025883151</v>
      </c>
      <c r="Z268" s="33">
        <f t="shared" ref="Z268:Z276" si="269">IF(VLOOKUP($D268,$C$5:$AJ$596,24,)=0,0,((VLOOKUP($D268,$C$5:$AJ$596,24,)/VLOOKUP($D268,$C$5:$AJ$596,4,))*$F268))</f>
        <v>277.27206144280962</v>
      </c>
      <c r="AA268" s="33">
        <f t="shared" ref="AA268:AA276" si="270">IF(VLOOKUP($D268,$C$5:$AJ$596,25,)=0,0,((VLOOKUP($D268,$C$5:$AJ$596,25,)/VLOOKUP($D268,$C$5:$AJ$596,4,))*$F268))</f>
        <v>240.46473360907478</v>
      </c>
      <c r="AB268" s="33">
        <f t="shared" ref="AB268:AB276" si="271">IF(VLOOKUP($D268,$C$5:$AJ$596,26,)=0,0,((VLOOKUP($D268,$C$5:$AJ$596,26,)/VLOOKUP($D268,$C$5:$AJ$596,4,))*$F268))</f>
        <v>4.5202301725448928</v>
      </c>
      <c r="AC268" s="33">
        <f t="shared" ref="AC268:AC276" si="272">IF(VLOOKUP($D268,$C$5:$AJ$596,27,)=0,0,((VLOOKUP($D268,$C$5:$AJ$596,27,)/VLOOKUP($D268,$C$5:$AJ$596,4,))*$F268))</f>
        <v>3.2298541261908289</v>
      </c>
      <c r="AD268" s="33">
        <f t="shared" ref="AD268:AD276" si="273">IF(VLOOKUP($D268,$C$5:$AJ$596,28,)=0,0,((VLOOKUP($D268,$C$5:$AJ$596,28,)/VLOOKUP($D268,$C$5:$AJ$596,4,))*$F268))</f>
        <v>5.292602547447018</v>
      </c>
      <c r="AE268" s="33"/>
      <c r="AF268" s="33">
        <f t="shared" ref="AF268:AF276" si="274">IF(VLOOKUP($D268,$C$5:$AJ$596,30,)=0,0,((VLOOKUP($D268,$C$5:$AJ$596,30,)/VLOOKUP($D268,$C$5:$AJ$596,4,))*$F268))</f>
        <v>0</v>
      </c>
      <c r="AG268" s="33"/>
      <c r="AH268" s="33">
        <f t="shared" ref="AH268:AH276" si="275">IF(VLOOKUP($D268,$C$5:$AJ$596,32,)=0,0,((VLOOKUP($D268,$C$5:$AJ$596,32,)/VLOOKUP($D268,$C$5:$AJ$596,4,))*$F268))</f>
        <v>0</v>
      </c>
      <c r="AI268" s="33"/>
      <c r="AJ268" s="33">
        <f t="shared" ref="AJ268:AJ276" si="276">IF(VLOOKUP($D268,$C$5:$AJ$596,34,)=0,0,((VLOOKUP($D268,$C$5:$AJ$596,34,)/VLOOKUP($D268,$C$5:$AJ$596,4,))*$F268))</f>
        <v>0</v>
      </c>
      <c r="AK268" s="33">
        <f t="shared" ref="AK268:AK276" si="277">SUM(H268:AJ268)</f>
        <v>73842.13945587202</v>
      </c>
      <c r="AL268" s="30" t="str">
        <f>IF(ABS(AK268-F268)&lt;1,"ok","err")</f>
        <v>ok</v>
      </c>
    </row>
    <row r="269" spans="1:38" x14ac:dyDescent="0.25">
      <c r="A269" s="29">
        <v>591</v>
      </c>
      <c r="B269" s="29" t="s">
        <v>1508</v>
      </c>
      <c r="C269" s="29" t="s">
        <v>1514</v>
      </c>
      <c r="D269" s="139" t="s">
        <v>113</v>
      </c>
      <c r="E269" s="14"/>
      <c r="F269" s="33">
        <f>'Jurisdictional Study'!F1050</f>
        <v>0</v>
      </c>
      <c r="H269" s="33">
        <f t="shared" si="253"/>
        <v>0</v>
      </c>
      <c r="I269" s="33">
        <f t="shared" si="254"/>
        <v>0</v>
      </c>
      <c r="J269" s="33">
        <f t="shared" si="255"/>
        <v>0</v>
      </c>
      <c r="K269" s="33">
        <f t="shared" si="256"/>
        <v>0</v>
      </c>
      <c r="L269" s="33">
        <f t="shared" si="257"/>
        <v>0</v>
      </c>
      <c r="M269" s="33">
        <f t="shared" si="258"/>
        <v>0</v>
      </c>
      <c r="N269" s="33"/>
      <c r="O269" s="33">
        <f t="shared" si="259"/>
        <v>0</v>
      </c>
      <c r="P269" s="33">
        <f t="shared" si="260"/>
        <v>0</v>
      </c>
      <c r="Q269" s="33">
        <f t="shared" si="261"/>
        <v>0</v>
      </c>
      <c r="R269" s="33"/>
      <c r="S269" s="33">
        <f t="shared" si="262"/>
        <v>0</v>
      </c>
      <c r="T269" s="33">
        <f t="shared" si="263"/>
        <v>0</v>
      </c>
      <c r="U269" s="33">
        <f t="shared" si="264"/>
        <v>0</v>
      </c>
      <c r="V269" s="33">
        <f t="shared" si="265"/>
        <v>0</v>
      </c>
      <c r="W269" s="33">
        <f t="shared" si="266"/>
        <v>0</v>
      </c>
      <c r="X269" s="33">
        <f t="shared" si="267"/>
        <v>0</v>
      </c>
      <c r="Y269" s="33">
        <f t="shared" si="268"/>
        <v>0</v>
      </c>
      <c r="Z269" s="33">
        <f t="shared" si="269"/>
        <v>0</v>
      </c>
      <c r="AA269" s="33">
        <f t="shared" si="270"/>
        <v>0</v>
      </c>
      <c r="AB269" s="33">
        <f t="shared" si="271"/>
        <v>0</v>
      </c>
      <c r="AC269" s="33">
        <f t="shared" si="272"/>
        <v>0</v>
      </c>
      <c r="AD269" s="33">
        <f t="shared" si="273"/>
        <v>0</v>
      </c>
      <c r="AE269" s="33"/>
      <c r="AF269" s="33">
        <f t="shared" si="274"/>
        <v>0</v>
      </c>
      <c r="AG269" s="33"/>
      <c r="AH269" s="33">
        <f t="shared" si="275"/>
        <v>0</v>
      </c>
      <c r="AI269" s="33"/>
      <c r="AJ269" s="33">
        <f t="shared" si="276"/>
        <v>0</v>
      </c>
      <c r="AK269" s="33"/>
      <c r="AL269" s="30"/>
    </row>
    <row r="270" spans="1:38" x14ac:dyDescent="0.25">
      <c r="A270" s="29">
        <v>592</v>
      </c>
      <c r="B270" s="29" t="s">
        <v>348</v>
      </c>
      <c r="C270" s="29" t="s">
        <v>349</v>
      </c>
      <c r="D270" s="106" t="s">
        <v>113</v>
      </c>
      <c r="E270" s="103"/>
      <c r="F270" s="33">
        <f>'Jurisdictional Study'!F1051</f>
        <v>1202754.2020752642</v>
      </c>
      <c r="H270" s="33">
        <f t="shared" si="253"/>
        <v>0</v>
      </c>
      <c r="I270" s="33">
        <f t="shared" si="254"/>
        <v>0</v>
      </c>
      <c r="J270" s="33">
        <f t="shared" si="255"/>
        <v>0</v>
      </c>
      <c r="K270" s="33">
        <f t="shared" si="256"/>
        <v>0</v>
      </c>
      <c r="L270" s="33">
        <f t="shared" si="257"/>
        <v>0</v>
      </c>
      <c r="M270" s="33">
        <f t="shared" si="258"/>
        <v>0</v>
      </c>
      <c r="N270" s="33"/>
      <c r="O270" s="33">
        <f t="shared" si="259"/>
        <v>0</v>
      </c>
      <c r="P270" s="33">
        <f t="shared" si="260"/>
        <v>0</v>
      </c>
      <c r="Q270" s="33">
        <f t="shared" si="261"/>
        <v>0</v>
      </c>
      <c r="R270" s="33"/>
      <c r="S270" s="33">
        <f t="shared" si="262"/>
        <v>0</v>
      </c>
      <c r="T270" s="33">
        <f t="shared" si="263"/>
        <v>1202754.2020752642</v>
      </c>
      <c r="U270" s="33">
        <f t="shared" si="264"/>
        <v>0</v>
      </c>
      <c r="V270" s="33">
        <f t="shared" si="265"/>
        <v>0</v>
      </c>
      <c r="W270" s="33">
        <f t="shared" si="266"/>
        <v>0</v>
      </c>
      <c r="X270" s="33">
        <f t="shared" si="267"/>
        <v>0</v>
      </c>
      <c r="Y270" s="33">
        <f t="shared" si="268"/>
        <v>0</v>
      </c>
      <c r="Z270" s="33">
        <f t="shared" si="269"/>
        <v>0</v>
      </c>
      <c r="AA270" s="33">
        <f t="shared" si="270"/>
        <v>0</v>
      </c>
      <c r="AB270" s="33">
        <f t="shared" si="271"/>
        <v>0</v>
      </c>
      <c r="AC270" s="33">
        <f t="shared" si="272"/>
        <v>0</v>
      </c>
      <c r="AD270" s="33">
        <f t="shared" si="273"/>
        <v>0</v>
      </c>
      <c r="AE270" s="33"/>
      <c r="AF270" s="33">
        <f t="shared" si="274"/>
        <v>0</v>
      </c>
      <c r="AG270" s="33"/>
      <c r="AH270" s="33">
        <f t="shared" si="275"/>
        <v>0</v>
      </c>
      <c r="AI270" s="33"/>
      <c r="AJ270" s="33">
        <f t="shared" si="276"/>
        <v>0</v>
      </c>
      <c r="AK270" s="33">
        <f t="shared" si="277"/>
        <v>1202754.2020752642</v>
      </c>
      <c r="AL270" s="30" t="str">
        <f t="shared" ref="AL270:AL276" si="278">IF(ABS(AK270-F270)&lt;1,"ok","err")</f>
        <v>ok</v>
      </c>
    </row>
    <row r="271" spans="1:38" x14ac:dyDescent="0.25">
      <c r="A271" s="29">
        <v>593</v>
      </c>
      <c r="B271" s="29" t="s">
        <v>350</v>
      </c>
      <c r="C271" s="29" t="s">
        <v>351</v>
      </c>
      <c r="D271" s="106" t="s">
        <v>116</v>
      </c>
      <c r="E271" s="103"/>
      <c r="F271" s="33">
        <f>'Jurisdictional Study'!F1052</f>
        <v>30523884.695827045</v>
      </c>
      <c r="H271" s="33">
        <f t="shared" si="253"/>
        <v>0</v>
      </c>
      <c r="I271" s="33">
        <f t="shared" si="254"/>
        <v>0</v>
      </c>
      <c r="J271" s="33">
        <f t="shared" si="255"/>
        <v>0</v>
      </c>
      <c r="K271" s="33">
        <f t="shared" si="256"/>
        <v>0</v>
      </c>
      <c r="L271" s="33">
        <f t="shared" si="257"/>
        <v>0</v>
      </c>
      <c r="M271" s="33">
        <f t="shared" si="258"/>
        <v>0</v>
      </c>
      <c r="N271" s="33"/>
      <c r="O271" s="33">
        <f t="shared" si="259"/>
        <v>0</v>
      </c>
      <c r="P271" s="33">
        <f t="shared" si="260"/>
        <v>0</v>
      </c>
      <c r="Q271" s="33">
        <f t="shared" si="261"/>
        <v>0</v>
      </c>
      <c r="R271" s="33"/>
      <c r="S271" s="33">
        <f t="shared" si="262"/>
        <v>0</v>
      </c>
      <c r="T271" s="33">
        <f t="shared" si="263"/>
        <v>0</v>
      </c>
      <c r="U271" s="33">
        <f t="shared" si="264"/>
        <v>0</v>
      </c>
      <c r="V271" s="33">
        <f t="shared" si="265"/>
        <v>7518630.1530056987</v>
      </c>
      <c r="W271" s="33">
        <f t="shared" si="266"/>
        <v>12117384.871819839</v>
      </c>
      <c r="X271" s="33">
        <f t="shared" si="267"/>
        <v>4168965.2970264768</v>
      </c>
      <c r="Y271" s="33">
        <f t="shared" si="268"/>
        <v>6718904.3739750292</v>
      </c>
      <c r="Z271" s="33">
        <f t="shared" si="269"/>
        <v>0</v>
      </c>
      <c r="AA271" s="33">
        <f t="shared" si="270"/>
        <v>0</v>
      </c>
      <c r="AB271" s="33">
        <f t="shared" si="271"/>
        <v>0</v>
      </c>
      <c r="AC271" s="33">
        <f t="shared" si="272"/>
        <v>0</v>
      </c>
      <c r="AD271" s="33">
        <f t="shared" si="273"/>
        <v>0</v>
      </c>
      <c r="AE271" s="33"/>
      <c r="AF271" s="33">
        <f t="shared" si="274"/>
        <v>0</v>
      </c>
      <c r="AG271" s="33"/>
      <c r="AH271" s="33">
        <f t="shared" si="275"/>
        <v>0</v>
      </c>
      <c r="AI271" s="33"/>
      <c r="AJ271" s="33">
        <f t="shared" si="276"/>
        <v>0</v>
      </c>
      <c r="AK271" s="33">
        <f t="shared" si="277"/>
        <v>30523884.695827045</v>
      </c>
      <c r="AL271" s="30" t="str">
        <f t="shared" si="278"/>
        <v>ok</v>
      </c>
    </row>
    <row r="272" spans="1:38" x14ac:dyDescent="0.25">
      <c r="A272" s="29">
        <v>594</v>
      </c>
      <c r="B272" s="29" t="s">
        <v>352</v>
      </c>
      <c r="C272" s="29" t="s">
        <v>353</v>
      </c>
      <c r="D272" s="13" t="s">
        <v>119</v>
      </c>
      <c r="E272" s="13"/>
      <c r="F272" s="33">
        <f>'Jurisdictional Study'!F1053</f>
        <v>661498.43082776165</v>
      </c>
      <c r="H272" s="33">
        <f t="shared" si="253"/>
        <v>0</v>
      </c>
      <c r="I272" s="33">
        <f t="shared" si="254"/>
        <v>0</v>
      </c>
      <c r="J272" s="33">
        <f t="shared" si="255"/>
        <v>0</v>
      </c>
      <c r="K272" s="33">
        <f t="shared" si="256"/>
        <v>0</v>
      </c>
      <c r="L272" s="33">
        <f t="shared" si="257"/>
        <v>0</v>
      </c>
      <c r="M272" s="33">
        <f t="shared" si="258"/>
        <v>0</v>
      </c>
      <c r="N272" s="33"/>
      <c r="O272" s="33">
        <f t="shared" si="259"/>
        <v>0</v>
      </c>
      <c r="P272" s="33">
        <f t="shared" si="260"/>
        <v>0</v>
      </c>
      <c r="Q272" s="33">
        <f t="shared" si="261"/>
        <v>0</v>
      </c>
      <c r="R272" s="33"/>
      <c r="S272" s="33">
        <f t="shared" si="262"/>
        <v>0</v>
      </c>
      <c r="T272" s="33">
        <f t="shared" si="263"/>
        <v>0</v>
      </c>
      <c r="U272" s="33">
        <f t="shared" si="264"/>
        <v>0</v>
      </c>
      <c r="V272" s="33">
        <f t="shared" si="265"/>
        <v>98623.892524521871</v>
      </c>
      <c r="W272" s="33">
        <f t="shared" si="266"/>
        <v>346630.70126564451</v>
      </c>
      <c r="X272" s="33">
        <f t="shared" si="267"/>
        <v>47898.009903827362</v>
      </c>
      <c r="Y272" s="33">
        <f t="shared" si="268"/>
        <v>168345.82713376795</v>
      </c>
      <c r="Z272" s="33">
        <f t="shared" si="269"/>
        <v>0</v>
      </c>
      <c r="AA272" s="33">
        <f t="shared" si="270"/>
        <v>0</v>
      </c>
      <c r="AB272" s="33">
        <f t="shared" si="271"/>
        <v>0</v>
      </c>
      <c r="AC272" s="33">
        <f t="shared" si="272"/>
        <v>0</v>
      </c>
      <c r="AD272" s="33">
        <f t="shared" si="273"/>
        <v>0</v>
      </c>
      <c r="AE272" s="33"/>
      <c r="AF272" s="33">
        <f t="shared" si="274"/>
        <v>0</v>
      </c>
      <c r="AG272" s="33"/>
      <c r="AH272" s="33">
        <f t="shared" si="275"/>
        <v>0</v>
      </c>
      <c r="AI272" s="33"/>
      <c r="AJ272" s="33">
        <f t="shared" si="276"/>
        <v>0</v>
      </c>
      <c r="AK272" s="33">
        <f t="shared" si="277"/>
        <v>661498.43082776177</v>
      </c>
      <c r="AL272" s="30" t="str">
        <f t="shared" si="278"/>
        <v>ok</v>
      </c>
    </row>
    <row r="273" spans="1:38" x14ac:dyDescent="0.25">
      <c r="A273" s="29">
        <v>595</v>
      </c>
      <c r="B273" s="29" t="s">
        <v>354</v>
      </c>
      <c r="C273" s="29" t="s">
        <v>355</v>
      </c>
      <c r="D273" s="13" t="s">
        <v>120</v>
      </c>
      <c r="E273" s="13"/>
      <c r="F273" s="33">
        <f>'Jurisdictional Study'!F1054</f>
        <v>108850.80399897524</v>
      </c>
      <c r="H273" s="33">
        <f t="shared" si="253"/>
        <v>0</v>
      </c>
      <c r="I273" s="33">
        <f t="shared" si="254"/>
        <v>0</v>
      </c>
      <c r="J273" s="33">
        <f t="shared" si="255"/>
        <v>0</v>
      </c>
      <c r="K273" s="33">
        <f t="shared" si="256"/>
        <v>0</v>
      </c>
      <c r="L273" s="33">
        <f t="shared" si="257"/>
        <v>0</v>
      </c>
      <c r="M273" s="33">
        <f t="shared" si="258"/>
        <v>0</v>
      </c>
      <c r="N273" s="33"/>
      <c r="O273" s="33">
        <f t="shared" si="259"/>
        <v>0</v>
      </c>
      <c r="P273" s="33">
        <f t="shared" si="260"/>
        <v>0</v>
      </c>
      <c r="Q273" s="33">
        <f t="shared" si="261"/>
        <v>0</v>
      </c>
      <c r="R273" s="33"/>
      <c r="S273" s="33">
        <f t="shared" si="262"/>
        <v>0</v>
      </c>
      <c r="T273" s="33">
        <f t="shared" si="263"/>
        <v>0</v>
      </c>
      <c r="U273" s="33">
        <f t="shared" si="264"/>
        <v>0</v>
      </c>
      <c r="V273" s="33">
        <f t="shared" si="265"/>
        <v>0</v>
      </c>
      <c r="W273" s="33">
        <f t="shared" si="266"/>
        <v>0</v>
      </c>
      <c r="X273" s="33">
        <f t="shared" si="267"/>
        <v>0</v>
      </c>
      <c r="Y273" s="33">
        <f t="shared" si="268"/>
        <v>0</v>
      </c>
      <c r="Z273" s="33">
        <f t="shared" si="269"/>
        <v>58294.653003131651</v>
      </c>
      <c r="AA273" s="33">
        <f t="shared" si="270"/>
        <v>50556.1509958436</v>
      </c>
      <c r="AB273" s="33">
        <f t="shared" si="271"/>
        <v>0</v>
      </c>
      <c r="AC273" s="33">
        <f t="shared" si="272"/>
        <v>0</v>
      </c>
      <c r="AD273" s="33">
        <f t="shared" si="273"/>
        <v>0</v>
      </c>
      <c r="AE273" s="33"/>
      <c r="AF273" s="33">
        <f t="shared" si="274"/>
        <v>0</v>
      </c>
      <c r="AG273" s="33"/>
      <c r="AH273" s="33">
        <f t="shared" si="275"/>
        <v>0</v>
      </c>
      <c r="AI273" s="33"/>
      <c r="AJ273" s="33">
        <f t="shared" si="276"/>
        <v>0</v>
      </c>
      <c r="AK273" s="33">
        <f t="shared" si="277"/>
        <v>108850.80399897526</v>
      </c>
      <c r="AL273" s="30" t="str">
        <f t="shared" si="278"/>
        <v>ok</v>
      </c>
    </row>
    <row r="274" spans="1:38" x14ac:dyDescent="0.25">
      <c r="A274" s="29">
        <v>596</v>
      </c>
      <c r="B274" s="29" t="s">
        <v>445</v>
      </c>
      <c r="C274" s="29" t="s">
        <v>446</v>
      </c>
      <c r="D274" s="13" t="s">
        <v>169</v>
      </c>
      <c r="E274" s="13"/>
      <c r="F274" s="33">
        <f>'Jurisdictional Study'!F1055</f>
        <v>0</v>
      </c>
      <c r="H274" s="33">
        <f t="shared" si="253"/>
        <v>0</v>
      </c>
      <c r="I274" s="33">
        <f t="shared" si="254"/>
        <v>0</v>
      </c>
      <c r="J274" s="33">
        <f t="shared" si="255"/>
        <v>0</v>
      </c>
      <c r="K274" s="33">
        <f t="shared" si="256"/>
        <v>0</v>
      </c>
      <c r="L274" s="33">
        <f t="shared" si="257"/>
        <v>0</v>
      </c>
      <c r="M274" s="33">
        <f t="shared" si="258"/>
        <v>0</v>
      </c>
      <c r="N274" s="33"/>
      <c r="O274" s="33">
        <f t="shared" si="259"/>
        <v>0</v>
      </c>
      <c r="P274" s="33">
        <f t="shared" si="260"/>
        <v>0</v>
      </c>
      <c r="Q274" s="33">
        <f t="shared" si="261"/>
        <v>0</v>
      </c>
      <c r="R274" s="33"/>
      <c r="S274" s="33">
        <f t="shared" si="262"/>
        <v>0</v>
      </c>
      <c r="T274" s="33">
        <f t="shared" si="263"/>
        <v>0</v>
      </c>
      <c r="U274" s="33">
        <f t="shared" si="264"/>
        <v>0</v>
      </c>
      <c r="V274" s="33">
        <f t="shared" si="265"/>
        <v>0</v>
      </c>
      <c r="W274" s="33">
        <f t="shared" si="266"/>
        <v>0</v>
      </c>
      <c r="X274" s="33">
        <f t="shared" si="267"/>
        <v>0</v>
      </c>
      <c r="Y274" s="33">
        <f t="shared" si="268"/>
        <v>0</v>
      </c>
      <c r="Z274" s="33">
        <f t="shared" si="269"/>
        <v>0</v>
      </c>
      <c r="AA274" s="33">
        <f t="shared" si="270"/>
        <v>0</v>
      </c>
      <c r="AB274" s="33">
        <f t="shared" si="271"/>
        <v>0</v>
      </c>
      <c r="AC274" s="33">
        <f t="shared" si="272"/>
        <v>0</v>
      </c>
      <c r="AD274" s="33">
        <f t="shared" si="273"/>
        <v>0</v>
      </c>
      <c r="AE274" s="33"/>
      <c r="AF274" s="33">
        <f t="shared" si="274"/>
        <v>0</v>
      </c>
      <c r="AG274" s="33"/>
      <c r="AH274" s="33">
        <f t="shared" si="275"/>
        <v>0</v>
      </c>
      <c r="AI274" s="33"/>
      <c r="AJ274" s="33">
        <f t="shared" si="276"/>
        <v>0</v>
      </c>
      <c r="AK274" s="33">
        <f t="shared" si="277"/>
        <v>0</v>
      </c>
      <c r="AL274" s="30" t="str">
        <f t="shared" si="278"/>
        <v>ok</v>
      </c>
    </row>
    <row r="275" spans="1:38" x14ac:dyDescent="0.25">
      <c r="A275" s="29">
        <v>597</v>
      </c>
      <c r="B275" s="29" t="s">
        <v>356</v>
      </c>
      <c r="C275" s="29" t="s">
        <v>357</v>
      </c>
      <c r="D275" s="13" t="s">
        <v>166</v>
      </c>
      <c r="E275" s="13"/>
      <c r="F275" s="33">
        <f>'Jurisdictional Study'!F1056</f>
        <v>0</v>
      </c>
      <c r="H275" s="33">
        <f t="shared" si="253"/>
        <v>0</v>
      </c>
      <c r="I275" s="33">
        <f t="shared" si="254"/>
        <v>0</v>
      </c>
      <c r="J275" s="33">
        <f t="shared" si="255"/>
        <v>0</v>
      </c>
      <c r="K275" s="33">
        <f t="shared" si="256"/>
        <v>0</v>
      </c>
      <c r="L275" s="33">
        <f t="shared" si="257"/>
        <v>0</v>
      </c>
      <c r="M275" s="33">
        <f t="shared" si="258"/>
        <v>0</v>
      </c>
      <c r="N275" s="33"/>
      <c r="O275" s="33">
        <f t="shared" si="259"/>
        <v>0</v>
      </c>
      <c r="P275" s="33">
        <f t="shared" si="260"/>
        <v>0</v>
      </c>
      <c r="Q275" s="33">
        <f t="shared" si="261"/>
        <v>0</v>
      </c>
      <c r="R275" s="33"/>
      <c r="S275" s="33">
        <f t="shared" si="262"/>
        <v>0</v>
      </c>
      <c r="T275" s="33">
        <f t="shared" si="263"/>
        <v>0</v>
      </c>
      <c r="U275" s="33">
        <f t="shared" si="264"/>
        <v>0</v>
      </c>
      <c r="V275" s="33">
        <f t="shared" si="265"/>
        <v>0</v>
      </c>
      <c r="W275" s="33">
        <f t="shared" si="266"/>
        <v>0</v>
      </c>
      <c r="X275" s="33">
        <f t="shared" si="267"/>
        <v>0</v>
      </c>
      <c r="Y275" s="33">
        <f t="shared" si="268"/>
        <v>0</v>
      </c>
      <c r="Z275" s="33">
        <f t="shared" si="269"/>
        <v>0</v>
      </c>
      <c r="AA275" s="33">
        <f t="shared" si="270"/>
        <v>0</v>
      </c>
      <c r="AB275" s="33">
        <f t="shared" si="271"/>
        <v>0</v>
      </c>
      <c r="AC275" s="33">
        <f t="shared" si="272"/>
        <v>0</v>
      </c>
      <c r="AD275" s="33">
        <f t="shared" si="273"/>
        <v>0</v>
      </c>
      <c r="AE275" s="33"/>
      <c r="AF275" s="33">
        <f t="shared" si="274"/>
        <v>0</v>
      </c>
      <c r="AG275" s="33"/>
      <c r="AH275" s="33">
        <f t="shared" si="275"/>
        <v>0</v>
      </c>
      <c r="AI275" s="33"/>
      <c r="AJ275" s="33">
        <f t="shared" si="276"/>
        <v>0</v>
      </c>
      <c r="AK275" s="33">
        <f t="shared" si="277"/>
        <v>0</v>
      </c>
      <c r="AL275" s="30" t="str">
        <f t="shared" si="278"/>
        <v>ok</v>
      </c>
    </row>
    <row r="276" spans="1:38" x14ac:dyDescent="0.25">
      <c r="A276" s="29">
        <v>598</v>
      </c>
      <c r="B276" s="29" t="s">
        <v>1515</v>
      </c>
      <c r="C276" s="29" t="s">
        <v>1516</v>
      </c>
      <c r="D276" s="13" t="s">
        <v>109</v>
      </c>
      <c r="E276" s="13"/>
      <c r="F276" s="33">
        <f>'Jurisdictional Study'!F1057</f>
        <v>334584.02864631359</v>
      </c>
      <c r="H276" s="33">
        <f t="shared" si="253"/>
        <v>0</v>
      </c>
      <c r="I276" s="33">
        <f t="shared" si="254"/>
        <v>0</v>
      </c>
      <c r="J276" s="33">
        <f t="shared" si="255"/>
        <v>0</v>
      </c>
      <c r="K276" s="33">
        <f t="shared" si="256"/>
        <v>0</v>
      </c>
      <c r="L276" s="33">
        <f t="shared" si="257"/>
        <v>0</v>
      </c>
      <c r="M276" s="33">
        <f t="shared" si="258"/>
        <v>0</v>
      </c>
      <c r="N276" s="33"/>
      <c r="O276" s="33">
        <f t="shared" si="259"/>
        <v>0</v>
      </c>
      <c r="P276" s="33">
        <f t="shared" si="260"/>
        <v>0</v>
      </c>
      <c r="Q276" s="33">
        <f t="shared" si="261"/>
        <v>0</v>
      </c>
      <c r="R276" s="33"/>
      <c r="S276" s="33">
        <f t="shared" si="262"/>
        <v>0</v>
      </c>
      <c r="T276" s="33">
        <f t="shared" si="263"/>
        <v>48668.598572423914</v>
      </c>
      <c r="U276" s="33">
        <f t="shared" si="264"/>
        <v>0</v>
      </c>
      <c r="V276" s="33">
        <f t="shared" si="265"/>
        <v>39817.412411691417</v>
      </c>
      <c r="W276" s="33">
        <f t="shared" si="266"/>
        <v>74926.849872216728</v>
      </c>
      <c r="X276" s="33">
        <f t="shared" si="267"/>
        <v>21689.19250653667</v>
      </c>
      <c r="Y276" s="33">
        <f t="shared" si="268"/>
        <v>40178.748497485838</v>
      </c>
      <c r="Z276" s="33">
        <f t="shared" si="269"/>
        <v>29380.589771845731</v>
      </c>
      <c r="AA276" s="33">
        <f t="shared" si="270"/>
        <v>25480.373521951922</v>
      </c>
      <c r="AB276" s="33">
        <f t="shared" si="271"/>
        <v>18868.164589179858</v>
      </c>
      <c r="AC276" s="33">
        <f t="shared" si="272"/>
        <v>13481.928336782061</v>
      </c>
      <c r="AD276" s="33">
        <f t="shared" si="273"/>
        <v>22092.170566199446</v>
      </c>
      <c r="AE276" s="33"/>
      <c r="AF276" s="33">
        <f t="shared" si="274"/>
        <v>0</v>
      </c>
      <c r="AG276" s="33"/>
      <c r="AH276" s="33">
        <f t="shared" si="275"/>
        <v>0</v>
      </c>
      <c r="AI276" s="33"/>
      <c r="AJ276" s="33">
        <f t="shared" si="276"/>
        <v>0</v>
      </c>
      <c r="AK276" s="33">
        <f t="shared" si="277"/>
        <v>334584.02864631359</v>
      </c>
      <c r="AL276" s="30" t="str">
        <f t="shared" si="278"/>
        <v>ok</v>
      </c>
    </row>
    <row r="277" spans="1:38" x14ac:dyDescent="0.25">
      <c r="D277" s="13"/>
      <c r="E277" s="13"/>
      <c r="F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0"/>
    </row>
    <row r="278" spans="1:38" x14ac:dyDescent="0.25">
      <c r="A278" s="29" t="s">
        <v>358</v>
      </c>
      <c r="C278" s="29" t="s">
        <v>275</v>
      </c>
      <c r="D278" s="13"/>
      <c r="E278" s="13"/>
      <c r="F278" s="32">
        <f t="shared" ref="F278:M278" si="279">SUM(F268:F277)</f>
        <v>32905414.300831232</v>
      </c>
      <c r="G278" s="32">
        <f t="shared" si="279"/>
        <v>0</v>
      </c>
      <c r="H278" s="32">
        <f t="shared" si="279"/>
        <v>0</v>
      </c>
      <c r="I278" s="32">
        <f t="shared" si="279"/>
        <v>0</v>
      </c>
      <c r="J278" s="32">
        <f t="shared" si="279"/>
        <v>0</v>
      </c>
      <c r="K278" s="32">
        <f t="shared" si="279"/>
        <v>0</v>
      </c>
      <c r="L278" s="32">
        <f t="shared" si="279"/>
        <v>0</v>
      </c>
      <c r="M278" s="32">
        <f t="shared" si="279"/>
        <v>0</v>
      </c>
      <c r="N278" s="32"/>
      <c r="O278" s="32">
        <f>SUM(O268:O277)</f>
        <v>0</v>
      </c>
      <c r="P278" s="32">
        <f>SUM(P268:P277)</f>
        <v>0</v>
      </c>
      <c r="Q278" s="32">
        <f>SUM(Q268:Q277)</f>
        <v>0</v>
      </c>
      <c r="R278" s="32"/>
      <c r="S278" s="32">
        <f t="shared" ref="S278:AD278" si="280">SUM(S268:S277)</f>
        <v>0</v>
      </c>
      <c r="T278" s="32">
        <f t="shared" si="280"/>
        <v>1256957.7046115652</v>
      </c>
      <c r="U278" s="32">
        <f t="shared" si="280"/>
        <v>0</v>
      </c>
      <c r="V278" s="32">
        <f t="shared" si="280"/>
        <v>7673476.0216952153</v>
      </c>
      <c r="W278" s="32">
        <f t="shared" si="280"/>
        <v>12566227.369087586</v>
      </c>
      <c r="X278" s="32">
        <f t="shared" si="280"/>
        <v>4247617.9635378653</v>
      </c>
      <c r="Y278" s="32">
        <f t="shared" si="280"/>
        <v>6942450.4316321667</v>
      </c>
      <c r="Z278" s="32">
        <f t="shared" si="280"/>
        <v>87952.514836420189</v>
      </c>
      <c r="AA278" s="32">
        <f t="shared" si="280"/>
        <v>76276.989251404593</v>
      </c>
      <c r="AB278" s="32">
        <f t="shared" si="280"/>
        <v>18872.684819352402</v>
      </c>
      <c r="AC278" s="32">
        <f t="shared" si="280"/>
        <v>13485.158190908252</v>
      </c>
      <c r="AD278" s="32">
        <f t="shared" si="280"/>
        <v>22097.463168746894</v>
      </c>
      <c r="AE278" s="32"/>
      <c r="AF278" s="32">
        <f>SUM(AF268:AF277)</f>
        <v>0</v>
      </c>
      <c r="AG278" s="32"/>
      <c r="AH278" s="32">
        <f>SUM(AH268:AH277)</f>
        <v>0</v>
      </c>
      <c r="AI278" s="32"/>
      <c r="AJ278" s="32">
        <f>SUM(AJ268:AJ277)</f>
        <v>0</v>
      </c>
      <c r="AK278" s="33">
        <f>SUM(H278:AJ278)</f>
        <v>32905414.300831232</v>
      </c>
      <c r="AL278" s="30" t="str">
        <f>IF(ABS(AK278-F278)&lt;1,"ok","err")</f>
        <v>ok</v>
      </c>
    </row>
    <row r="279" spans="1:38" x14ac:dyDescent="0.25">
      <c r="D279" s="13"/>
      <c r="E279" s="13"/>
      <c r="F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L279" s="30"/>
    </row>
    <row r="280" spans="1:38" x14ac:dyDescent="0.25">
      <c r="A280" s="29" t="s">
        <v>447</v>
      </c>
      <c r="D280" s="13"/>
      <c r="E280" s="13"/>
      <c r="F280" s="33">
        <f t="shared" ref="F280:M280" si="281">F263+F278</f>
        <v>58923769.627931505</v>
      </c>
      <c r="G280" s="33">
        <f t="shared" si="281"/>
        <v>0</v>
      </c>
      <c r="H280" s="33">
        <f t="shared" si="281"/>
        <v>0</v>
      </c>
      <c r="I280" s="33">
        <f t="shared" si="281"/>
        <v>0</v>
      </c>
      <c r="J280" s="33">
        <f t="shared" si="281"/>
        <v>0</v>
      </c>
      <c r="K280" s="33">
        <f t="shared" si="281"/>
        <v>0</v>
      </c>
      <c r="L280" s="33">
        <f t="shared" si="281"/>
        <v>0</v>
      </c>
      <c r="M280" s="33">
        <f t="shared" si="281"/>
        <v>0</v>
      </c>
      <c r="N280" s="33"/>
      <c r="O280" s="33">
        <f>O263+O278</f>
        <v>0</v>
      </c>
      <c r="P280" s="33">
        <f>P263+P278</f>
        <v>0</v>
      </c>
      <c r="Q280" s="33">
        <f>Q263+Q278</f>
        <v>0</v>
      </c>
      <c r="R280" s="33"/>
      <c r="S280" s="33">
        <f t="shared" ref="S280:AD280" si="282">S263+S278</f>
        <v>0</v>
      </c>
      <c r="T280" s="33">
        <f t="shared" si="282"/>
        <v>5067146.2281220704</v>
      </c>
      <c r="U280" s="33">
        <f t="shared" si="282"/>
        <v>0</v>
      </c>
      <c r="V280" s="33">
        <f t="shared" si="282"/>
        <v>10090863.054570101</v>
      </c>
      <c r="W280" s="33">
        <f t="shared" si="282"/>
        <v>16721786.141914036</v>
      </c>
      <c r="X280" s="33">
        <f t="shared" si="282"/>
        <v>5578634.4904066231</v>
      </c>
      <c r="Y280" s="33">
        <f t="shared" si="282"/>
        <v>9213649.9115915429</v>
      </c>
      <c r="Z280" s="33">
        <f t="shared" si="282"/>
        <v>796825.65151179687</v>
      </c>
      <c r="AA280" s="33">
        <f t="shared" si="282"/>
        <v>691048.5933079957</v>
      </c>
      <c r="AB280" s="33">
        <f t="shared" si="282"/>
        <v>474109.80291342363</v>
      </c>
      <c r="AC280" s="33">
        <f t="shared" si="282"/>
        <v>9734584.7409715671</v>
      </c>
      <c r="AD280" s="33">
        <f t="shared" si="282"/>
        <v>555121.01262234303</v>
      </c>
      <c r="AE280" s="33"/>
      <c r="AF280" s="33">
        <f>AF263+AF278</f>
        <v>0</v>
      </c>
      <c r="AG280" s="33"/>
      <c r="AH280" s="33">
        <f>AH263+AH278</f>
        <v>0</v>
      </c>
      <c r="AI280" s="33"/>
      <c r="AJ280" s="33">
        <f>AJ263+AJ278</f>
        <v>0</v>
      </c>
      <c r="AK280" s="33">
        <f>SUM(H280:AJ280)</f>
        <v>58923769.627931491</v>
      </c>
      <c r="AL280" s="30" t="str">
        <f>IF(ABS(AK280-F280)&lt;1,"ok","err")</f>
        <v>ok</v>
      </c>
    </row>
    <row r="281" spans="1:38" x14ac:dyDescent="0.25">
      <c r="D281" s="13"/>
      <c r="E281" s="1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L281" s="30"/>
    </row>
    <row r="282" spans="1:38" x14ac:dyDescent="0.25">
      <c r="A282" s="29" t="s">
        <v>448</v>
      </c>
      <c r="D282" s="113"/>
      <c r="E282" s="13"/>
      <c r="F282" s="33">
        <f t="shared" ref="F282:M282" si="283">F280+F247</f>
        <v>105209539.98357573</v>
      </c>
      <c r="G282" s="33">
        <f t="shared" si="283"/>
        <v>0</v>
      </c>
      <c r="H282" s="33">
        <f t="shared" si="283"/>
        <v>0</v>
      </c>
      <c r="I282" s="33">
        <f t="shared" si="283"/>
        <v>0</v>
      </c>
      <c r="J282" s="33">
        <f t="shared" si="283"/>
        <v>0</v>
      </c>
      <c r="K282" s="33">
        <f t="shared" si="283"/>
        <v>0</v>
      </c>
      <c r="L282" s="33">
        <f t="shared" si="283"/>
        <v>0</v>
      </c>
      <c r="M282" s="33">
        <f t="shared" si="283"/>
        <v>0</v>
      </c>
      <c r="N282" s="33"/>
      <c r="O282" s="33">
        <f>O280+O247</f>
        <v>46285770.355644226</v>
      </c>
      <c r="P282" s="33">
        <f>P280+P247</f>
        <v>0</v>
      </c>
      <c r="Q282" s="33">
        <f>Q280+Q247</f>
        <v>0</v>
      </c>
      <c r="R282" s="33"/>
      <c r="S282" s="33">
        <f t="shared" ref="S282:AD282" si="284">S280+S247</f>
        <v>0</v>
      </c>
      <c r="T282" s="33">
        <f t="shared" si="284"/>
        <v>5067146.2281220704</v>
      </c>
      <c r="U282" s="33">
        <f t="shared" si="284"/>
        <v>0</v>
      </c>
      <c r="V282" s="33">
        <f t="shared" si="284"/>
        <v>10090863.054570101</v>
      </c>
      <c r="W282" s="33">
        <f t="shared" si="284"/>
        <v>16721786.141914036</v>
      </c>
      <c r="X282" s="33">
        <f t="shared" si="284"/>
        <v>5578634.4904066231</v>
      </c>
      <c r="Y282" s="33">
        <f t="shared" si="284"/>
        <v>9213649.9115915429</v>
      </c>
      <c r="Z282" s="33">
        <f t="shared" si="284"/>
        <v>796825.65151179687</v>
      </c>
      <c r="AA282" s="33">
        <f t="shared" si="284"/>
        <v>691048.5933079957</v>
      </c>
      <c r="AB282" s="33">
        <f t="shared" si="284"/>
        <v>474109.80291342363</v>
      </c>
      <c r="AC282" s="33">
        <f t="shared" si="284"/>
        <v>9734584.7409715671</v>
      </c>
      <c r="AD282" s="33">
        <f t="shared" si="284"/>
        <v>555121.01262234303</v>
      </c>
      <c r="AE282" s="33"/>
      <c r="AF282" s="33">
        <f>AF280+AF247</f>
        <v>0</v>
      </c>
      <c r="AG282" s="33"/>
      <c r="AH282" s="33">
        <f>AH280+AH247</f>
        <v>0</v>
      </c>
      <c r="AI282" s="33"/>
      <c r="AJ282" s="33">
        <f>AJ280+AJ247</f>
        <v>0</v>
      </c>
      <c r="AK282" s="33">
        <f>SUM(H282:AJ282)</f>
        <v>105209539.98357573</v>
      </c>
      <c r="AL282" s="30" t="str">
        <f>IF(ABS(AK282-F282)&lt;1,"ok","err")</f>
        <v>ok</v>
      </c>
    </row>
    <row r="283" spans="1:38" x14ac:dyDescent="0.25">
      <c r="D283" s="113"/>
      <c r="E283" s="1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L283" s="30"/>
    </row>
    <row r="284" spans="1:38" x14ac:dyDescent="0.25">
      <c r="A284" s="29" t="s">
        <v>1518</v>
      </c>
      <c r="C284" s="29" t="s">
        <v>276</v>
      </c>
      <c r="D284" s="113"/>
      <c r="E284" s="13"/>
      <c r="F284" s="32">
        <f>F227+F247+F280</f>
        <v>733313186.53743458</v>
      </c>
      <c r="G284" s="32">
        <f>G282+G225</f>
        <v>0</v>
      </c>
      <c r="H284" s="32">
        <f t="shared" ref="H284:M284" si="285">H227+H247+H280</f>
        <v>76121604.982851565</v>
      </c>
      <c r="I284" s="32">
        <f t="shared" si="285"/>
        <v>0</v>
      </c>
      <c r="J284" s="32">
        <f t="shared" si="285"/>
        <v>0</v>
      </c>
      <c r="K284" s="32">
        <f t="shared" si="285"/>
        <v>551982041.57100725</v>
      </c>
      <c r="L284" s="32">
        <f t="shared" si="285"/>
        <v>0</v>
      </c>
      <c r="M284" s="32">
        <f t="shared" si="285"/>
        <v>0</v>
      </c>
      <c r="N284" s="32"/>
      <c r="O284" s="32">
        <f>O227+O247+O280</f>
        <v>46285770.355644226</v>
      </c>
      <c r="P284" s="32">
        <f>P227+P247+P280</f>
        <v>0</v>
      </c>
      <c r="Q284" s="32">
        <f>Q227+Q247+Q280</f>
        <v>0</v>
      </c>
      <c r="R284" s="32"/>
      <c r="S284" s="32">
        <f t="shared" ref="S284:AD284" si="286">S227+S247+S280</f>
        <v>0</v>
      </c>
      <c r="T284" s="32">
        <f t="shared" si="286"/>
        <v>5067146.2281220704</v>
      </c>
      <c r="U284" s="32">
        <f t="shared" si="286"/>
        <v>0</v>
      </c>
      <c r="V284" s="32">
        <f t="shared" si="286"/>
        <v>10090863.054570101</v>
      </c>
      <c r="W284" s="32">
        <f t="shared" si="286"/>
        <v>16721786.141914036</v>
      </c>
      <c r="X284" s="32">
        <f t="shared" si="286"/>
        <v>5578634.4904066231</v>
      </c>
      <c r="Y284" s="32">
        <f t="shared" si="286"/>
        <v>9213649.9115915429</v>
      </c>
      <c r="Z284" s="32">
        <f t="shared" si="286"/>
        <v>796825.65151179687</v>
      </c>
      <c r="AA284" s="32">
        <f t="shared" si="286"/>
        <v>691048.5933079957</v>
      </c>
      <c r="AB284" s="32">
        <f t="shared" si="286"/>
        <v>474109.80291342363</v>
      </c>
      <c r="AC284" s="32">
        <f t="shared" si="286"/>
        <v>9734584.7409715671</v>
      </c>
      <c r="AD284" s="32">
        <f t="shared" si="286"/>
        <v>555121.01262234303</v>
      </c>
      <c r="AE284" s="32"/>
      <c r="AF284" s="32">
        <f>AF227+AF247+AF280</f>
        <v>0</v>
      </c>
      <c r="AG284" s="32"/>
      <c r="AH284" s="32">
        <f>AH227+AH247+AH280</f>
        <v>0</v>
      </c>
      <c r="AI284" s="32"/>
      <c r="AJ284" s="32">
        <f>AJ227+AJ247+AJ280</f>
        <v>0</v>
      </c>
      <c r="AK284" s="33">
        <f>SUM(H284:AJ284)</f>
        <v>733313186.53743446</v>
      </c>
      <c r="AL284" s="30" t="str">
        <f>IF(ABS(AK284-F284)&lt;1,"ok","err")</f>
        <v>ok</v>
      </c>
    </row>
    <row r="285" spans="1:38" x14ac:dyDescent="0.25">
      <c r="A285" s="4"/>
      <c r="D285" s="113"/>
      <c r="E285" s="13"/>
      <c r="F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L285" s="30"/>
    </row>
    <row r="286" spans="1:38" x14ac:dyDescent="0.25">
      <c r="A286" s="4" t="s">
        <v>279</v>
      </c>
      <c r="D286" s="113"/>
      <c r="E286" s="13"/>
      <c r="F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L286" s="30"/>
    </row>
    <row r="287" spans="1:38" x14ac:dyDescent="0.25">
      <c r="A287" s="29">
        <v>901</v>
      </c>
      <c r="B287" s="29" t="s">
        <v>280</v>
      </c>
      <c r="C287" s="29" t="s">
        <v>281</v>
      </c>
      <c r="D287" s="113" t="s">
        <v>690</v>
      </c>
      <c r="E287" s="13"/>
      <c r="F287" s="32">
        <f>'Jurisdictional Study'!F1066</f>
        <v>3992022.870045648</v>
      </c>
      <c r="H287" s="33">
        <f>IF(VLOOKUP($D287,$C$5:$AJ$596,6,)=0,0,((VLOOKUP($D287,$C$5:$AJ$596,6,)/VLOOKUP($D287,$C$5:$AJ$596,4,))*$F287))</f>
        <v>0</v>
      </c>
      <c r="I287" s="33">
        <f>IF(VLOOKUP($D287,$C$5:$AJ$596,7,)=0,0,((VLOOKUP($D287,$C$5:$AJ$596,7,)/VLOOKUP($D287,$C$5:$AJ$596,4,))*$F287))</f>
        <v>0</v>
      </c>
      <c r="J287" s="33">
        <f>IF(VLOOKUP($D287,$C$5:$AJ$596,8,)=0,0,((VLOOKUP($D287,$C$5:$AJ$596,8,)/VLOOKUP($D287,$C$5:$AJ$596,4,))*$F287))</f>
        <v>0</v>
      </c>
      <c r="K287" s="33">
        <f>IF(VLOOKUP($D287,$C$5:$AJ$596,9,)=0,0,((VLOOKUP($D287,$C$5:$AJ$596,9,)/VLOOKUP($D287,$C$5:$AJ$596,4,))*$F287))</f>
        <v>0</v>
      </c>
      <c r="L287" s="33">
        <f>IF(VLOOKUP($D287,$C$5:$AJ$596,10,)=0,0,((VLOOKUP($D287,$C$5:$AJ$596,10,)/VLOOKUP($D287,$C$5:$AJ$596,4,))*$F287))</f>
        <v>0</v>
      </c>
      <c r="M287" s="33">
        <f>IF(VLOOKUP($D287,$C$5:$AJ$596,11,)=0,0,((VLOOKUP($D287,$C$5:$AJ$596,11,)/VLOOKUP($D287,$C$5:$AJ$596,4,))*$F287))</f>
        <v>0</v>
      </c>
      <c r="N287" s="33"/>
      <c r="O287" s="33">
        <f>IF(VLOOKUP($D287,$C$5:$AJ$596,13,)=0,0,((VLOOKUP($D287,$C$5:$AJ$596,13,)/VLOOKUP($D287,$C$5:$AJ$596,4,))*$F287))</f>
        <v>0</v>
      </c>
      <c r="P287" s="33">
        <f>IF(VLOOKUP($D287,$C$5:$AJ$596,14,)=0,0,((VLOOKUP($D287,$C$5:$AJ$596,14,)/VLOOKUP($D287,$C$5:$AJ$596,4,))*$F287))</f>
        <v>0</v>
      </c>
      <c r="Q287" s="33">
        <f>IF(VLOOKUP($D287,$C$5:$AJ$596,15,)=0,0,((VLOOKUP($D287,$C$5:$AJ$596,15,)/VLOOKUP($D287,$C$5:$AJ$596,4,))*$F287))</f>
        <v>0</v>
      </c>
      <c r="R287" s="33"/>
      <c r="S287" s="33">
        <f>IF(VLOOKUP($D287,$C$5:$AJ$596,17,)=0,0,((VLOOKUP($D287,$C$5:$AJ$596,17,)/VLOOKUP($D287,$C$5:$AJ$596,4,))*$F287))</f>
        <v>0</v>
      </c>
      <c r="T287" s="33">
        <f>IF(VLOOKUP($D287,$C$5:$AJ$596,18,)=0,0,((VLOOKUP($D287,$C$5:$AJ$596,18,)/VLOOKUP($D287,$C$5:$AJ$596,4,))*$F287))</f>
        <v>0</v>
      </c>
      <c r="U287" s="33">
        <f>IF(VLOOKUP($D287,$C$5:$AJ$596,19,)=0,0,((VLOOKUP($D287,$C$5:$AJ$596,19,)/VLOOKUP($D287,$C$5:$AJ$596,4,))*$F287))</f>
        <v>0</v>
      </c>
      <c r="V287" s="33">
        <f>IF(VLOOKUP($D287,$C$5:$AJ$596,20,)=0,0,((VLOOKUP($D287,$C$5:$AJ$596,20,)/VLOOKUP($D287,$C$5:$AJ$596,4,))*$F287))</f>
        <v>0</v>
      </c>
      <c r="W287" s="33">
        <f>IF(VLOOKUP($D287,$C$5:$AJ$596,21,)=0,0,((VLOOKUP($D287,$C$5:$AJ$596,21,)/VLOOKUP($D287,$C$5:$AJ$596,4,))*$F287))</f>
        <v>0</v>
      </c>
      <c r="X287" s="33">
        <f>IF(VLOOKUP($D287,$C$5:$AJ$596,22,)=0,0,((VLOOKUP($D287,$C$5:$AJ$596,22,)/VLOOKUP($D287,$C$5:$AJ$596,4,))*$F287))</f>
        <v>0</v>
      </c>
      <c r="Y287" s="33">
        <f>IF(VLOOKUP($D287,$C$5:$AJ$596,23,)=0,0,((VLOOKUP($D287,$C$5:$AJ$596,23,)/VLOOKUP($D287,$C$5:$AJ$596,4,))*$F287))</f>
        <v>0</v>
      </c>
      <c r="Z287" s="33">
        <f>IF(VLOOKUP($D287,$C$5:$AJ$596,24,)=0,0,((VLOOKUP($D287,$C$5:$AJ$596,24,)/VLOOKUP($D287,$C$5:$AJ$596,4,))*$F287))</f>
        <v>0</v>
      </c>
      <c r="AA287" s="33">
        <f>IF(VLOOKUP($D287,$C$5:$AJ$596,25,)=0,0,((VLOOKUP($D287,$C$5:$AJ$596,25,)/VLOOKUP($D287,$C$5:$AJ$596,4,))*$F287))</f>
        <v>0</v>
      </c>
      <c r="AB287" s="33">
        <f>IF(VLOOKUP($D287,$C$5:$AJ$596,26,)=0,0,((VLOOKUP($D287,$C$5:$AJ$596,26,)/VLOOKUP($D287,$C$5:$AJ$596,4,))*$F287))</f>
        <v>0</v>
      </c>
      <c r="AC287" s="33">
        <f>IF(VLOOKUP($D287,$C$5:$AJ$596,27,)=0,0,((VLOOKUP($D287,$C$5:$AJ$596,27,)/VLOOKUP($D287,$C$5:$AJ$596,4,))*$F287))</f>
        <v>0</v>
      </c>
      <c r="AD287" s="33">
        <f>IF(VLOOKUP($D287,$C$5:$AJ$596,28,)=0,0,((VLOOKUP($D287,$C$5:$AJ$596,28,)/VLOOKUP($D287,$C$5:$AJ$596,4,))*$F287))</f>
        <v>0</v>
      </c>
      <c r="AE287" s="33"/>
      <c r="AF287" s="33">
        <f>IF(VLOOKUP($D287,$C$5:$AJ$596,30,)=0,0,((VLOOKUP($D287,$C$5:$AJ$596,30,)/VLOOKUP($D287,$C$5:$AJ$596,4,))*$F287))</f>
        <v>3992022.870045648</v>
      </c>
      <c r="AG287" s="33"/>
      <c r="AH287" s="33">
        <f>IF(VLOOKUP($D287,$C$5:$AJ$596,32,)=0,0,((VLOOKUP($D287,$C$5:$AJ$596,32,)/VLOOKUP($D287,$C$5:$AJ$596,4,))*$F287))</f>
        <v>0</v>
      </c>
      <c r="AI287" s="33"/>
      <c r="AJ287" s="33">
        <f>IF(VLOOKUP($D287,$C$5:$AJ$596,34,)=0,0,((VLOOKUP($D287,$C$5:$AJ$596,34,)/VLOOKUP($D287,$C$5:$AJ$596,4,))*$F287))</f>
        <v>0</v>
      </c>
      <c r="AK287" s="33">
        <f>SUM(H287:AJ287)</f>
        <v>3992022.870045648</v>
      </c>
      <c r="AL287" s="30" t="str">
        <f>IF(ABS(AK287-F287)&lt;1,"ok","err")</f>
        <v>ok</v>
      </c>
    </row>
    <row r="288" spans="1:38" x14ac:dyDescent="0.25">
      <c r="A288" s="29">
        <v>902</v>
      </c>
      <c r="B288" s="29" t="s">
        <v>283</v>
      </c>
      <c r="C288" s="29" t="s">
        <v>284</v>
      </c>
      <c r="D288" s="13" t="s">
        <v>690</v>
      </c>
      <c r="E288" s="13"/>
      <c r="F288" s="33">
        <f>'Jurisdictional Study'!F1067</f>
        <v>8696616.2571072802</v>
      </c>
      <c r="H288" s="33">
        <f>IF(VLOOKUP($D288,$C$5:$AJ$596,6,)=0,0,((VLOOKUP($D288,$C$5:$AJ$596,6,)/VLOOKUP($D288,$C$5:$AJ$596,4,))*$F288))</f>
        <v>0</v>
      </c>
      <c r="I288" s="33">
        <f>IF(VLOOKUP($D288,$C$5:$AJ$596,7,)=0,0,((VLOOKUP($D288,$C$5:$AJ$596,7,)/VLOOKUP($D288,$C$5:$AJ$596,4,))*$F288))</f>
        <v>0</v>
      </c>
      <c r="J288" s="33">
        <f>IF(VLOOKUP($D288,$C$5:$AJ$596,8,)=0,0,((VLOOKUP($D288,$C$5:$AJ$596,8,)/VLOOKUP($D288,$C$5:$AJ$596,4,))*$F288))</f>
        <v>0</v>
      </c>
      <c r="K288" s="33">
        <f>IF(VLOOKUP($D288,$C$5:$AJ$596,9,)=0,0,((VLOOKUP($D288,$C$5:$AJ$596,9,)/VLOOKUP($D288,$C$5:$AJ$596,4,))*$F288))</f>
        <v>0</v>
      </c>
      <c r="L288" s="33">
        <f>IF(VLOOKUP($D288,$C$5:$AJ$596,10,)=0,0,((VLOOKUP($D288,$C$5:$AJ$596,10,)/VLOOKUP($D288,$C$5:$AJ$596,4,))*$F288))</f>
        <v>0</v>
      </c>
      <c r="M288" s="33">
        <f>IF(VLOOKUP($D288,$C$5:$AJ$596,11,)=0,0,((VLOOKUP($D288,$C$5:$AJ$596,11,)/VLOOKUP($D288,$C$5:$AJ$596,4,))*$F288))</f>
        <v>0</v>
      </c>
      <c r="N288" s="33"/>
      <c r="O288" s="33">
        <f>IF(VLOOKUP($D288,$C$5:$AJ$596,13,)=0,0,((VLOOKUP($D288,$C$5:$AJ$596,13,)/VLOOKUP($D288,$C$5:$AJ$596,4,))*$F288))</f>
        <v>0</v>
      </c>
      <c r="P288" s="33">
        <f>IF(VLOOKUP($D288,$C$5:$AJ$596,14,)=0,0,((VLOOKUP($D288,$C$5:$AJ$596,14,)/VLOOKUP($D288,$C$5:$AJ$596,4,))*$F288))</f>
        <v>0</v>
      </c>
      <c r="Q288" s="33">
        <f>IF(VLOOKUP($D288,$C$5:$AJ$596,15,)=0,0,((VLOOKUP($D288,$C$5:$AJ$596,15,)/VLOOKUP($D288,$C$5:$AJ$596,4,))*$F288))</f>
        <v>0</v>
      </c>
      <c r="R288" s="33"/>
      <c r="S288" s="33">
        <f>IF(VLOOKUP($D288,$C$5:$AJ$596,17,)=0,0,((VLOOKUP($D288,$C$5:$AJ$596,17,)/VLOOKUP($D288,$C$5:$AJ$596,4,))*$F288))</f>
        <v>0</v>
      </c>
      <c r="T288" s="33">
        <f>IF(VLOOKUP($D288,$C$5:$AJ$596,18,)=0,0,((VLOOKUP($D288,$C$5:$AJ$596,18,)/VLOOKUP($D288,$C$5:$AJ$596,4,))*$F288))</f>
        <v>0</v>
      </c>
      <c r="U288" s="33">
        <f>IF(VLOOKUP($D288,$C$5:$AJ$596,19,)=0,0,((VLOOKUP($D288,$C$5:$AJ$596,19,)/VLOOKUP($D288,$C$5:$AJ$596,4,))*$F288))</f>
        <v>0</v>
      </c>
      <c r="V288" s="33">
        <f>IF(VLOOKUP($D288,$C$5:$AJ$596,20,)=0,0,((VLOOKUP($D288,$C$5:$AJ$596,20,)/VLOOKUP($D288,$C$5:$AJ$596,4,))*$F288))</f>
        <v>0</v>
      </c>
      <c r="W288" s="33">
        <f>IF(VLOOKUP($D288,$C$5:$AJ$596,21,)=0,0,((VLOOKUP($D288,$C$5:$AJ$596,21,)/VLOOKUP($D288,$C$5:$AJ$596,4,))*$F288))</f>
        <v>0</v>
      </c>
      <c r="X288" s="33">
        <f>IF(VLOOKUP($D288,$C$5:$AJ$596,22,)=0,0,((VLOOKUP($D288,$C$5:$AJ$596,22,)/VLOOKUP($D288,$C$5:$AJ$596,4,))*$F288))</f>
        <v>0</v>
      </c>
      <c r="Y288" s="33">
        <f>IF(VLOOKUP($D288,$C$5:$AJ$596,23,)=0,0,((VLOOKUP($D288,$C$5:$AJ$596,23,)/VLOOKUP($D288,$C$5:$AJ$596,4,))*$F288))</f>
        <v>0</v>
      </c>
      <c r="Z288" s="33">
        <f>IF(VLOOKUP($D288,$C$5:$AJ$596,24,)=0,0,((VLOOKUP($D288,$C$5:$AJ$596,24,)/VLOOKUP($D288,$C$5:$AJ$596,4,))*$F288))</f>
        <v>0</v>
      </c>
      <c r="AA288" s="33">
        <f>IF(VLOOKUP($D288,$C$5:$AJ$596,25,)=0,0,((VLOOKUP($D288,$C$5:$AJ$596,25,)/VLOOKUP($D288,$C$5:$AJ$596,4,))*$F288))</f>
        <v>0</v>
      </c>
      <c r="AB288" s="33">
        <f>IF(VLOOKUP($D288,$C$5:$AJ$596,26,)=0,0,((VLOOKUP($D288,$C$5:$AJ$596,26,)/VLOOKUP($D288,$C$5:$AJ$596,4,))*$F288))</f>
        <v>0</v>
      </c>
      <c r="AC288" s="33">
        <f>IF(VLOOKUP($D288,$C$5:$AJ$596,27,)=0,0,((VLOOKUP($D288,$C$5:$AJ$596,27,)/VLOOKUP($D288,$C$5:$AJ$596,4,))*$F288))</f>
        <v>0</v>
      </c>
      <c r="AD288" s="33">
        <f>IF(VLOOKUP($D288,$C$5:$AJ$596,28,)=0,0,((VLOOKUP($D288,$C$5:$AJ$596,28,)/VLOOKUP($D288,$C$5:$AJ$596,4,))*$F288))</f>
        <v>0</v>
      </c>
      <c r="AE288" s="33"/>
      <c r="AF288" s="33">
        <f>IF(VLOOKUP($D288,$C$5:$AJ$596,30,)=0,0,((VLOOKUP($D288,$C$5:$AJ$596,30,)/VLOOKUP($D288,$C$5:$AJ$596,4,))*$F288))</f>
        <v>8696616.2571072802</v>
      </c>
      <c r="AG288" s="33"/>
      <c r="AH288" s="33">
        <f>IF(VLOOKUP($D288,$C$5:$AJ$596,32,)=0,0,((VLOOKUP($D288,$C$5:$AJ$596,32,)/VLOOKUP($D288,$C$5:$AJ$596,4,))*$F288))</f>
        <v>0</v>
      </c>
      <c r="AI288" s="33"/>
      <c r="AJ288" s="33">
        <f>IF(VLOOKUP($D288,$C$5:$AJ$596,34,)=0,0,((VLOOKUP($D288,$C$5:$AJ$596,34,)/VLOOKUP($D288,$C$5:$AJ$596,4,))*$F288))</f>
        <v>0</v>
      </c>
      <c r="AK288" s="33">
        <f>SUM(H288:AJ288)</f>
        <v>8696616.2571072802</v>
      </c>
      <c r="AL288" s="30" t="str">
        <f>IF(ABS(AK288-F288)&lt;1,"ok","err")</f>
        <v>ok</v>
      </c>
    </row>
    <row r="289" spans="1:38" x14ac:dyDescent="0.25">
      <c r="A289" s="29">
        <v>903</v>
      </c>
      <c r="B289" s="29" t="s">
        <v>1274</v>
      </c>
      <c r="C289" s="29" t="s">
        <v>285</v>
      </c>
      <c r="D289" s="113" t="s">
        <v>690</v>
      </c>
      <c r="E289" s="13"/>
      <c r="F289" s="33">
        <f>'Jurisdictional Study'!F1068</f>
        <v>20079309.159296617</v>
      </c>
      <c r="H289" s="33">
        <f>IF(VLOOKUP($D289,$C$5:$AJ$596,6,)=0,0,((VLOOKUP($D289,$C$5:$AJ$596,6,)/VLOOKUP($D289,$C$5:$AJ$596,4,))*$F289))</f>
        <v>0</v>
      </c>
      <c r="I289" s="33">
        <f>IF(VLOOKUP($D289,$C$5:$AJ$596,7,)=0,0,((VLOOKUP($D289,$C$5:$AJ$596,7,)/VLOOKUP($D289,$C$5:$AJ$596,4,))*$F289))</f>
        <v>0</v>
      </c>
      <c r="J289" s="33">
        <f>IF(VLOOKUP($D289,$C$5:$AJ$596,8,)=0,0,((VLOOKUP($D289,$C$5:$AJ$596,8,)/VLOOKUP($D289,$C$5:$AJ$596,4,))*$F289))</f>
        <v>0</v>
      </c>
      <c r="K289" s="33">
        <f>IF(VLOOKUP($D289,$C$5:$AJ$596,9,)=0,0,((VLOOKUP($D289,$C$5:$AJ$596,9,)/VLOOKUP($D289,$C$5:$AJ$596,4,))*$F289))</f>
        <v>0</v>
      </c>
      <c r="L289" s="33">
        <f>IF(VLOOKUP($D289,$C$5:$AJ$596,10,)=0,0,((VLOOKUP($D289,$C$5:$AJ$596,10,)/VLOOKUP($D289,$C$5:$AJ$596,4,))*$F289))</f>
        <v>0</v>
      </c>
      <c r="M289" s="33">
        <f>IF(VLOOKUP($D289,$C$5:$AJ$596,11,)=0,0,((VLOOKUP($D289,$C$5:$AJ$596,11,)/VLOOKUP($D289,$C$5:$AJ$596,4,))*$F289))</f>
        <v>0</v>
      </c>
      <c r="N289" s="33"/>
      <c r="O289" s="33">
        <f>IF(VLOOKUP($D289,$C$5:$AJ$596,13,)=0,0,((VLOOKUP($D289,$C$5:$AJ$596,13,)/VLOOKUP($D289,$C$5:$AJ$596,4,))*$F289))</f>
        <v>0</v>
      </c>
      <c r="P289" s="33">
        <f>IF(VLOOKUP($D289,$C$5:$AJ$596,14,)=0,0,((VLOOKUP($D289,$C$5:$AJ$596,14,)/VLOOKUP($D289,$C$5:$AJ$596,4,))*$F289))</f>
        <v>0</v>
      </c>
      <c r="Q289" s="33">
        <f>IF(VLOOKUP($D289,$C$5:$AJ$596,15,)=0,0,((VLOOKUP($D289,$C$5:$AJ$596,15,)/VLOOKUP($D289,$C$5:$AJ$596,4,))*$F289))</f>
        <v>0</v>
      </c>
      <c r="R289" s="33"/>
      <c r="S289" s="33">
        <f>IF(VLOOKUP($D289,$C$5:$AJ$596,17,)=0,0,((VLOOKUP($D289,$C$5:$AJ$596,17,)/VLOOKUP($D289,$C$5:$AJ$596,4,))*$F289))</f>
        <v>0</v>
      </c>
      <c r="T289" s="33">
        <f>IF(VLOOKUP($D289,$C$5:$AJ$596,18,)=0,0,((VLOOKUP($D289,$C$5:$AJ$596,18,)/VLOOKUP($D289,$C$5:$AJ$596,4,))*$F289))</f>
        <v>0</v>
      </c>
      <c r="U289" s="33">
        <f>IF(VLOOKUP($D289,$C$5:$AJ$596,19,)=0,0,((VLOOKUP($D289,$C$5:$AJ$596,19,)/VLOOKUP($D289,$C$5:$AJ$596,4,))*$F289))</f>
        <v>0</v>
      </c>
      <c r="V289" s="33">
        <f>IF(VLOOKUP($D289,$C$5:$AJ$596,20,)=0,0,((VLOOKUP($D289,$C$5:$AJ$596,20,)/VLOOKUP($D289,$C$5:$AJ$596,4,))*$F289))</f>
        <v>0</v>
      </c>
      <c r="W289" s="33">
        <f>IF(VLOOKUP($D289,$C$5:$AJ$596,21,)=0,0,((VLOOKUP($D289,$C$5:$AJ$596,21,)/VLOOKUP($D289,$C$5:$AJ$596,4,))*$F289))</f>
        <v>0</v>
      </c>
      <c r="X289" s="33">
        <f>IF(VLOOKUP($D289,$C$5:$AJ$596,22,)=0,0,((VLOOKUP($D289,$C$5:$AJ$596,22,)/VLOOKUP($D289,$C$5:$AJ$596,4,))*$F289))</f>
        <v>0</v>
      </c>
      <c r="Y289" s="33">
        <f>IF(VLOOKUP($D289,$C$5:$AJ$596,23,)=0,0,((VLOOKUP($D289,$C$5:$AJ$596,23,)/VLOOKUP($D289,$C$5:$AJ$596,4,))*$F289))</f>
        <v>0</v>
      </c>
      <c r="Z289" s="33">
        <f>IF(VLOOKUP($D289,$C$5:$AJ$596,24,)=0,0,((VLOOKUP($D289,$C$5:$AJ$596,24,)/VLOOKUP($D289,$C$5:$AJ$596,4,))*$F289))</f>
        <v>0</v>
      </c>
      <c r="AA289" s="33">
        <f>IF(VLOOKUP($D289,$C$5:$AJ$596,25,)=0,0,((VLOOKUP($D289,$C$5:$AJ$596,25,)/VLOOKUP($D289,$C$5:$AJ$596,4,))*$F289))</f>
        <v>0</v>
      </c>
      <c r="AB289" s="33">
        <f>IF(VLOOKUP($D289,$C$5:$AJ$596,26,)=0,0,((VLOOKUP($D289,$C$5:$AJ$596,26,)/VLOOKUP($D289,$C$5:$AJ$596,4,))*$F289))</f>
        <v>0</v>
      </c>
      <c r="AC289" s="33">
        <f>IF(VLOOKUP($D289,$C$5:$AJ$596,27,)=0,0,((VLOOKUP($D289,$C$5:$AJ$596,27,)/VLOOKUP($D289,$C$5:$AJ$596,4,))*$F289))</f>
        <v>0</v>
      </c>
      <c r="AD289" s="33">
        <f>IF(VLOOKUP($D289,$C$5:$AJ$596,28,)=0,0,((VLOOKUP($D289,$C$5:$AJ$596,28,)/VLOOKUP($D289,$C$5:$AJ$596,4,))*$F289))</f>
        <v>0</v>
      </c>
      <c r="AE289" s="33"/>
      <c r="AF289" s="33">
        <f>IF(VLOOKUP($D289,$C$5:$AJ$596,30,)=0,0,((VLOOKUP($D289,$C$5:$AJ$596,30,)/VLOOKUP($D289,$C$5:$AJ$596,4,))*$F289))</f>
        <v>20079309.159296617</v>
      </c>
      <c r="AG289" s="33"/>
      <c r="AH289" s="33">
        <f>IF(VLOOKUP($D289,$C$5:$AJ$596,32,)=0,0,((VLOOKUP($D289,$C$5:$AJ$596,32,)/VLOOKUP($D289,$C$5:$AJ$596,4,))*$F289))</f>
        <v>0</v>
      </c>
      <c r="AI289" s="33"/>
      <c r="AJ289" s="33">
        <f>IF(VLOOKUP($D289,$C$5:$AJ$596,34,)=0,0,((VLOOKUP($D289,$C$5:$AJ$596,34,)/VLOOKUP($D289,$C$5:$AJ$596,4,))*$F289))</f>
        <v>0</v>
      </c>
      <c r="AK289" s="33">
        <f>SUM(H289:AJ289)</f>
        <v>20079309.159296617</v>
      </c>
      <c r="AL289" s="30" t="str">
        <f>IF(ABS(AK289-F289)&lt;1,"ok","err")</f>
        <v>ok</v>
      </c>
    </row>
    <row r="290" spans="1:38" x14ac:dyDescent="0.25">
      <c r="A290" s="29">
        <v>904</v>
      </c>
      <c r="B290" s="29" t="s">
        <v>286</v>
      </c>
      <c r="C290" s="29" t="s">
        <v>287</v>
      </c>
      <c r="D290" s="113" t="s">
        <v>690</v>
      </c>
      <c r="E290" s="13"/>
      <c r="F290" s="33">
        <f>'Jurisdictional Study'!F1069</f>
        <v>4897522.1996428007</v>
      </c>
      <c r="H290" s="33">
        <f>IF(VLOOKUP($D290,$C$5:$AJ$596,6,)=0,0,((VLOOKUP($D290,$C$5:$AJ$596,6,)/VLOOKUP($D290,$C$5:$AJ$596,4,))*$F290))</f>
        <v>0</v>
      </c>
      <c r="I290" s="33">
        <f>IF(VLOOKUP($D290,$C$5:$AJ$596,7,)=0,0,((VLOOKUP($D290,$C$5:$AJ$596,7,)/VLOOKUP($D290,$C$5:$AJ$596,4,))*$F290))</f>
        <v>0</v>
      </c>
      <c r="J290" s="33">
        <f>IF(VLOOKUP($D290,$C$5:$AJ$596,8,)=0,0,((VLOOKUP($D290,$C$5:$AJ$596,8,)/VLOOKUP($D290,$C$5:$AJ$596,4,))*$F290))</f>
        <v>0</v>
      </c>
      <c r="K290" s="33">
        <f>IF(VLOOKUP($D290,$C$5:$AJ$596,9,)=0,0,((VLOOKUP($D290,$C$5:$AJ$596,9,)/VLOOKUP($D290,$C$5:$AJ$596,4,))*$F290))</f>
        <v>0</v>
      </c>
      <c r="L290" s="33">
        <f>IF(VLOOKUP($D290,$C$5:$AJ$596,10,)=0,0,((VLOOKUP($D290,$C$5:$AJ$596,10,)/VLOOKUP($D290,$C$5:$AJ$596,4,))*$F290))</f>
        <v>0</v>
      </c>
      <c r="M290" s="33">
        <f>IF(VLOOKUP($D290,$C$5:$AJ$596,11,)=0,0,((VLOOKUP($D290,$C$5:$AJ$596,11,)/VLOOKUP($D290,$C$5:$AJ$596,4,))*$F290))</f>
        <v>0</v>
      </c>
      <c r="N290" s="33"/>
      <c r="O290" s="33">
        <f>IF(VLOOKUP($D290,$C$5:$AJ$596,13,)=0,0,((VLOOKUP($D290,$C$5:$AJ$596,13,)/VLOOKUP($D290,$C$5:$AJ$596,4,))*$F290))</f>
        <v>0</v>
      </c>
      <c r="P290" s="33">
        <f>IF(VLOOKUP($D290,$C$5:$AJ$596,14,)=0,0,((VLOOKUP($D290,$C$5:$AJ$596,14,)/VLOOKUP($D290,$C$5:$AJ$596,4,))*$F290))</f>
        <v>0</v>
      </c>
      <c r="Q290" s="33">
        <f>IF(VLOOKUP($D290,$C$5:$AJ$596,15,)=0,0,((VLOOKUP($D290,$C$5:$AJ$596,15,)/VLOOKUP($D290,$C$5:$AJ$596,4,))*$F290))</f>
        <v>0</v>
      </c>
      <c r="R290" s="33"/>
      <c r="S290" s="33">
        <f>IF(VLOOKUP($D290,$C$5:$AJ$596,17,)=0,0,((VLOOKUP($D290,$C$5:$AJ$596,17,)/VLOOKUP($D290,$C$5:$AJ$596,4,))*$F290))</f>
        <v>0</v>
      </c>
      <c r="T290" s="33">
        <f>IF(VLOOKUP($D290,$C$5:$AJ$596,18,)=0,0,((VLOOKUP($D290,$C$5:$AJ$596,18,)/VLOOKUP($D290,$C$5:$AJ$596,4,))*$F290))</f>
        <v>0</v>
      </c>
      <c r="U290" s="33">
        <f>IF(VLOOKUP($D290,$C$5:$AJ$596,19,)=0,0,((VLOOKUP($D290,$C$5:$AJ$596,19,)/VLOOKUP($D290,$C$5:$AJ$596,4,))*$F290))</f>
        <v>0</v>
      </c>
      <c r="V290" s="33">
        <f>IF(VLOOKUP($D290,$C$5:$AJ$596,20,)=0,0,((VLOOKUP($D290,$C$5:$AJ$596,20,)/VLOOKUP($D290,$C$5:$AJ$596,4,))*$F290))</f>
        <v>0</v>
      </c>
      <c r="W290" s="33">
        <f>IF(VLOOKUP($D290,$C$5:$AJ$596,21,)=0,0,((VLOOKUP($D290,$C$5:$AJ$596,21,)/VLOOKUP($D290,$C$5:$AJ$596,4,))*$F290))</f>
        <v>0</v>
      </c>
      <c r="X290" s="33">
        <f>IF(VLOOKUP($D290,$C$5:$AJ$596,22,)=0,0,((VLOOKUP($D290,$C$5:$AJ$596,22,)/VLOOKUP($D290,$C$5:$AJ$596,4,))*$F290))</f>
        <v>0</v>
      </c>
      <c r="Y290" s="33">
        <f>IF(VLOOKUP($D290,$C$5:$AJ$596,23,)=0,0,((VLOOKUP($D290,$C$5:$AJ$596,23,)/VLOOKUP($D290,$C$5:$AJ$596,4,))*$F290))</f>
        <v>0</v>
      </c>
      <c r="Z290" s="33">
        <f>IF(VLOOKUP($D290,$C$5:$AJ$596,24,)=0,0,((VLOOKUP($D290,$C$5:$AJ$596,24,)/VLOOKUP($D290,$C$5:$AJ$596,4,))*$F290))</f>
        <v>0</v>
      </c>
      <c r="AA290" s="33">
        <f>IF(VLOOKUP($D290,$C$5:$AJ$596,25,)=0,0,((VLOOKUP($D290,$C$5:$AJ$596,25,)/VLOOKUP($D290,$C$5:$AJ$596,4,))*$F290))</f>
        <v>0</v>
      </c>
      <c r="AB290" s="33">
        <f>IF(VLOOKUP($D290,$C$5:$AJ$596,26,)=0,0,((VLOOKUP($D290,$C$5:$AJ$596,26,)/VLOOKUP($D290,$C$5:$AJ$596,4,))*$F290))</f>
        <v>0</v>
      </c>
      <c r="AC290" s="33">
        <f>IF(VLOOKUP($D290,$C$5:$AJ$596,27,)=0,0,((VLOOKUP($D290,$C$5:$AJ$596,27,)/VLOOKUP($D290,$C$5:$AJ$596,4,))*$F290))</f>
        <v>0</v>
      </c>
      <c r="AD290" s="33">
        <f>IF(VLOOKUP($D290,$C$5:$AJ$596,28,)=0,0,((VLOOKUP($D290,$C$5:$AJ$596,28,)/VLOOKUP($D290,$C$5:$AJ$596,4,))*$F290))</f>
        <v>0</v>
      </c>
      <c r="AE290" s="33"/>
      <c r="AF290" s="33">
        <f>IF(VLOOKUP($D290,$C$5:$AJ$596,30,)=0,0,((VLOOKUP($D290,$C$5:$AJ$596,30,)/VLOOKUP($D290,$C$5:$AJ$596,4,))*$F290))</f>
        <v>4897522.1996428007</v>
      </c>
      <c r="AG290" s="33"/>
      <c r="AH290" s="33">
        <f>IF(VLOOKUP($D290,$C$5:$AJ$596,32,)=0,0,((VLOOKUP($D290,$C$5:$AJ$596,32,)/VLOOKUP($D290,$C$5:$AJ$596,4,))*$F290))</f>
        <v>0</v>
      </c>
      <c r="AI290" s="33"/>
      <c r="AJ290" s="33">
        <f>IF(VLOOKUP($D290,$C$5:$AJ$596,34,)=0,0,((VLOOKUP($D290,$C$5:$AJ$596,34,)/VLOOKUP($D290,$C$5:$AJ$596,4,))*$F290))</f>
        <v>0</v>
      </c>
      <c r="AK290" s="33">
        <f>SUM(H290:AJ290)</f>
        <v>4897522.1996428007</v>
      </c>
      <c r="AL290" s="30" t="str">
        <f>IF(ABS(AK290-F290)&lt;1,"ok","err")</f>
        <v>ok</v>
      </c>
    </row>
    <row r="291" spans="1:38" x14ac:dyDescent="0.25">
      <c r="A291" s="29">
        <v>905</v>
      </c>
      <c r="B291" s="29" t="s">
        <v>1275</v>
      </c>
      <c r="C291" s="29" t="s">
        <v>285</v>
      </c>
      <c r="D291" s="113" t="s">
        <v>690</v>
      </c>
      <c r="E291" s="13"/>
      <c r="F291" s="33">
        <f>'Jurisdictional Study'!F1070</f>
        <v>0</v>
      </c>
      <c r="H291" s="33">
        <f>IF(VLOOKUP($D291,$C$5:$AJ$596,6,)=0,0,((VLOOKUP($D291,$C$5:$AJ$596,6,)/VLOOKUP($D291,$C$5:$AJ$596,4,))*$F291))</f>
        <v>0</v>
      </c>
      <c r="I291" s="33">
        <f>IF(VLOOKUP($D291,$C$5:$AJ$596,7,)=0,0,((VLOOKUP($D291,$C$5:$AJ$596,7,)/VLOOKUP($D291,$C$5:$AJ$596,4,))*$F291))</f>
        <v>0</v>
      </c>
      <c r="J291" s="33">
        <f>IF(VLOOKUP($D291,$C$5:$AJ$596,8,)=0,0,((VLOOKUP($D291,$C$5:$AJ$596,8,)/VLOOKUP($D291,$C$5:$AJ$596,4,))*$F291))</f>
        <v>0</v>
      </c>
      <c r="K291" s="33">
        <f>IF(VLOOKUP($D291,$C$5:$AJ$596,9,)=0,0,((VLOOKUP($D291,$C$5:$AJ$596,9,)/VLOOKUP($D291,$C$5:$AJ$596,4,))*$F291))</f>
        <v>0</v>
      </c>
      <c r="L291" s="33">
        <f>IF(VLOOKUP($D291,$C$5:$AJ$596,10,)=0,0,((VLOOKUP($D291,$C$5:$AJ$596,10,)/VLOOKUP($D291,$C$5:$AJ$596,4,))*$F291))</f>
        <v>0</v>
      </c>
      <c r="M291" s="33">
        <f>IF(VLOOKUP($D291,$C$5:$AJ$596,11,)=0,0,((VLOOKUP($D291,$C$5:$AJ$596,11,)/VLOOKUP($D291,$C$5:$AJ$596,4,))*$F291))</f>
        <v>0</v>
      </c>
      <c r="N291" s="33"/>
      <c r="O291" s="33">
        <f>IF(VLOOKUP($D291,$C$5:$AJ$596,13,)=0,0,((VLOOKUP($D291,$C$5:$AJ$596,13,)/VLOOKUP($D291,$C$5:$AJ$596,4,))*$F291))</f>
        <v>0</v>
      </c>
      <c r="P291" s="33">
        <f>IF(VLOOKUP($D291,$C$5:$AJ$596,14,)=0,0,((VLOOKUP($D291,$C$5:$AJ$596,14,)/VLOOKUP($D291,$C$5:$AJ$596,4,))*$F291))</f>
        <v>0</v>
      </c>
      <c r="Q291" s="33">
        <f>IF(VLOOKUP($D291,$C$5:$AJ$596,15,)=0,0,((VLOOKUP($D291,$C$5:$AJ$596,15,)/VLOOKUP($D291,$C$5:$AJ$596,4,))*$F291))</f>
        <v>0</v>
      </c>
      <c r="R291" s="33"/>
      <c r="S291" s="33">
        <f>IF(VLOOKUP($D291,$C$5:$AJ$596,17,)=0,0,((VLOOKUP($D291,$C$5:$AJ$596,17,)/VLOOKUP($D291,$C$5:$AJ$596,4,))*$F291))</f>
        <v>0</v>
      </c>
      <c r="T291" s="33">
        <f>IF(VLOOKUP($D291,$C$5:$AJ$596,18,)=0,0,((VLOOKUP($D291,$C$5:$AJ$596,18,)/VLOOKUP($D291,$C$5:$AJ$596,4,))*$F291))</f>
        <v>0</v>
      </c>
      <c r="U291" s="33">
        <f>IF(VLOOKUP($D291,$C$5:$AJ$596,19,)=0,0,((VLOOKUP($D291,$C$5:$AJ$596,19,)/VLOOKUP($D291,$C$5:$AJ$596,4,))*$F291))</f>
        <v>0</v>
      </c>
      <c r="V291" s="33">
        <f>IF(VLOOKUP($D291,$C$5:$AJ$596,20,)=0,0,((VLOOKUP($D291,$C$5:$AJ$596,20,)/VLOOKUP($D291,$C$5:$AJ$596,4,))*$F291))</f>
        <v>0</v>
      </c>
      <c r="W291" s="33">
        <f>IF(VLOOKUP($D291,$C$5:$AJ$596,21,)=0,0,((VLOOKUP($D291,$C$5:$AJ$596,21,)/VLOOKUP($D291,$C$5:$AJ$596,4,))*$F291))</f>
        <v>0</v>
      </c>
      <c r="X291" s="33">
        <f>IF(VLOOKUP($D291,$C$5:$AJ$596,22,)=0,0,((VLOOKUP($D291,$C$5:$AJ$596,22,)/VLOOKUP($D291,$C$5:$AJ$596,4,))*$F291))</f>
        <v>0</v>
      </c>
      <c r="Y291" s="33">
        <f>IF(VLOOKUP($D291,$C$5:$AJ$596,23,)=0,0,((VLOOKUP($D291,$C$5:$AJ$596,23,)/VLOOKUP($D291,$C$5:$AJ$596,4,))*$F291))</f>
        <v>0</v>
      </c>
      <c r="Z291" s="33">
        <f>IF(VLOOKUP($D291,$C$5:$AJ$596,24,)=0,0,((VLOOKUP($D291,$C$5:$AJ$596,24,)/VLOOKUP($D291,$C$5:$AJ$596,4,))*$F291))</f>
        <v>0</v>
      </c>
      <c r="AA291" s="33">
        <f>IF(VLOOKUP($D291,$C$5:$AJ$596,25,)=0,0,((VLOOKUP($D291,$C$5:$AJ$596,25,)/VLOOKUP($D291,$C$5:$AJ$596,4,))*$F291))</f>
        <v>0</v>
      </c>
      <c r="AB291" s="33">
        <f>IF(VLOOKUP($D291,$C$5:$AJ$596,26,)=0,0,((VLOOKUP($D291,$C$5:$AJ$596,26,)/VLOOKUP($D291,$C$5:$AJ$596,4,))*$F291))</f>
        <v>0</v>
      </c>
      <c r="AC291" s="33">
        <f>IF(VLOOKUP($D291,$C$5:$AJ$596,27,)=0,0,((VLOOKUP($D291,$C$5:$AJ$596,27,)/VLOOKUP($D291,$C$5:$AJ$596,4,))*$F291))</f>
        <v>0</v>
      </c>
      <c r="AD291" s="33">
        <f>IF(VLOOKUP($D291,$C$5:$AJ$596,28,)=0,0,((VLOOKUP($D291,$C$5:$AJ$596,28,)/VLOOKUP($D291,$C$5:$AJ$596,4,))*$F291))</f>
        <v>0</v>
      </c>
      <c r="AE291" s="33"/>
      <c r="AF291" s="33">
        <f>IF(VLOOKUP($D291,$C$5:$AJ$596,30,)=0,0,((VLOOKUP($D291,$C$5:$AJ$596,30,)/VLOOKUP($D291,$C$5:$AJ$596,4,))*$F291))</f>
        <v>0</v>
      </c>
      <c r="AG291" s="33"/>
      <c r="AH291" s="33">
        <f>IF(VLOOKUP($D291,$C$5:$AJ$596,32,)=0,0,((VLOOKUP($D291,$C$5:$AJ$596,32,)/VLOOKUP($D291,$C$5:$AJ$596,4,))*$F291))</f>
        <v>0</v>
      </c>
      <c r="AI291" s="33"/>
      <c r="AJ291" s="33">
        <f>IF(VLOOKUP($D291,$C$5:$AJ$596,34,)=0,0,((VLOOKUP($D291,$C$5:$AJ$596,34,)/VLOOKUP($D291,$C$5:$AJ$596,4,))*$F291))</f>
        <v>0</v>
      </c>
      <c r="AK291" s="33">
        <f>SUM(H291:AJ291)</f>
        <v>0</v>
      </c>
      <c r="AL291" s="30" t="str">
        <f>IF(ABS(AK291-F291)&lt;1,"ok","err")</f>
        <v>ok</v>
      </c>
    </row>
    <row r="292" spans="1:38" x14ac:dyDescent="0.25">
      <c r="A292" s="4"/>
      <c r="D292" s="113"/>
      <c r="E292" s="13"/>
      <c r="F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0"/>
    </row>
    <row r="293" spans="1:38" x14ac:dyDescent="0.25">
      <c r="A293" s="29" t="s">
        <v>288</v>
      </c>
      <c r="C293" s="29" t="s">
        <v>289</v>
      </c>
      <c r="D293" s="113"/>
      <c r="E293" s="13"/>
      <c r="F293" s="32">
        <f t="shared" ref="F293:M293" si="287">SUM(F287:F292)</f>
        <v>37665470.486092344</v>
      </c>
      <c r="G293" s="32">
        <f t="shared" si="287"/>
        <v>0</v>
      </c>
      <c r="H293" s="32">
        <f t="shared" si="287"/>
        <v>0</v>
      </c>
      <c r="I293" s="32">
        <f t="shared" si="287"/>
        <v>0</v>
      </c>
      <c r="J293" s="32">
        <f t="shared" si="287"/>
        <v>0</v>
      </c>
      <c r="K293" s="32">
        <f t="shared" si="287"/>
        <v>0</v>
      </c>
      <c r="L293" s="32">
        <f t="shared" si="287"/>
        <v>0</v>
      </c>
      <c r="M293" s="32">
        <f t="shared" si="287"/>
        <v>0</v>
      </c>
      <c r="N293" s="32"/>
      <c r="O293" s="32">
        <f>SUM(O287:O292)</f>
        <v>0</v>
      </c>
      <c r="P293" s="32">
        <f>SUM(P287:P292)</f>
        <v>0</v>
      </c>
      <c r="Q293" s="32">
        <f>SUM(Q287:Q292)</f>
        <v>0</v>
      </c>
      <c r="R293" s="32"/>
      <c r="S293" s="32">
        <f t="shared" ref="S293:AD293" si="288">SUM(S287:S292)</f>
        <v>0</v>
      </c>
      <c r="T293" s="32">
        <f t="shared" si="288"/>
        <v>0</v>
      </c>
      <c r="U293" s="32">
        <f t="shared" si="288"/>
        <v>0</v>
      </c>
      <c r="V293" s="32">
        <f t="shared" si="288"/>
        <v>0</v>
      </c>
      <c r="W293" s="32">
        <f t="shared" si="288"/>
        <v>0</v>
      </c>
      <c r="X293" s="32">
        <f t="shared" si="288"/>
        <v>0</v>
      </c>
      <c r="Y293" s="32">
        <f t="shared" si="288"/>
        <v>0</v>
      </c>
      <c r="Z293" s="32">
        <f t="shared" si="288"/>
        <v>0</v>
      </c>
      <c r="AA293" s="32">
        <f t="shared" si="288"/>
        <v>0</v>
      </c>
      <c r="AB293" s="32">
        <f t="shared" si="288"/>
        <v>0</v>
      </c>
      <c r="AC293" s="32">
        <f t="shared" si="288"/>
        <v>0</v>
      </c>
      <c r="AD293" s="32">
        <f t="shared" si="288"/>
        <v>0</v>
      </c>
      <c r="AE293" s="32"/>
      <c r="AF293" s="32">
        <f>SUM(AF287:AF292)</f>
        <v>37665470.486092344</v>
      </c>
      <c r="AG293" s="32"/>
      <c r="AH293" s="32">
        <f>SUM(AH287:AH292)</f>
        <v>0</v>
      </c>
      <c r="AI293" s="32"/>
      <c r="AJ293" s="32">
        <f>SUM(AJ287:AJ292)</f>
        <v>0</v>
      </c>
      <c r="AK293" s="33">
        <f>SUM(H293:AJ293)</f>
        <v>37665470.486092344</v>
      </c>
      <c r="AL293" s="30" t="str">
        <f>IF(ABS(AK293-F293)&lt;1,"ok","err")</f>
        <v>ok</v>
      </c>
    </row>
    <row r="294" spans="1:38" x14ac:dyDescent="0.25">
      <c r="D294" s="13"/>
      <c r="E294" s="13"/>
      <c r="F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L294" s="30"/>
    </row>
    <row r="295" spans="1:38" x14ac:dyDescent="0.25">
      <c r="A295" s="4" t="s">
        <v>290</v>
      </c>
      <c r="D295" s="13"/>
      <c r="E295" s="13"/>
      <c r="F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L295" s="30"/>
    </row>
    <row r="296" spans="1:38" x14ac:dyDescent="0.25">
      <c r="A296" s="29">
        <v>907</v>
      </c>
      <c r="B296" s="29" t="s">
        <v>450</v>
      </c>
      <c r="C296" s="29" t="s">
        <v>291</v>
      </c>
      <c r="D296" s="113" t="s">
        <v>691</v>
      </c>
      <c r="E296" s="13"/>
      <c r="F296" s="32">
        <f>'Jurisdictional Study'!F1074</f>
        <v>648022.61544354004</v>
      </c>
      <c r="H296" s="33">
        <f t="shared" ref="H296:H305" si="289">IF(VLOOKUP($D296,$C$5:$AJ$596,6,)=0,0,((VLOOKUP($D296,$C$5:$AJ$596,6,)/VLOOKUP($D296,$C$5:$AJ$596,4,))*$F296))</f>
        <v>0</v>
      </c>
      <c r="I296" s="33">
        <f t="shared" ref="I296:I305" si="290">IF(VLOOKUP($D296,$C$5:$AJ$596,7,)=0,0,((VLOOKUP($D296,$C$5:$AJ$596,7,)/VLOOKUP($D296,$C$5:$AJ$596,4,))*$F296))</f>
        <v>0</v>
      </c>
      <c r="J296" s="33">
        <f t="shared" ref="J296:J305" si="291">IF(VLOOKUP($D296,$C$5:$AJ$596,8,)=0,0,((VLOOKUP($D296,$C$5:$AJ$596,8,)/VLOOKUP($D296,$C$5:$AJ$596,4,))*$F296))</f>
        <v>0</v>
      </c>
      <c r="K296" s="33">
        <f t="shared" ref="K296:K305" si="292">IF(VLOOKUP($D296,$C$5:$AJ$596,9,)=0,0,((VLOOKUP($D296,$C$5:$AJ$596,9,)/VLOOKUP($D296,$C$5:$AJ$596,4,))*$F296))</f>
        <v>0</v>
      </c>
      <c r="L296" s="33">
        <f t="shared" ref="L296:L305" si="293">IF(VLOOKUP($D296,$C$5:$AJ$596,10,)=0,0,((VLOOKUP($D296,$C$5:$AJ$596,10,)/VLOOKUP($D296,$C$5:$AJ$596,4,))*$F296))</f>
        <v>0</v>
      </c>
      <c r="M296" s="33">
        <f t="shared" ref="M296:M305" si="294">IF(VLOOKUP($D296,$C$5:$AJ$596,11,)=0,0,((VLOOKUP($D296,$C$5:$AJ$596,11,)/VLOOKUP($D296,$C$5:$AJ$596,4,))*$F296))</f>
        <v>0</v>
      </c>
      <c r="N296" s="33"/>
      <c r="O296" s="33">
        <f t="shared" ref="O296:O305" si="295">IF(VLOOKUP($D296,$C$5:$AJ$596,13,)=0,0,((VLOOKUP($D296,$C$5:$AJ$596,13,)/VLOOKUP($D296,$C$5:$AJ$596,4,))*$F296))</f>
        <v>0</v>
      </c>
      <c r="P296" s="33">
        <f t="shared" ref="P296:P305" si="296">IF(VLOOKUP($D296,$C$5:$AJ$596,14,)=0,0,((VLOOKUP($D296,$C$5:$AJ$596,14,)/VLOOKUP($D296,$C$5:$AJ$596,4,))*$F296))</f>
        <v>0</v>
      </c>
      <c r="Q296" s="33">
        <f t="shared" ref="Q296:Q305" si="297">IF(VLOOKUP($D296,$C$5:$AJ$596,15,)=0,0,((VLOOKUP($D296,$C$5:$AJ$596,15,)/VLOOKUP($D296,$C$5:$AJ$596,4,))*$F296))</f>
        <v>0</v>
      </c>
      <c r="R296" s="33"/>
      <c r="S296" s="33">
        <f t="shared" ref="S296:S305" si="298">IF(VLOOKUP($D296,$C$5:$AJ$596,17,)=0,0,((VLOOKUP($D296,$C$5:$AJ$596,17,)/VLOOKUP($D296,$C$5:$AJ$596,4,))*$F296))</f>
        <v>0</v>
      </c>
      <c r="T296" s="33">
        <f t="shared" ref="T296:T305" si="299">IF(VLOOKUP($D296,$C$5:$AJ$596,18,)=0,0,((VLOOKUP($D296,$C$5:$AJ$596,18,)/VLOOKUP($D296,$C$5:$AJ$596,4,))*$F296))</f>
        <v>0</v>
      </c>
      <c r="U296" s="33">
        <f t="shared" ref="U296:U305" si="300">IF(VLOOKUP($D296,$C$5:$AJ$596,19,)=0,0,((VLOOKUP($D296,$C$5:$AJ$596,19,)/VLOOKUP($D296,$C$5:$AJ$596,4,))*$F296))</f>
        <v>0</v>
      </c>
      <c r="V296" s="33">
        <f t="shared" ref="V296:V305" si="301">IF(VLOOKUP($D296,$C$5:$AJ$596,20,)=0,0,((VLOOKUP($D296,$C$5:$AJ$596,20,)/VLOOKUP($D296,$C$5:$AJ$596,4,))*$F296))</f>
        <v>0</v>
      </c>
      <c r="W296" s="33">
        <f t="shared" ref="W296:W305" si="302">IF(VLOOKUP($D296,$C$5:$AJ$596,21,)=0,0,((VLOOKUP($D296,$C$5:$AJ$596,21,)/VLOOKUP($D296,$C$5:$AJ$596,4,))*$F296))</f>
        <v>0</v>
      </c>
      <c r="X296" s="33">
        <f t="shared" ref="X296:X305" si="303">IF(VLOOKUP($D296,$C$5:$AJ$596,22,)=0,0,((VLOOKUP($D296,$C$5:$AJ$596,22,)/VLOOKUP($D296,$C$5:$AJ$596,4,))*$F296))</f>
        <v>0</v>
      </c>
      <c r="Y296" s="33">
        <f t="shared" ref="Y296:Y305" si="304">IF(VLOOKUP($D296,$C$5:$AJ$596,23,)=0,0,((VLOOKUP($D296,$C$5:$AJ$596,23,)/VLOOKUP($D296,$C$5:$AJ$596,4,))*$F296))</f>
        <v>0</v>
      </c>
      <c r="Z296" s="33">
        <f t="shared" ref="Z296:Z305" si="305">IF(VLOOKUP($D296,$C$5:$AJ$596,24,)=0,0,((VLOOKUP($D296,$C$5:$AJ$596,24,)/VLOOKUP($D296,$C$5:$AJ$596,4,))*$F296))</f>
        <v>0</v>
      </c>
      <c r="AA296" s="33">
        <f t="shared" ref="AA296:AA305" si="306">IF(VLOOKUP($D296,$C$5:$AJ$596,25,)=0,0,((VLOOKUP($D296,$C$5:$AJ$596,25,)/VLOOKUP($D296,$C$5:$AJ$596,4,))*$F296))</f>
        <v>0</v>
      </c>
      <c r="AB296" s="33">
        <f t="shared" ref="AB296:AB305" si="307">IF(VLOOKUP($D296,$C$5:$AJ$596,26,)=0,0,((VLOOKUP($D296,$C$5:$AJ$596,26,)/VLOOKUP($D296,$C$5:$AJ$596,4,))*$F296))</f>
        <v>0</v>
      </c>
      <c r="AC296" s="33">
        <f t="shared" ref="AC296:AC305" si="308">IF(VLOOKUP($D296,$C$5:$AJ$596,27,)=0,0,((VLOOKUP($D296,$C$5:$AJ$596,27,)/VLOOKUP($D296,$C$5:$AJ$596,4,))*$F296))</f>
        <v>0</v>
      </c>
      <c r="AD296" s="33">
        <f t="shared" ref="AD296:AD305" si="309">IF(VLOOKUP($D296,$C$5:$AJ$596,28,)=0,0,((VLOOKUP($D296,$C$5:$AJ$596,28,)/VLOOKUP($D296,$C$5:$AJ$596,4,))*$F296))</f>
        <v>0</v>
      </c>
      <c r="AE296" s="33"/>
      <c r="AF296" s="33">
        <f t="shared" ref="AF296:AF305" si="310">IF(VLOOKUP($D296,$C$5:$AJ$596,30,)=0,0,((VLOOKUP($D296,$C$5:$AJ$596,30,)/VLOOKUP($D296,$C$5:$AJ$596,4,))*$F296))</f>
        <v>0</v>
      </c>
      <c r="AG296" s="33"/>
      <c r="AH296" s="33">
        <f t="shared" ref="AH296:AH305" si="311">IF(VLOOKUP($D296,$C$5:$AJ$596,32,)=0,0,((VLOOKUP($D296,$C$5:$AJ$596,32,)/VLOOKUP($D296,$C$5:$AJ$596,4,))*$F296))</f>
        <v>648022.61544354004</v>
      </c>
      <c r="AI296" s="33"/>
      <c r="AJ296" s="33">
        <f t="shared" ref="AJ296:AJ305" si="312">IF(VLOOKUP($D296,$C$5:$AJ$596,34,)=0,0,((VLOOKUP($D296,$C$5:$AJ$596,34,)/VLOOKUP($D296,$C$5:$AJ$596,4,))*$F296))</f>
        <v>0</v>
      </c>
      <c r="AK296" s="33">
        <f t="shared" ref="AK296:AK305" si="313">SUM(H296:AJ296)</f>
        <v>648022.61544354004</v>
      </c>
      <c r="AL296" s="30" t="str">
        <f t="shared" ref="AL296:AL305" si="314">IF(ABS(AK296-F296)&lt;1,"ok","err")</f>
        <v>ok</v>
      </c>
    </row>
    <row r="297" spans="1:38" x14ac:dyDescent="0.25">
      <c r="A297" s="29">
        <v>908</v>
      </c>
      <c r="B297" s="29" t="s">
        <v>1140</v>
      </c>
      <c r="C297" s="29" t="s">
        <v>1141</v>
      </c>
      <c r="D297" s="113" t="s">
        <v>691</v>
      </c>
      <c r="E297" s="13"/>
      <c r="F297" s="33">
        <f>'Jurisdictional Study'!F1075-7641420</f>
        <v>704791.99999999907</v>
      </c>
      <c r="H297" s="33">
        <f t="shared" si="289"/>
        <v>0</v>
      </c>
      <c r="I297" s="33">
        <f t="shared" si="290"/>
        <v>0</v>
      </c>
      <c r="J297" s="33">
        <f t="shared" si="291"/>
        <v>0</v>
      </c>
      <c r="K297" s="33">
        <f t="shared" si="292"/>
        <v>0</v>
      </c>
      <c r="L297" s="33">
        <f t="shared" si="293"/>
        <v>0</v>
      </c>
      <c r="M297" s="33">
        <f t="shared" si="294"/>
        <v>0</v>
      </c>
      <c r="N297" s="33"/>
      <c r="O297" s="33">
        <f t="shared" si="295"/>
        <v>0</v>
      </c>
      <c r="P297" s="33">
        <f t="shared" si="296"/>
        <v>0</v>
      </c>
      <c r="Q297" s="33">
        <f t="shared" si="297"/>
        <v>0</v>
      </c>
      <c r="R297" s="33"/>
      <c r="S297" s="33">
        <f t="shared" si="298"/>
        <v>0</v>
      </c>
      <c r="T297" s="33">
        <f t="shared" si="299"/>
        <v>0</v>
      </c>
      <c r="U297" s="33">
        <f t="shared" si="300"/>
        <v>0</v>
      </c>
      <c r="V297" s="33">
        <f t="shared" si="301"/>
        <v>0</v>
      </c>
      <c r="W297" s="33">
        <f t="shared" si="302"/>
        <v>0</v>
      </c>
      <c r="X297" s="33">
        <f t="shared" si="303"/>
        <v>0</v>
      </c>
      <c r="Y297" s="33">
        <f t="shared" si="304"/>
        <v>0</v>
      </c>
      <c r="Z297" s="33">
        <f t="shared" si="305"/>
        <v>0</v>
      </c>
      <c r="AA297" s="33">
        <f t="shared" si="306"/>
        <v>0</v>
      </c>
      <c r="AB297" s="33">
        <f t="shared" si="307"/>
        <v>0</v>
      </c>
      <c r="AC297" s="33">
        <f t="shared" si="308"/>
        <v>0</v>
      </c>
      <c r="AD297" s="33">
        <f t="shared" si="309"/>
        <v>0</v>
      </c>
      <c r="AE297" s="33"/>
      <c r="AF297" s="33">
        <f t="shared" si="310"/>
        <v>0</v>
      </c>
      <c r="AG297" s="33"/>
      <c r="AH297" s="33">
        <f t="shared" si="311"/>
        <v>704791.99999999907</v>
      </c>
      <c r="AI297" s="33"/>
      <c r="AJ297" s="33">
        <f t="shared" si="312"/>
        <v>0</v>
      </c>
      <c r="AK297" s="33">
        <f t="shared" si="313"/>
        <v>704791.99999999907</v>
      </c>
      <c r="AL297" s="30" t="str">
        <f t="shared" si="314"/>
        <v>ok</v>
      </c>
    </row>
    <row r="298" spans="1:38" x14ac:dyDescent="0.25">
      <c r="A298" s="29">
        <v>908</v>
      </c>
      <c r="B298" s="29" t="s">
        <v>848</v>
      </c>
      <c r="C298" s="29" t="s">
        <v>1277</v>
      </c>
      <c r="D298" s="113" t="s">
        <v>691</v>
      </c>
      <c r="E298" s="13"/>
      <c r="F298" s="33">
        <v>0</v>
      </c>
      <c r="H298" s="33">
        <f t="shared" si="289"/>
        <v>0</v>
      </c>
      <c r="I298" s="33">
        <f t="shared" si="290"/>
        <v>0</v>
      </c>
      <c r="J298" s="33">
        <f t="shared" si="291"/>
        <v>0</v>
      </c>
      <c r="K298" s="33">
        <f t="shared" si="292"/>
        <v>0</v>
      </c>
      <c r="L298" s="33">
        <f t="shared" si="293"/>
        <v>0</v>
      </c>
      <c r="M298" s="33">
        <f t="shared" si="294"/>
        <v>0</v>
      </c>
      <c r="N298" s="33"/>
      <c r="O298" s="33">
        <f t="shared" si="295"/>
        <v>0</v>
      </c>
      <c r="P298" s="33">
        <f t="shared" si="296"/>
        <v>0</v>
      </c>
      <c r="Q298" s="33">
        <f t="shared" si="297"/>
        <v>0</v>
      </c>
      <c r="R298" s="33"/>
      <c r="S298" s="33">
        <f t="shared" si="298"/>
        <v>0</v>
      </c>
      <c r="T298" s="33">
        <f t="shared" si="299"/>
        <v>0</v>
      </c>
      <c r="U298" s="33">
        <f t="shared" si="300"/>
        <v>0</v>
      </c>
      <c r="V298" s="33">
        <f t="shared" si="301"/>
        <v>0</v>
      </c>
      <c r="W298" s="33">
        <f t="shared" si="302"/>
        <v>0</v>
      </c>
      <c r="X298" s="33">
        <f t="shared" si="303"/>
        <v>0</v>
      </c>
      <c r="Y298" s="33">
        <f t="shared" si="304"/>
        <v>0</v>
      </c>
      <c r="Z298" s="33">
        <f t="shared" si="305"/>
        <v>0</v>
      </c>
      <c r="AA298" s="33">
        <f t="shared" si="306"/>
        <v>0</v>
      </c>
      <c r="AB298" s="33">
        <f t="shared" si="307"/>
        <v>0</v>
      </c>
      <c r="AC298" s="33">
        <f t="shared" si="308"/>
        <v>0</v>
      </c>
      <c r="AD298" s="33">
        <f t="shared" si="309"/>
        <v>0</v>
      </c>
      <c r="AE298" s="33"/>
      <c r="AF298" s="33">
        <f t="shared" si="310"/>
        <v>0</v>
      </c>
      <c r="AG298" s="33"/>
      <c r="AH298" s="33">
        <f t="shared" si="311"/>
        <v>0</v>
      </c>
      <c r="AI298" s="33"/>
      <c r="AJ298" s="33">
        <f t="shared" si="312"/>
        <v>0</v>
      </c>
      <c r="AK298" s="33">
        <f t="shared" si="313"/>
        <v>0</v>
      </c>
      <c r="AL298" s="30" t="str">
        <f t="shared" si="314"/>
        <v>ok</v>
      </c>
    </row>
    <row r="299" spans="1:38" x14ac:dyDescent="0.25">
      <c r="A299" s="29">
        <v>909</v>
      </c>
      <c r="B299" s="29" t="s">
        <v>1142</v>
      </c>
      <c r="C299" s="29" t="s">
        <v>1143</v>
      </c>
      <c r="D299" s="113" t="s">
        <v>691</v>
      </c>
      <c r="E299" s="13"/>
      <c r="F299" s="33">
        <f>'Jurisdictional Study'!F1076</f>
        <v>1764188.3321898093</v>
      </c>
      <c r="H299" s="33">
        <f t="shared" si="289"/>
        <v>0</v>
      </c>
      <c r="I299" s="33">
        <f t="shared" si="290"/>
        <v>0</v>
      </c>
      <c r="J299" s="33">
        <f t="shared" si="291"/>
        <v>0</v>
      </c>
      <c r="K299" s="33">
        <f t="shared" si="292"/>
        <v>0</v>
      </c>
      <c r="L299" s="33">
        <f t="shared" si="293"/>
        <v>0</v>
      </c>
      <c r="M299" s="33">
        <f t="shared" si="294"/>
        <v>0</v>
      </c>
      <c r="N299" s="33"/>
      <c r="O299" s="33">
        <f t="shared" si="295"/>
        <v>0</v>
      </c>
      <c r="P299" s="33">
        <f t="shared" si="296"/>
        <v>0</v>
      </c>
      <c r="Q299" s="33">
        <f t="shared" si="297"/>
        <v>0</v>
      </c>
      <c r="R299" s="33"/>
      <c r="S299" s="33">
        <f t="shared" si="298"/>
        <v>0</v>
      </c>
      <c r="T299" s="33">
        <f t="shared" si="299"/>
        <v>0</v>
      </c>
      <c r="U299" s="33">
        <f t="shared" si="300"/>
        <v>0</v>
      </c>
      <c r="V299" s="33">
        <f t="shared" si="301"/>
        <v>0</v>
      </c>
      <c r="W299" s="33">
        <f t="shared" si="302"/>
        <v>0</v>
      </c>
      <c r="X299" s="33">
        <f t="shared" si="303"/>
        <v>0</v>
      </c>
      <c r="Y299" s="33">
        <f t="shared" si="304"/>
        <v>0</v>
      </c>
      <c r="Z299" s="33">
        <f t="shared" si="305"/>
        <v>0</v>
      </c>
      <c r="AA299" s="33">
        <f t="shared" si="306"/>
        <v>0</v>
      </c>
      <c r="AB299" s="33">
        <f t="shared" si="307"/>
        <v>0</v>
      </c>
      <c r="AC299" s="33">
        <f t="shared" si="308"/>
        <v>0</v>
      </c>
      <c r="AD299" s="33">
        <f t="shared" si="309"/>
        <v>0</v>
      </c>
      <c r="AE299" s="33"/>
      <c r="AF299" s="33">
        <f t="shared" si="310"/>
        <v>0</v>
      </c>
      <c r="AG299" s="33"/>
      <c r="AH299" s="33">
        <f t="shared" si="311"/>
        <v>1764188.3321898093</v>
      </c>
      <c r="AI299" s="33"/>
      <c r="AJ299" s="33">
        <f t="shared" si="312"/>
        <v>0</v>
      </c>
      <c r="AK299" s="33">
        <f t="shared" si="313"/>
        <v>1764188.3321898093</v>
      </c>
      <c r="AL299" s="30" t="str">
        <f t="shared" si="314"/>
        <v>ok</v>
      </c>
    </row>
    <row r="300" spans="1:38" x14ac:dyDescent="0.25">
      <c r="A300" s="29">
        <v>909</v>
      </c>
      <c r="B300" s="29" t="s">
        <v>1278</v>
      </c>
      <c r="C300" s="29" t="s">
        <v>1279</v>
      </c>
      <c r="D300" s="113" t="s">
        <v>691</v>
      </c>
      <c r="E300" s="13"/>
      <c r="F300" s="33">
        <v>0</v>
      </c>
      <c r="H300" s="33">
        <f t="shared" si="289"/>
        <v>0</v>
      </c>
      <c r="I300" s="33">
        <f t="shared" si="290"/>
        <v>0</v>
      </c>
      <c r="J300" s="33">
        <f t="shared" si="291"/>
        <v>0</v>
      </c>
      <c r="K300" s="33">
        <f t="shared" si="292"/>
        <v>0</v>
      </c>
      <c r="L300" s="33">
        <f t="shared" si="293"/>
        <v>0</v>
      </c>
      <c r="M300" s="33">
        <f t="shared" si="294"/>
        <v>0</v>
      </c>
      <c r="N300" s="33"/>
      <c r="O300" s="33">
        <f t="shared" si="295"/>
        <v>0</v>
      </c>
      <c r="P300" s="33">
        <f t="shared" si="296"/>
        <v>0</v>
      </c>
      <c r="Q300" s="33">
        <f t="shared" si="297"/>
        <v>0</v>
      </c>
      <c r="R300" s="33"/>
      <c r="S300" s="33">
        <f t="shared" si="298"/>
        <v>0</v>
      </c>
      <c r="T300" s="33">
        <f t="shared" si="299"/>
        <v>0</v>
      </c>
      <c r="U300" s="33">
        <f t="shared" si="300"/>
        <v>0</v>
      </c>
      <c r="V300" s="33">
        <f t="shared" si="301"/>
        <v>0</v>
      </c>
      <c r="W300" s="33">
        <f t="shared" si="302"/>
        <v>0</v>
      </c>
      <c r="X300" s="33">
        <f t="shared" si="303"/>
        <v>0</v>
      </c>
      <c r="Y300" s="33">
        <f t="shared" si="304"/>
        <v>0</v>
      </c>
      <c r="Z300" s="33">
        <f t="shared" si="305"/>
        <v>0</v>
      </c>
      <c r="AA300" s="33">
        <f t="shared" si="306"/>
        <v>0</v>
      </c>
      <c r="AB300" s="33">
        <f t="shared" si="307"/>
        <v>0</v>
      </c>
      <c r="AC300" s="33">
        <f t="shared" si="308"/>
        <v>0</v>
      </c>
      <c r="AD300" s="33">
        <f t="shared" si="309"/>
        <v>0</v>
      </c>
      <c r="AE300" s="33"/>
      <c r="AF300" s="33">
        <f t="shared" si="310"/>
        <v>0</v>
      </c>
      <c r="AG300" s="33"/>
      <c r="AH300" s="33">
        <f t="shared" si="311"/>
        <v>0</v>
      </c>
      <c r="AI300" s="33"/>
      <c r="AJ300" s="33">
        <f t="shared" si="312"/>
        <v>0</v>
      </c>
      <c r="AK300" s="33">
        <f t="shared" si="313"/>
        <v>0</v>
      </c>
      <c r="AL300" s="30" t="str">
        <f t="shared" si="314"/>
        <v>ok</v>
      </c>
    </row>
    <row r="301" spans="1:38" x14ac:dyDescent="0.25">
      <c r="A301" s="29">
        <v>910</v>
      </c>
      <c r="B301" s="29" t="s">
        <v>1144</v>
      </c>
      <c r="C301" s="29" t="s">
        <v>1145</v>
      </c>
      <c r="D301" s="113" t="s">
        <v>691</v>
      </c>
      <c r="E301" s="13"/>
      <c r="F301" s="33">
        <f>'Jurisdictional Study'!F1077</f>
        <v>1506052.1471055988</v>
      </c>
      <c r="H301" s="33">
        <f t="shared" si="289"/>
        <v>0</v>
      </c>
      <c r="I301" s="33">
        <f t="shared" si="290"/>
        <v>0</v>
      </c>
      <c r="J301" s="33">
        <f t="shared" si="291"/>
        <v>0</v>
      </c>
      <c r="K301" s="33">
        <f t="shared" si="292"/>
        <v>0</v>
      </c>
      <c r="L301" s="33">
        <f t="shared" si="293"/>
        <v>0</v>
      </c>
      <c r="M301" s="33">
        <f t="shared" si="294"/>
        <v>0</v>
      </c>
      <c r="N301" s="33"/>
      <c r="O301" s="33">
        <f t="shared" si="295"/>
        <v>0</v>
      </c>
      <c r="P301" s="33">
        <f t="shared" si="296"/>
        <v>0</v>
      </c>
      <c r="Q301" s="33">
        <f t="shared" si="297"/>
        <v>0</v>
      </c>
      <c r="R301" s="33"/>
      <c r="S301" s="33">
        <f t="shared" si="298"/>
        <v>0</v>
      </c>
      <c r="T301" s="33">
        <f t="shared" si="299"/>
        <v>0</v>
      </c>
      <c r="U301" s="33">
        <f t="shared" si="300"/>
        <v>0</v>
      </c>
      <c r="V301" s="33">
        <f t="shared" si="301"/>
        <v>0</v>
      </c>
      <c r="W301" s="33">
        <f t="shared" si="302"/>
        <v>0</v>
      </c>
      <c r="X301" s="33">
        <f t="shared" si="303"/>
        <v>0</v>
      </c>
      <c r="Y301" s="33">
        <f t="shared" si="304"/>
        <v>0</v>
      </c>
      <c r="Z301" s="33">
        <f t="shared" si="305"/>
        <v>0</v>
      </c>
      <c r="AA301" s="33">
        <f t="shared" si="306"/>
        <v>0</v>
      </c>
      <c r="AB301" s="33">
        <f t="shared" si="307"/>
        <v>0</v>
      </c>
      <c r="AC301" s="33">
        <f t="shared" si="308"/>
        <v>0</v>
      </c>
      <c r="AD301" s="33">
        <f t="shared" si="309"/>
        <v>0</v>
      </c>
      <c r="AE301" s="33"/>
      <c r="AF301" s="33">
        <f t="shared" si="310"/>
        <v>0</v>
      </c>
      <c r="AG301" s="33"/>
      <c r="AH301" s="33">
        <f t="shared" si="311"/>
        <v>1506052.1471055988</v>
      </c>
      <c r="AI301" s="33"/>
      <c r="AJ301" s="33">
        <f t="shared" si="312"/>
        <v>0</v>
      </c>
      <c r="AK301" s="33">
        <f t="shared" si="313"/>
        <v>1506052.1471055988</v>
      </c>
      <c r="AL301" s="30" t="str">
        <f t="shared" si="314"/>
        <v>ok</v>
      </c>
    </row>
    <row r="302" spans="1:38" x14ac:dyDescent="0.25">
      <c r="A302" s="29">
        <v>911</v>
      </c>
      <c r="B302" s="29" t="s">
        <v>813</v>
      </c>
      <c r="C302" s="29" t="s">
        <v>896</v>
      </c>
      <c r="D302" s="113" t="s">
        <v>691</v>
      </c>
      <c r="E302" s="13"/>
      <c r="F302" s="33">
        <f>'Jurisdictional Study'!F1081</f>
        <v>0</v>
      </c>
      <c r="H302" s="33">
        <f t="shared" si="289"/>
        <v>0</v>
      </c>
      <c r="I302" s="33">
        <f t="shared" si="290"/>
        <v>0</v>
      </c>
      <c r="J302" s="33">
        <f t="shared" si="291"/>
        <v>0</v>
      </c>
      <c r="K302" s="33">
        <f t="shared" si="292"/>
        <v>0</v>
      </c>
      <c r="L302" s="33">
        <f t="shared" si="293"/>
        <v>0</v>
      </c>
      <c r="M302" s="33">
        <f t="shared" si="294"/>
        <v>0</v>
      </c>
      <c r="N302" s="33"/>
      <c r="O302" s="33">
        <f t="shared" si="295"/>
        <v>0</v>
      </c>
      <c r="P302" s="33">
        <f t="shared" si="296"/>
        <v>0</v>
      </c>
      <c r="Q302" s="33">
        <f t="shared" si="297"/>
        <v>0</v>
      </c>
      <c r="R302" s="33"/>
      <c r="S302" s="33">
        <f t="shared" si="298"/>
        <v>0</v>
      </c>
      <c r="T302" s="33">
        <f t="shared" si="299"/>
        <v>0</v>
      </c>
      <c r="U302" s="33">
        <f t="shared" si="300"/>
        <v>0</v>
      </c>
      <c r="V302" s="33">
        <f t="shared" si="301"/>
        <v>0</v>
      </c>
      <c r="W302" s="33">
        <f t="shared" si="302"/>
        <v>0</v>
      </c>
      <c r="X302" s="33">
        <f t="shared" si="303"/>
        <v>0</v>
      </c>
      <c r="Y302" s="33">
        <f t="shared" si="304"/>
        <v>0</v>
      </c>
      <c r="Z302" s="33">
        <f t="shared" si="305"/>
        <v>0</v>
      </c>
      <c r="AA302" s="33">
        <f t="shared" si="306"/>
        <v>0</v>
      </c>
      <c r="AB302" s="33">
        <f t="shared" si="307"/>
        <v>0</v>
      </c>
      <c r="AC302" s="33">
        <f t="shared" si="308"/>
        <v>0</v>
      </c>
      <c r="AD302" s="33">
        <f t="shared" si="309"/>
        <v>0</v>
      </c>
      <c r="AE302" s="33"/>
      <c r="AF302" s="33">
        <f t="shared" si="310"/>
        <v>0</v>
      </c>
      <c r="AG302" s="33"/>
      <c r="AH302" s="33">
        <f t="shared" si="311"/>
        <v>0</v>
      </c>
      <c r="AI302" s="33"/>
      <c r="AJ302" s="33">
        <f t="shared" si="312"/>
        <v>0</v>
      </c>
      <c r="AK302" s="33">
        <f t="shared" si="313"/>
        <v>0</v>
      </c>
      <c r="AL302" s="30" t="str">
        <f t="shared" si="314"/>
        <v>ok</v>
      </c>
    </row>
    <row r="303" spans="1:38" x14ac:dyDescent="0.25">
      <c r="A303" s="29">
        <v>912</v>
      </c>
      <c r="B303" s="29" t="s">
        <v>813</v>
      </c>
      <c r="C303" s="29" t="s">
        <v>814</v>
      </c>
      <c r="D303" s="113" t="s">
        <v>691</v>
      </c>
      <c r="E303" s="13"/>
      <c r="F303" s="33">
        <f>'Jurisdictional Study'!F1082</f>
        <v>0</v>
      </c>
      <c r="H303" s="33">
        <f t="shared" si="289"/>
        <v>0</v>
      </c>
      <c r="I303" s="33">
        <f t="shared" si="290"/>
        <v>0</v>
      </c>
      <c r="J303" s="33">
        <f t="shared" si="291"/>
        <v>0</v>
      </c>
      <c r="K303" s="33">
        <f t="shared" si="292"/>
        <v>0</v>
      </c>
      <c r="L303" s="33">
        <f t="shared" si="293"/>
        <v>0</v>
      </c>
      <c r="M303" s="33">
        <f t="shared" si="294"/>
        <v>0</v>
      </c>
      <c r="N303" s="33"/>
      <c r="O303" s="33">
        <f t="shared" si="295"/>
        <v>0</v>
      </c>
      <c r="P303" s="33">
        <f t="shared" si="296"/>
        <v>0</v>
      </c>
      <c r="Q303" s="33">
        <f t="shared" si="297"/>
        <v>0</v>
      </c>
      <c r="R303" s="33"/>
      <c r="S303" s="33">
        <f t="shared" si="298"/>
        <v>0</v>
      </c>
      <c r="T303" s="33">
        <f t="shared" si="299"/>
        <v>0</v>
      </c>
      <c r="U303" s="33">
        <f t="shared" si="300"/>
        <v>0</v>
      </c>
      <c r="V303" s="33">
        <f t="shared" si="301"/>
        <v>0</v>
      </c>
      <c r="W303" s="33">
        <f t="shared" si="302"/>
        <v>0</v>
      </c>
      <c r="X303" s="33">
        <f t="shared" si="303"/>
        <v>0</v>
      </c>
      <c r="Y303" s="33">
        <f t="shared" si="304"/>
        <v>0</v>
      </c>
      <c r="Z303" s="33">
        <f t="shared" si="305"/>
        <v>0</v>
      </c>
      <c r="AA303" s="33">
        <f t="shared" si="306"/>
        <v>0</v>
      </c>
      <c r="AB303" s="33">
        <f t="shared" si="307"/>
        <v>0</v>
      </c>
      <c r="AC303" s="33">
        <f t="shared" si="308"/>
        <v>0</v>
      </c>
      <c r="AD303" s="33">
        <f t="shared" si="309"/>
        <v>0</v>
      </c>
      <c r="AE303" s="33"/>
      <c r="AF303" s="33">
        <f t="shared" si="310"/>
        <v>0</v>
      </c>
      <c r="AG303" s="33"/>
      <c r="AH303" s="33">
        <f t="shared" si="311"/>
        <v>0</v>
      </c>
      <c r="AI303" s="33"/>
      <c r="AJ303" s="33">
        <f t="shared" si="312"/>
        <v>0</v>
      </c>
      <c r="AK303" s="33">
        <f t="shared" si="313"/>
        <v>0</v>
      </c>
      <c r="AL303" s="30" t="str">
        <f t="shared" si="314"/>
        <v>ok</v>
      </c>
    </row>
    <row r="304" spans="1:38" x14ac:dyDescent="0.25">
      <c r="A304" s="29">
        <v>913</v>
      </c>
      <c r="B304" s="29" t="s">
        <v>822</v>
      </c>
      <c r="C304" s="29" t="s">
        <v>487</v>
      </c>
      <c r="D304" s="113" t="s">
        <v>691</v>
      </c>
      <c r="E304" s="13"/>
      <c r="F304" s="33">
        <v>0</v>
      </c>
      <c r="H304" s="33">
        <f t="shared" si="289"/>
        <v>0</v>
      </c>
      <c r="I304" s="33">
        <f t="shared" si="290"/>
        <v>0</v>
      </c>
      <c r="J304" s="33">
        <f t="shared" si="291"/>
        <v>0</v>
      </c>
      <c r="K304" s="33">
        <f t="shared" si="292"/>
        <v>0</v>
      </c>
      <c r="L304" s="33">
        <f t="shared" si="293"/>
        <v>0</v>
      </c>
      <c r="M304" s="33">
        <f t="shared" si="294"/>
        <v>0</v>
      </c>
      <c r="N304" s="33"/>
      <c r="O304" s="33">
        <f t="shared" si="295"/>
        <v>0</v>
      </c>
      <c r="P304" s="33">
        <f t="shared" si="296"/>
        <v>0</v>
      </c>
      <c r="Q304" s="33">
        <f t="shared" si="297"/>
        <v>0</v>
      </c>
      <c r="R304" s="33"/>
      <c r="S304" s="33">
        <f t="shared" si="298"/>
        <v>0</v>
      </c>
      <c r="T304" s="33">
        <f t="shared" si="299"/>
        <v>0</v>
      </c>
      <c r="U304" s="33">
        <f t="shared" si="300"/>
        <v>0</v>
      </c>
      <c r="V304" s="33">
        <f t="shared" si="301"/>
        <v>0</v>
      </c>
      <c r="W304" s="33">
        <f t="shared" si="302"/>
        <v>0</v>
      </c>
      <c r="X304" s="33">
        <f t="shared" si="303"/>
        <v>0</v>
      </c>
      <c r="Y304" s="33">
        <f t="shared" si="304"/>
        <v>0</v>
      </c>
      <c r="Z304" s="33">
        <f t="shared" si="305"/>
        <v>0</v>
      </c>
      <c r="AA304" s="33">
        <f t="shared" si="306"/>
        <v>0</v>
      </c>
      <c r="AB304" s="33">
        <f t="shared" si="307"/>
        <v>0</v>
      </c>
      <c r="AC304" s="33">
        <f t="shared" si="308"/>
        <v>0</v>
      </c>
      <c r="AD304" s="33">
        <f t="shared" si="309"/>
        <v>0</v>
      </c>
      <c r="AE304" s="33"/>
      <c r="AF304" s="33">
        <f t="shared" si="310"/>
        <v>0</v>
      </c>
      <c r="AG304" s="33"/>
      <c r="AH304" s="33">
        <f t="shared" si="311"/>
        <v>0</v>
      </c>
      <c r="AI304" s="33"/>
      <c r="AJ304" s="33">
        <f t="shared" si="312"/>
        <v>0</v>
      </c>
      <c r="AK304" s="33">
        <f t="shared" si="313"/>
        <v>0</v>
      </c>
      <c r="AL304" s="30" t="str">
        <f t="shared" si="314"/>
        <v>ok</v>
      </c>
    </row>
    <row r="305" spans="1:38" x14ac:dyDescent="0.25">
      <c r="A305" s="29">
        <v>916</v>
      </c>
      <c r="B305" s="29" t="s">
        <v>823</v>
      </c>
      <c r="C305" s="29" t="s">
        <v>824</v>
      </c>
      <c r="D305" s="113" t="s">
        <v>691</v>
      </c>
      <c r="E305" s="13"/>
      <c r="F305" s="33">
        <f>'Jurisdictional Study'!F1084</f>
        <v>0</v>
      </c>
      <c r="H305" s="33">
        <f t="shared" si="289"/>
        <v>0</v>
      </c>
      <c r="I305" s="33">
        <f t="shared" si="290"/>
        <v>0</v>
      </c>
      <c r="J305" s="33">
        <f t="shared" si="291"/>
        <v>0</v>
      </c>
      <c r="K305" s="33">
        <f t="shared" si="292"/>
        <v>0</v>
      </c>
      <c r="L305" s="33">
        <f t="shared" si="293"/>
        <v>0</v>
      </c>
      <c r="M305" s="33">
        <f t="shared" si="294"/>
        <v>0</v>
      </c>
      <c r="N305" s="33"/>
      <c r="O305" s="33">
        <f t="shared" si="295"/>
        <v>0</v>
      </c>
      <c r="P305" s="33">
        <f t="shared" si="296"/>
        <v>0</v>
      </c>
      <c r="Q305" s="33">
        <f t="shared" si="297"/>
        <v>0</v>
      </c>
      <c r="R305" s="33"/>
      <c r="S305" s="33">
        <f t="shared" si="298"/>
        <v>0</v>
      </c>
      <c r="T305" s="33">
        <f t="shared" si="299"/>
        <v>0</v>
      </c>
      <c r="U305" s="33">
        <f t="shared" si="300"/>
        <v>0</v>
      </c>
      <c r="V305" s="33">
        <f t="shared" si="301"/>
        <v>0</v>
      </c>
      <c r="W305" s="33">
        <f t="shared" si="302"/>
        <v>0</v>
      </c>
      <c r="X305" s="33">
        <f t="shared" si="303"/>
        <v>0</v>
      </c>
      <c r="Y305" s="33">
        <f t="shared" si="304"/>
        <v>0</v>
      </c>
      <c r="Z305" s="33">
        <f t="shared" si="305"/>
        <v>0</v>
      </c>
      <c r="AA305" s="33">
        <f t="shared" si="306"/>
        <v>0</v>
      </c>
      <c r="AB305" s="33">
        <f t="shared" si="307"/>
        <v>0</v>
      </c>
      <c r="AC305" s="33">
        <f t="shared" si="308"/>
        <v>0</v>
      </c>
      <c r="AD305" s="33">
        <f t="shared" si="309"/>
        <v>0</v>
      </c>
      <c r="AE305" s="33"/>
      <c r="AF305" s="33">
        <f t="shared" si="310"/>
        <v>0</v>
      </c>
      <c r="AG305" s="33"/>
      <c r="AH305" s="33">
        <f t="shared" si="311"/>
        <v>0</v>
      </c>
      <c r="AI305" s="33"/>
      <c r="AJ305" s="33">
        <f t="shared" si="312"/>
        <v>0</v>
      </c>
      <c r="AK305" s="33">
        <f t="shared" si="313"/>
        <v>0</v>
      </c>
      <c r="AL305" s="30" t="str">
        <f t="shared" si="314"/>
        <v>ok</v>
      </c>
    </row>
    <row r="306" spans="1:38" x14ac:dyDescent="0.25">
      <c r="D306" s="113"/>
      <c r="E306" s="13"/>
      <c r="F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0"/>
    </row>
    <row r="307" spans="1:38" x14ac:dyDescent="0.25">
      <c r="A307" s="29" t="s">
        <v>1146</v>
      </c>
      <c r="C307" s="29" t="s">
        <v>1147</v>
      </c>
      <c r="D307" s="113"/>
      <c r="E307" s="13"/>
      <c r="F307" s="32">
        <f t="shared" ref="F307:M307" si="315">SUM(F296:F306)</f>
        <v>4623055.0947389472</v>
      </c>
      <c r="G307" s="32">
        <f t="shared" si="315"/>
        <v>0</v>
      </c>
      <c r="H307" s="32">
        <f t="shared" si="315"/>
        <v>0</v>
      </c>
      <c r="I307" s="32">
        <f t="shared" si="315"/>
        <v>0</v>
      </c>
      <c r="J307" s="32">
        <f t="shared" si="315"/>
        <v>0</v>
      </c>
      <c r="K307" s="32">
        <f t="shared" si="315"/>
        <v>0</v>
      </c>
      <c r="L307" s="32">
        <f t="shared" si="315"/>
        <v>0</v>
      </c>
      <c r="M307" s="32">
        <f t="shared" si="315"/>
        <v>0</v>
      </c>
      <c r="N307" s="32"/>
      <c r="O307" s="32">
        <f>SUM(O296:O306)</f>
        <v>0</v>
      </c>
      <c r="P307" s="32">
        <f>SUM(P296:P306)</f>
        <v>0</v>
      </c>
      <c r="Q307" s="32">
        <f>SUM(Q296:Q306)</f>
        <v>0</v>
      </c>
      <c r="R307" s="32"/>
      <c r="S307" s="32">
        <f t="shared" ref="S307:AD307" si="316">SUM(S296:S306)</f>
        <v>0</v>
      </c>
      <c r="T307" s="32">
        <f t="shared" si="316"/>
        <v>0</v>
      </c>
      <c r="U307" s="32">
        <f t="shared" si="316"/>
        <v>0</v>
      </c>
      <c r="V307" s="32">
        <f t="shared" si="316"/>
        <v>0</v>
      </c>
      <c r="W307" s="32">
        <f t="shared" si="316"/>
        <v>0</v>
      </c>
      <c r="X307" s="32">
        <f t="shared" si="316"/>
        <v>0</v>
      </c>
      <c r="Y307" s="32">
        <f t="shared" si="316"/>
        <v>0</v>
      </c>
      <c r="Z307" s="32">
        <f t="shared" si="316"/>
        <v>0</v>
      </c>
      <c r="AA307" s="32">
        <f t="shared" si="316"/>
        <v>0</v>
      </c>
      <c r="AB307" s="32">
        <f t="shared" si="316"/>
        <v>0</v>
      </c>
      <c r="AC307" s="32">
        <f t="shared" si="316"/>
        <v>0</v>
      </c>
      <c r="AD307" s="32">
        <f t="shared" si="316"/>
        <v>0</v>
      </c>
      <c r="AE307" s="32"/>
      <c r="AF307" s="32">
        <f>SUM(AF296:AF306)</f>
        <v>0</v>
      </c>
      <c r="AG307" s="32"/>
      <c r="AH307" s="32">
        <f>SUM(AH296:AH306)</f>
        <v>4623055.0947389472</v>
      </c>
      <c r="AI307" s="32"/>
      <c r="AJ307" s="32">
        <f>SUM(AJ296:AJ306)</f>
        <v>0</v>
      </c>
      <c r="AK307" s="33">
        <f>SUM(H307:AJ307)</f>
        <v>4623055.0947389472</v>
      </c>
      <c r="AL307" s="30" t="str">
        <f>IF(ABS(AK307-F307)&lt;1,"ok","err")</f>
        <v>ok</v>
      </c>
    </row>
    <row r="308" spans="1:38" x14ac:dyDescent="0.25">
      <c r="D308" s="113"/>
      <c r="E308" s="13"/>
      <c r="F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L308" s="30"/>
    </row>
    <row r="309" spans="1:38" x14ac:dyDescent="0.25">
      <c r="A309" s="29" t="s">
        <v>1519</v>
      </c>
      <c r="C309" s="29" t="s">
        <v>1259</v>
      </c>
      <c r="D309" s="113"/>
      <c r="E309" s="13"/>
      <c r="F309" s="33">
        <f>F284+F293+F307</f>
        <v>775601712.11826587</v>
      </c>
      <c r="G309" s="33">
        <f>G282+G293+G307</f>
        <v>0</v>
      </c>
      <c r="H309" s="33">
        <f t="shared" ref="H309:M309" si="317">H284+H293+H307</f>
        <v>76121604.982851565</v>
      </c>
      <c r="I309" s="33">
        <f t="shared" si="317"/>
        <v>0</v>
      </c>
      <c r="J309" s="33">
        <f t="shared" si="317"/>
        <v>0</v>
      </c>
      <c r="K309" s="33">
        <f t="shared" si="317"/>
        <v>551982041.57100725</v>
      </c>
      <c r="L309" s="33">
        <f t="shared" si="317"/>
        <v>0</v>
      </c>
      <c r="M309" s="33">
        <f t="shared" si="317"/>
        <v>0</v>
      </c>
      <c r="N309" s="33"/>
      <c r="O309" s="33">
        <f>O284+O293+O307</f>
        <v>46285770.355644226</v>
      </c>
      <c r="P309" s="33">
        <f>P284+P293+P307</f>
        <v>0</v>
      </c>
      <c r="Q309" s="33">
        <f>Q284+Q293+Q307</f>
        <v>0</v>
      </c>
      <c r="R309" s="33"/>
      <c r="S309" s="33">
        <f t="shared" ref="S309:AD309" si="318">S284+S293+S307</f>
        <v>0</v>
      </c>
      <c r="T309" s="33">
        <f t="shared" si="318"/>
        <v>5067146.2281220704</v>
      </c>
      <c r="U309" s="33">
        <f t="shared" si="318"/>
        <v>0</v>
      </c>
      <c r="V309" s="33">
        <f t="shared" si="318"/>
        <v>10090863.054570101</v>
      </c>
      <c r="W309" s="33">
        <f t="shared" si="318"/>
        <v>16721786.141914036</v>
      </c>
      <c r="X309" s="33">
        <f t="shared" si="318"/>
        <v>5578634.4904066231</v>
      </c>
      <c r="Y309" s="33">
        <f t="shared" si="318"/>
        <v>9213649.9115915429</v>
      </c>
      <c r="Z309" s="33">
        <f t="shared" si="318"/>
        <v>796825.65151179687</v>
      </c>
      <c r="AA309" s="33">
        <f t="shared" si="318"/>
        <v>691048.5933079957</v>
      </c>
      <c r="AB309" s="33">
        <f t="shared" si="318"/>
        <v>474109.80291342363</v>
      </c>
      <c r="AC309" s="33">
        <f t="shared" si="318"/>
        <v>9734584.7409715671</v>
      </c>
      <c r="AD309" s="33">
        <f t="shared" si="318"/>
        <v>555121.01262234303</v>
      </c>
      <c r="AE309" s="33"/>
      <c r="AF309" s="33">
        <f>AF284+AF293+AF307</f>
        <v>37665470.486092344</v>
      </c>
      <c r="AG309" s="33"/>
      <c r="AH309" s="33">
        <f>AH284+AH293+AH307</f>
        <v>4623055.0947389472</v>
      </c>
      <c r="AI309" s="33"/>
      <c r="AJ309" s="33">
        <f>AJ284+AJ293+AJ307</f>
        <v>0</v>
      </c>
      <c r="AK309" s="33">
        <f>AK284+AK293+AK307</f>
        <v>775601712.11826575</v>
      </c>
      <c r="AL309" s="30" t="str">
        <f>IF(ABS(AK309-F309)&lt;1,"ok","err")</f>
        <v>ok</v>
      </c>
    </row>
    <row r="310" spans="1:38" x14ac:dyDescent="0.25">
      <c r="D310" s="113"/>
      <c r="E310" s="13"/>
      <c r="F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L310" s="30"/>
    </row>
    <row r="311" spans="1:38" x14ac:dyDescent="0.25">
      <c r="D311" s="113"/>
      <c r="E311" s="13"/>
      <c r="F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L311" s="30"/>
    </row>
    <row r="312" spans="1:38" x14ac:dyDescent="0.25">
      <c r="D312" s="113"/>
      <c r="E312" s="13"/>
      <c r="F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L312" s="30"/>
    </row>
    <row r="313" spans="1:38" x14ac:dyDescent="0.25">
      <c r="D313" s="113"/>
      <c r="E313" s="13"/>
      <c r="F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L313" s="30"/>
    </row>
    <row r="314" spans="1:38" x14ac:dyDescent="0.25">
      <c r="D314" s="113"/>
      <c r="E314" s="13"/>
      <c r="F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L314" s="30"/>
    </row>
    <row r="315" spans="1:38" x14ac:dyDescent="0.25">
      <c r="A315" s="3" t="s">
        <v>277</v>
      </c>
      <c r="D315" s="113"/>
      <c r="E315" s="13"/>
      <c r="F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L315" s="30"/>
    </row>
    <row r="316" spans="1:38" x14ac:dyDescent="0.25">
      <c r="D316" s="113"/>
      <c r="E316" s="13"/>
      <c r="F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L316" s="30"/>
    </row>
    <row r="317" spans="1:38" x14ac:dyDescent="0.25">
      <c r="A317" s="4" t="s">
        <v>1148</v>
      </c>
      <c r="D317" s="113"/>
      <c r="E317" s="13"/>
      <c r="F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L317" s="30"/>
    </row>
    <row r="318" spans="1:38" x14ac:dyDescent="0.25">
      <c r="A318" s="29">
        <v>920</v>
      </c>
      <c r="B318" s="29" t="s">
        <v>1149</v>
      </c>
      <c r="C318" s="29" t="s">
        <v>1150</v>
      </c>
      <c r="D318" s="113" t="s">
        <v>692</v>
      </c>
      <c r="E318" s="13"/>
      <c r="F318" s="32">
        <f>'Jurisdictional Study'!F1094</f>
        <v>35568343.871449813</v>
      </c>
      <c r="H318" s="33">
        <f t="shared" ref="H318:H329" si="319">IF(VLOOKUP($D318,$C$5:$AJ$596,6,)=0,0,((VLOOKUP($D318,$C$5:$AJ$596,6,)/VLOOKUP($D318,$C$5:$AJ$596,4,))*$F318))</f>
        <v>11565376.025629008</v>
      </c>
      <c r="I318" s="33">
        <f t="shared" ref="I318:I329" si="320">IF(VLOOKUP($D318,$C$5:$AJ$596,7,)=0,0,((VLOOKUP($D318,$C$5:$AJ$596,7,)/VLOOKUP($D318,$C$5:$AJ$596,4,))*$F318))</f>
        <v>0</v>
      </c>
      <c r="J318" s="33">
        <f t="shared" ref="J318:J329" si="321">IF(VLOOKUP($D318,$C$5:$AJ$596,8,)=0,0,((VLOOKUP($D318,$C$5:$AJ$596,8,)/VLOOKUP($D318,$C$5:$AJ$596,4,))*$F318))</f>
        <v>0</v>
      </c>
      <c r="K318" s="33">
        <f t="shared" ref="K318:K329" si="322">IF(VLOOKUP($D318,$C$5:$AJ$596,9,)=0,0,((VLOOKUP($D318,$C$5:$AJ$596,9,)/VLOOKUP($D318,$C$5:$AJ$596,4,))*$F318))</f>
        <v>8061171.2541348943</v>
      </c>
      <c r="L318" s="33">
        <f t="shared" ref="L318:L329" si="323">IF(VLOOKUP($D318,$C$5:$AJ$596,10,)=0,0,((VLOOKUP($D318,$C$5:$AJ$596,10,)/VLOOKUP($D318,$C$5:$AJ$596,4,))*$F318))</f>
        <v>0</v>
      </c>
      <c r="M318" s="33">
        <f t="shared" ref="M318:M329" si="324">IF(VLOOKUP($D318,$C$5:$AJ$596,11,)=0,0,((VLOOKUP($D318,$C$5:$AJ$596,11,)/VLOOKUP($D318,$C$5:$AJ$596,4,))*$F318))</f>
        <v>0</v>
      </c>
      <c r="N318" s="33"/>
      <c r="O318" s="33">
        <f t="shared" ref="O318:O329" si="325">IF(VLOOKUP($D318,$C$5:$AJ$596,13,)=0,0,((VLOOKUP($D318,$C$5:$AJ$596,13,)/VLOOKUP($D318,$C$5:$AJ$596,4,))*$F318))</f>
        <v>2238465.9465526724</v>
      </c>
      <c r="P318" s="33">
        <f t="shared" ref="P318:P329" si="326">IF(VLOOKUP($D318,$C$5:$AJ$596,14,)=0,0,((VLOOKUP($D318,$C$5:$AJ$596,14,)/VLOOKUP($D318,$C$5:$AJ$596,4,))*$F318))</f>
        <v>0</v>
      </c>
      <c r="Q318" s="33">
        <f t="shared" ref="Q318:Q329" si="327">IF(VLOOKUP($D318,$C$5:$AJ$596,15,)=0,0,((VLOOKUP($D318,$C$5:$AJ$596,15,)/VLOOKUP($D318,$C$5:$AJ$596,4,))*$F318))</f>
        <v>0</v>
      </c>
      <c r="R318" s="33"/>
      <c r="S318" s="33">
        <f t="shared" ref="S318:S329" si="328">IF(VLOOKUP($D318,$C$5:$AJ$596,17,)=0,0,((VLOOKUP($D318,$C$5:$AJ$596,17,)/VLOOKUP($D318,$C$5:$AJ$596,4,))*$F318))</f>
        <v>0</v>
      </c>
      <c r="T318" s="33">
        <f t="shared" ref="T318:T329" si="329">IF(VLOOKUP($D318,$C$5:$AJ$596,18,)=0,0,((VLOOKUP($D318,$C$5:$AJ$596,18,)/VLOOKUP($D318,$C$5:$AJ$596,4,))*$F318))</f>
        <v>1049320.6447824375</v>
      </c>
      <c r="U318" s="33">
        <f t="shared" ref="U318:U329" si="330">IF(VLOOKUP($D318,$C$5:$AJ$596,19,)=0,0,((VLOOKUP($D318,$C$5:$AJ$596,19,)/VLOOKUP($D318,$C$5:$AJ$596,4,))*$F318))</f>
        <v>0</v>
      </c>
      <c r="V318" s="33">
        <f t="shared" ref="V318:V329" si="331">IF(VLOOKUP($D318,$C$5:$AJ$596,20,)=0,0,((VLOOKUP($D318,$C$5:$AJ$596,20,)/VLOOKUP($D318,$C$5:$AJ$596,4,))*$F318))</f>
        <v>858484.40454330051</v>
      </c>
      <c r="W318" s="33">
        <f t="shared" ref="W318:W329" si="332">IF(VLOOKUP($D318,$C$5:$AJ$596,21,)=0,0,((VLOOKUP($D318,$C$5:$AJ$596,21,)/VLOOKUP($D318,$C$5:$AJ$596,4,))*$F318))</f>
        <v>1615462.3869523022</v>
      </c>
      <c r="X318" s="33">
        <f t="shared" ref="X318:X329" si="333">IF(VLOOKUP($D318,$C$5:$AJ$596,22,)=0,0,((VLOOKUP($D318,$C$5:$AJ$596,22,)/VLOOKUP($D318,$C$5:$AJ$596,4,))*$F318))</f>
        <v>467630.42564091587</v>
      </c>
      <c r="Y318" s="33">
        <f t="shared" ref="Y318:Y329" si="334">IF(VLOOKUP($D318,$C$5:$AJ$596,23,)=0,0,((VLOOKUP($D318,$C$5:$AJ$596,23,)/VLOOKUP($D318,$C$5:$AJ$596,4,))*$F318))</f>
        <v>866275.00106036966</v>
      </c>
      <c r="Z318" s="33">
        <f t="shared" ref="Z318:Z329" si="335">IF(VLOOKUP($D318,$C$5:$AJ$596,24,)=0,0,((VLOOKUP($D318,$C$5:$AJ$596,24,)/VLOOKUP($D318,$C$5:$AJ$596,4,))*$F318))</f>
        <v>633461.00581884896</v>
      </c>
      <c r="AA318" s="33">
        <f t="shared" ref="AA318:AA329" si="336">IF(VLOOKUP($D318,$C$5:$AJ$596,25,)=0,0,((VLOOKUP($D318,$C$5:$AJ$596,25,)/VLOOKUP($D318,$C$5:$AJ$596,4,))*$F318))</f>
        <v>549370.28715886269</v>
      </c>
      <c r="AB318" s="33">
        <f t="shared" ref="AB318:AB329" si="337">IF(VLOOKUP($D318,$C$5:$AJ$596,26,)=0,0,((VLOOKUP($D318,$C$5:$AJ$596,26,)/VLOOKUP($D318,$C$5:$AJ$596,4,))*$F318))</f>
        <v>406807.57641124108</v>
      </c>
      <c r="AC318" s="33">
        <f t="shared" ref="AC318:AC329" si="338">IF(VLOOKUP($D318,$C$5:$AJ$596,27,)=0,0,((VLOOKUP($D318,$C$5:$AJ$596,27,)/VLOOKUP($D318,$C$5:$AJ$596,4,))*$F318))</f>
        <v>290677.48302246188</v>
      </c>
      <c r="AD318" s="33">
        <f t="shared" ref="AD318:AD329" si="339">IF(VLOOKUP($D318,$C$5:$AJ$596,28,)=0,0,((VLOOKUP($D318,$C$5:$AJ$596,28,)/VLOOKUP($D318,$C$5:$AJ$596,4,))*$F318))</f>
        <v>476318.84506949823</v>
      </c>
      <c r="AE318" s="33"/>
      <c r="AF318" s="33">
        <f t="shared" ref="AF318:AF329" si="340">IF(VLOOKUP($D318,$C$5:$AJ$596,30,)=0,0,((VLOOKUP($D318,$C$5:$AJ$596,30,)/VLOOKUP($D318,$C$5:$AJ$596,4,))*$F318))</f>
        <v>5929340.5760358321</v>
      </c>
      <c r="AG318" s="33"/>
      <c r="AH318" s="33">
        <f t="shared" ref="AH318:AH329" si="341">IF(VLOOKUP($D318,$C$5:$AJ$596,32,)=0,0,((VLOOKUP($D318,$C$5:$AJ$596,32,)/VLOOKUP($D318,$C$5:$AJ$596,4,))*$F318))</f>
        <v>560182.00863716588</v>
      </c>
      <c r="AI318" s="33"/>
      <c r="AJ318" s="33">
        <f t="shared" ref="AJ318:AJ329" si="342">IF(VLOOKUP($D318,$C$5:$AJ$596,34,)=0,0,((VLOOKUP($D318,$C$5:$AJ$596,34,)/VLOOKUP($D318,$C$5:$AJ$596,4,))*$F318))</f>
        <v>0</v>
      </c>
      <c r="AK318" s="33">
        <f t="shared" ref="AK318:AK328" si="343">SUM(H318:AJ318)</f>
        <v>35568343.871449813</v>
      </c>
      <c r="AL318" s="30" t="str">
        <f t="shared" ref="AL318:AL328" si="344">IF(ABS(AK318-F318)&lt;1,"ok","err")</f>
        <v>ok</v>
      </c>
    </row>
    <row r="319" spans="1:38" x14ac:dyDescent="0.25">
      <c r="A319" s="29">
        <v>921</v>
      </c>
      <c r="B319" s="29" t="s">
        <v>1151</v>
      </c>
      <c r="C319" s="29" t="s">
        <v>1152</v>
      </c>
      <c r="D319" s="113" t="s">
        <v>692</v>
      </c>
      <c r="E319" s="13"/>
      <c r="F319" s="33">
        <f>'Jurisdictional Study'!F1095</f>
        <v>9741161.2792451251</v>
      </c>
      <c r="H319" s="33">
        <f t="shared" si="319"/>
        <v>3167428.6980563593</v>
      </c>
      <c r="I319" s="33">
        <f t="shared" si="320"/>
        <v>0</v>
      </c>
      <c r="J319" s="33">
        <f t="shared" si="321"/>
        <v>0</v>
      </c>
      <c r="K319" s="33">
        <f t="shared" si="322"/>
        <v>2207726.3301869305</v>
      </c>
      <c r="L319" s="33">
        <f t="shared" si="323"/>
        <v>0</v>
      </c>
      <c r="M319" s="33">
        <f t="shared" si="324"/>
        <v>0</v>
      </c>
      <c r="N319" s="33"/>
      <c r="O319" s="33">
        <f t="shared" si="325"/>
        <v>613052.37832482951</v>
      </c>
      <c r="P319" s="33">
        <f t="shared" si="326"/>
        <v>0</v>
      </c>
      <c r="Q319" s="33">
        <f t="shared" si="327"/>
        <v>0</v>
      </c>
      <c r="R319" s="33"/>
      <c r="S319" s="33">
        <f t="shared" si="328"/>
        <v>0</v>
      </c>
      <c r="T319" s="33">
        <f t="shared" si="329"/>
        <v>287379.18390043278</v>
      </c>
      <c r="U319" s="33">
        <f t="shared" si="330"/>
        <v>0</v>
      </c>
      <c r="V319" s="33">
        <f t="shared" si="331"/>
        <v>235114.54653601599</v>
      </c>
      <c r="W319" s="33">
        <f t="shared" si="332"/>
        <v>442429.36102763313</v>
      </c>
      <c r="X319" s="33">
        <f t="shared" si="333"/>
        <v>128070.71961836968</v>
      </c>
      <c r="Y319" s="33">
        <f t="shared" si="334"/>
        <v>237248.17011457149</v>
      </c>
      <c r="Z319" s="33">
        <f t="shared" si="335"/>
        <v>173487.01542292861</v>
      </c>
      <c r="AA319" s="33">
        <f t="shared" si="336"/>
        <v>150456.95095000649</v>
      </c>
      <c r="AB319" s="33">
        <f t="shared" si="337"/>
        <v>111413.06510538991</v>
      </c>
      <c r="AC319" s="33">
        <f t="shared" si="338"/>
        <v>79608.323980461471</v>
      </c>
      <c r="AD319" s="33">
        <f t="shared" si="339"/>
        <v>130450.23144555607</v>
      </c>
      <c r="AE319" s="33"/>
      <c r="AF319" s="33">
        <f t="shared" si="340"/>
        <v>1623878.3295473945</v>
      </c>
      <c r="AG319" s="33"/>
      <c r="AH319" s="33">
        <f t="shared" si="341"/>
        <v>153417.97502824501</v>
      </c>
      <c r="AI319" s="33"/>
      <c r="AJ319" s="33">
        <f t="shared" si="342"/>
        <v>0</v>
      </c>
      <c r="AK319" s="33">
        <f t="shared" si="343"/>
        <v>9741161.2792451233</v>
      </c>
      <c r="AL319" s="30" t="str">
        <f t="shared" si="344"/>
        <v>ok</v>
      </c>
    </row>
    <row r="320" spans="1:38" x14ac:dyDescent="0.25">
      <c r="A320" s="29">
        <v>922</v>
      </c>
      <c r="B320" s="29" t="s">
        <v>1520</v>
      </c>
      <c r="C320" s="29" t="s">
        <v>1521</v>
      </c>
      <c r="D320" s="113" t="s">
        <v>692</v>
      </c>
      <c r="E320" s="13"/>
      <c r="F320" s="33">
        <f>'Jurisdictional Study'!F1096</f>
        <v>-5788736.8622474084</v>
      </c>
      <c r="H320" s="33">
        <f t="shared" si="319"/>
        <v>-1882261.3379829018</v>
      </c>
      <c r="I320" s="33">
        <f t="shared" si="320"/>
        <v>0</v>
      </c>
      <c r="J320" s="33">
        <f t="shared" si="321"/>
        <v>0</v>
      </c>
      <c r="K320" s="33">
        <f t="shared" si="322"/>
        <v>-1311953.1052767497</v>
      </c>
      <c r="L320" s="33">
        <f t="shared" si="323"/>
        <v>0</v>
      </c>
      <c r="M320" s="33">
        <f t="shared" si="324"/>
        <v>0</v>
      </c>
      <c r="N320" s="33"/>
      <c r="O320" s="33">
        <f t="shared" si="325"/>
        <v>-364309.63405344548</v>
      </c>
      <c r="P320" s="33">
        <f t="shared" si="326"/>
        <v>0</v>
      </c>
      <c r="Q320" s="33">
        <f t="shared" si="327"/>
        <v>0</v>
      </c>
      <c r="R320" s="33"/>
      <c r="S320" s="33">
        <f t="shared" si="328"/>
        <v>0</v>
      </c>
      <c r="T320" s="33">
        <f t="shared" si="329"/>
        <v>-170776.60738781313</v>
      </c>
      <c r="U320" s="33">
        <f t="shared" si="330"/>
        <v>0</v>
      </c>
      <c r="V320" s="33">
        <f t="shared" si="331"/>
        <v>-139718.06885935157</v>
      </c>
      <c r="W320" s="33">
        <f t="shared" si="332"/>
        <v>-262915.99920206796</v>
      </c>
      <c r="X320" s="33">
        <f t="shared" si="333"/>
        <v>-76106.705799953648</v>
      </c>
      <c r="Y320" s="33">
        <f t="shared" si="334"/>
        <v>-140985.98601063207</v>
      </c>
      <c r="Z320" s="33">
        <f t="shared" si="335"/>
        <v>-103095.58095909236</v>
      </c>
      <c r="AA320" s="33">
        <f t="shared" si="336"/>
        <v>-89409.842746505266</v>
      </c>
      <c r="AB320" s="33">
        <f t="shared" si="337"/>
        <v>-66207.806073971456</v>
      </c>
      <c r="AC320" s="33">
        <f t="shared" si="338"/>
        <v>-47307.669625519542</v>
      </c>
      <c r="AD320" s="33">
        <f t="shared" si="339"/>
        <v>-77520.743349823169</v>
      </c>
      <c r="AE320" s="33"/>
      <c r="AF320" s="33">
        <f t="shared" si="340"/>
        <v>-964998.32787741313</v>
      </c>
      <c r="AG320" s="33"/>
      <c r="AH320" s="33">
        <f t="shared" si="341"/>
        <v>-91169.447042167827</v>
      </c>
      <c r="AI320" s="33"/>
      <c r="AJ320" s="33">
        <f t="shared" si="342"/>
        <v>0</v>
      </c>
      <c r="AK320" s="33">
        <f>SUM(H320:AJ320)</f>
        <v>-5788736.8622474102</v>
      </c>
      <c r="AL320" s="30" t="str">
        <f t="shared" si="344"/>
        <v>ok</v>
      </c>
    </row>
    <row r="321" spans="1:38" x14ac:dyDescent="0.25">
      <c r="A321" s="29">
        <v>923</v>
      </c>
      <c r="B321" s="29" t="s">
        <v>1153</v>
      </c>
      <c r="C321" s="29" t="s">
        <v>1154</v>
      </c>
      <c r="D321" s="113" t="s">
        <v>692</v>
      </c>
      <c r="E321" s="13"/>
      <c r="F321" s="33">
        <f>'Jurisdictional Study'!F1097</f>
        <v>20762162.833071966</v>
      </c>
      <c r="H321" s="33">
        <f t="shared" si="319"/>
        <v>6751009.3002266195</v>
      </c>
      <c r="I321" s="33">
        <f t="shared" si="320"/>
        <v>0</v>
      </c>
      <c r="J321" s="33">
        <f t="shared" si="321"/>
        <v>0</v>
      </c>
      <c r="K321" s="33">
        <f t="shared" si="322"/>
        <v>4705514.2856390039</v>
      </c>
      <c r="L321" s="33">
        <f t="shared" si="323"/>
        <v>0</v>
      </c>
      <c r="M321" s="33">
        <f t="shared" si="324"/>
        <v>0</v>
      </c>
      <c r="N321" s="33"/>
      <c r="O321" s="33">
        <f t="shared" si="325"/>
        <v>1306650.5049148006</v>
      </c>
      <c r="P321" s="33">
        <f t="shared" si="326"/>
        <v>0</v>
      </c>
      <c r="Q321" s="33">
        <f t="shared" si="327"/>
        <v>0</v>
      </c>
      <c r="R321" s="33"/>
      <c r="S321" s="33">
        <f t="shared" si="328"/>
        <v>0</v>
      </c>
      <c r="T321" s="33">
        <f t="shared" si="329"/>
        <v>612515.61697154166</v>
      </c>
      <c r="U321" s="33">
        <f t="shared" si="330"/>
        <v>0</v>
      </c>
      <c r="V321" s="33">
        <f t="shared" si="331"/>
        <v>501119.56466682412</v>
      </c>
      <c r="W321" s="33">
        <f t="shared" si="332"/>
        <v>942987.20372891112</v>
      </c>
      <c r="X321" s="33">
        <f t="shared" si="333"/>
        <v>272967.98180836119</v>
      </c>
      <c r="Y321" s="33">
        <f t="shared" si="334"/>
        <v>505667.13747591362</v>
      </c>
      <c r="Z321" s="33">
        <f t="shared" si="335"/>
        <v>369767.58318425453</v>
      </c>
      <c r="AA321" s="33">
        <f t="shared" si="336"/>
        <v>320681.6544190952</v>
      </c>
      <c r="AB321" s="33">
        <f t="shared" si="337"/>
        <v>237464.11060643164</v>
      </c>
      <c r="AC321" s="33">
        <f t="shared" si="338"/>
        <v>169675.96962714213</v>
      </c>
      <c r="AD321" s="33">
        <f t="shared" si="339"/>
        <v>278039.63708672376</v>
      </c>
      <c r="AE321" s="33"/>
      <c r="AF321" s="33">
        <f t="shared" si="340"/>
        <v>3461109.5466610128</v>
      </c>
      <c r="AG321" s="33"/>
      <c r="AH321" s="33">
        <f t="shared" si="341"/>
        <v>326992.73605532892</v>
      </c>
      <c r="AI321" s="33"/>
      <c r="AJ321" s="33">
        <f t="shared" si="342"/>
        <v>0</v>
      </c>
      <c r="AK321" s="33">
        <f t="shared" si="343"/>
        <v>20762162.833071966</v>
      </c>
      <c r="AL321" s="30" t="str">
        <f t="shared" si="344"/>
        <v>ok</v>
      </c>
    </row>
    <row r="322" spans="1:38" x14ac:dyDescent="0.25">
      <c r="A322" s="29">
        <v>924</v>
      </c>
      <c r="B322" s="29" t="s">
        <v>1155</v>
      </c>
      <c r="C322" s="29" t="s">
        <v>1156</v>
      </c>
      <c r="D322" s="113" t="s">
        <v>184</v>
      </c>
      <c r="E322" s="13"/>
      <c r="F322" s="33">
        <f>'Jurisdictional Study'!F1090</f>
        <v>5794833.5012654392</v>
      </c>
      <c r="H322" s="33">
        <f t="shared" si="319"/>
        <v>3456765.984420164</v>
      </c>
      <c r="I322" s="33">
        <f t="shared" si="320"/>
        <v>0</v>
      </c>
      <c r="J322" s="33">
        <f t="shared" si="321"/>
        <v>0</v>
      </c>
      <c r="K322" s="33">
        <f t="shared" si="322"/>
        <v>0</v>
      </c>
      <c r="L322" s="33">
        <f t="shared" si="323"/>
        <v>0</v>
      </c>
      <c r="M322" s="33">
        <f t="shared" si="324"/>
        <v>0</v>
      </c>
      <c r="N322" s="33"/>
      <c r="O322" s="33">
        <f t="shared" si="325"/>
        <v>838466.51928495429</v>
      </c>
      <c r="P322" s="33">
        <f t="shared" si="326"/>
        <v>0</v>
      </c>
      <c r="Q322" s="33">
        <f t="shared" si="327"/>
        <v>0</v>
      </c>
      <c r="R322" s="33"/>
      <c r="S322" s="33">
        <f t="shared" si="328"/>
        <v>0</v>
      </c>
      <c r="T322" s="33">
        <f t="shared" si="329"/>
        <v>218131.9869461552</v>
      </c>
      <c r="U322" s="33">
        <f t="shared" si="330"/>
        <v>0</v>
      </c>
      <c r="V322" s="33">
        <f t="shared" si="331"/>
        <v>178461.09276173013</v>
      </c>
      <c r="W322" s="33">
        <f t="shared" si="332"/>
        <v>335821.10678451997</v>
      </c>
      <c r="X322" s="33">
        <f t="shared" si="333"/>
        <v>97210.661401481004</v>
      </c>
      <c r="Y322" s="33">
        <f t="shared" si="334"/>
        <v>180080.59611012408</v>
      </c>
      <c r="Z322" s="33">
        <f t="shared" si="335"/>
        <v>131683.39776715712</v>
      </c>
      <c r="AA322" s="33">
        <f t="shared" si="336"/>
        <v>114202.68237645204</v>
      </c>
      <c r="AB322" s="33">
        <f t="shared" si="337"/>
        <v>84566.853219334531</v>
      </c>
      <c r="AC322" s="33">
        <f t="shared" si="338"/>
        <v>60425.816691468324</v>
      </c>
      <c r="AD322" s="33">
        <f t="shared" si="339"/>
        <v>99016.803501898001</v>
      </c>
      <c r="AE322" s="33"/>
      <c r="AF322" s="33">
        <f t="shared" si="340"/>
        <v>0</v>
      </c>
      <c r="AG322" s="33"/>
      <c r="AH322" s="33">
        <f t="shared" si="341"/>
        <v>0</v>
      </c>
      <c r="AI322" s="33"/>
      <c r="AJ322" s="33">
        <f t="shared" si="342"/>
        <v>0</v>
      </c>
      <c r="AK322" s="33">
        <f t="shared" si="343"/>
        <v>5794833.5012654392</v>
      </c>
      <c r="AL322" s="30" t="str">
        <f t="shared" si="344"/>
        <v>ok</v>
      </c>
    </row>
    <row r="323" spans="1:38" x14ac:dyDescent="0.25">
      <c r="A323" s="29">
        <v>925</v>
      </c>
      <c r="B323" s="29" t="s">
        <v>1131</v>
      </c>
      <c r="C323" s="29" t="s">
        <v>1132</v>
      </c>
      <c r="D323" s="113" t="s">
        <v>692</v>
      </c>
      <c r="E323" s="13"/>
      <c r="F323" s="33">
        <f>'Jurisdictional Study'!F1098</f>
        <v>4711418.6603675634</v>
      </c>
      <c r="H323" s="33">
        <f t="shared" si="319"/>
        <v>1531961.3591864181</v>
      </c>
      <c r="I323" s="33">
        <f t="shared" si="320"/>
        <v>0</v>
      </c>
      <c r="J323" s="33">
        <f t="shared" si="321"/>
        <v>0</v>
      </c>
      <c r="K323" s="33">
        <f t="shared" si="322"/>
        <v>1067790.8650572668</v>
      </c>
      <c r="L323" s="33">
        <f t="shared" si="323"/>
        <v>0</v>
      </c>
      <c r="M323" s="33">
        <f t="shared" si="324"/>
        <v>0</v>
      </c>
      <c r="N323" s="33"/>
      <c r="O323" s="33">
        <f t="shared" si="325"/>
        <v>296509.45428614691</v>
      </c>
      <c r="P323" s="33">
        <f t="shared" si="326"/>
        <v>0</v>
      </c>
      <c r="Q323" s="33">
        <f t="shared" si="327"/>
        <v>0</v>
      </c>
      <c r="R323" s="33"/>
      <c r="S323" s="33">
        <f t="shared" si="328"/>
        <v>0</v>
      </c>
      <c r="T323" s="33">
        <f t="shared" si="329"/>
        <v>138994.06968186691</v>
      </c>
      <c r="U323" s="33">
        <f t="shared" si="330"/>
        <v>0</v>
      </c>
      <c r="V323" s="33">
        <f t="shared" si="331"/>
        <v>113715.70905347794</v>
      </c>
      <c r="W323" s="33">
        <f t="shared" si="332"/>
        <v>213985.77517460225</v>
      </c>
      <c r="X323" s="33">
        <f t="shared" si="333"/>
        <v>61942.797266102563</v>
      </c>
      <c r="Y323" s="33">
        <f t="shared" si="334"/>
        <v>114747.65931628949</v>
      </c>
      <c r="Z323" s="33">
        <f t="shared" si="335"/>
        <v>83908.882972359715</v>
      </c>
      <c r="AA323" s="33">
        <f t="shared" si="336"/>
        <v>72770.141666600161</v>
      </c>
      <c r="AB323" s="33">
        <f t="shared" si="337"/>
        <v>53886.14138487578</v>
      </c>
      <c r="AC323" s="33">
        <f t="shared" si="338"/>
        <v>38503.432226429381</v>
      </c>
      <c r="AD323" s="33">
        <f t="shared" si="339"/>
        <v>63093.674056229996</v>
      </c>
      <c r="AE323" s="33"/>
      <c r="AF323" s="33">
        <f t="shared" si="340"/>
        <v>785406.42585367255</v>
      </c>
      <c r="AG323" s="33"/>
      <c r="AH323" s="33">
        <f t="shared" si="341"/>
        <v>74202.273185224563</v>
      </c>
      <c r="AI323" s="33"/>
      <c r="AJ323" s="33">
        <f t="shared" si="342"/>
        <v>0</v>
      </c>
      <c r="AK323" s="33">
        <f t="shared" si="343"/>
        <v>4711418.6603675624</v>
      </c>
      <c r="AL323" s="30" t="str">
        <f t="shared" si="344"/>
        <v>ok</v>
      </c>
    </row>
    <row r="324" spans="1:38" x14ac:dyDescent="0.25">
      <c r="A324" s="29">
        <v>926</v>
      </c>
      <c r="B324" s="29" t="s">
        <v>1133</v>
      </c>
      <c r="C324" s="29" t="s">
        <v>238</v>
      </c>
      <c r="D324" s="113" t="s">
        <v>692</v>
      </c>
      <c r="E324" s="13"/>
      <c r="F324" s="33">
        <f>'Jurisdictional Study'!F1099+'Jurisdictional Study'!F1100</f>
        <v>28639697.540925462</v>
      </c>
      <c r="H324" s="33">
        <f t="shared" si="319"/>
        <v>9312462.5795961767</v>
      </c>
      <c r="I324" s="33">
        <f t="shared" si="320"/>
        <v>0</v>
      </c>
      <c r="J324" s="33">
        <f t="shared" si="321"/>
        <v>0</v>
      </c>
      <c r="K324" s="33">
        <f t="shared" si="322"/>
        <v>6490870.2912463043</v>
      </c>
      <c r="L324" s="33">
        <f t="shared" si="323"/>
        <v>0</v>
      </c>
      <c r="M324" s="33">
        <f t="shared" si="324"/>
        <v>0</v>
      </c>
      <c r="N324" s="33"/>
      <c r="O324" s="33">
        <f t="shared" si="325"/>
        <v>1802417.0002581789</v>
      </c>
      <c r="P324" s="33">
        <f t="shared" si="326"/>
        <v>0</v>
      </c>
      <c r="Q324" s="33">
        <f t="shared" si="327"/>
        <v>0</v>
      </c>
      <c r="R324" s="33"/>
      <c r="S324" s="33">
        <f t="shared" si="328"/>
        <v>0</v>
      </c>
      <c r="T324" s="33">
        <f t="shared" si="329"/>
        <v>844914.96142277156</v>
      </c>
      <c r="U324" s="33">
        <f t="shared" si="330"/>
        <v>0</v>
      </c>
      <c r="V324" s="33">
        <f t="shared" si="331"/>
        <v>691253.26100597647</v>
      </c>
      <c r="W324" s="33">
        <f t="shared" si="332"/>
        <v>1300773.3595432525</v>
      </c>
      <c r="X324" s="33">
        <f t="shared" si="333"/>
        <v>376536.90033176565</v>
      </c>
      <c r="Y324" s="33">
        <f t="shared" si="334"/>
        <v>697526.26400883321</v>
      </c>
      <c r="Z324" s="33">
        <f t="shared" si="335"/>
        <v>510063.99612506782</v>
      </c>
      <c r="AA324" s="33">
        <f t="shared" si="336"/>
        <v>442353.99092704128</v>
      </c>
      <c r="AB324" s="33">
        <f t="shared" si="337"/>
        <v>327562.22746504738</v>
      </c>
      <c r="AC324" s="33">
        <f t="shared" si="338"/>
        <v>234054.05733279281</v>
      </c>
      <c r="AD324" s="33">
        <f t="shared" si="339"/>
        <v>383532.83203560393</v>
      </c>
      <c r="AE324" s="33"/>
      <c r="AF324" s="33">
        <f t="shared" si="340"/>
        <v>4774316.2101823529</v>
      </c>
      <c r="AG324" s="33"/>
      <c r="AH324" s="33">
        <f t="shared" si="341"/>
        <v>451059.60944429471</v>
      </c>
      <c r="AI324" s="33"/>
      <c r="AJ324" s="33">
        <f t="shared" si="342"/>
        <v>0</v>
      </c>
      <c r="AK324" s="33">
        <f t="shared" si="343"/>
        <v>28639697.540925462</v>
      </c>
      <c r="AL324" s="30" t="str">
        <f t="shared" si="344"/>
        <v>ok</v>
      </c>
    </row>
    <row r="325" spans="1:38" x14ac:dyDescent="0.25">
      <c r="A325" s="29">
        <v>928</v>
      </c>
      <c r="B325" s="29" t="s">
        <v>530</v>
      </c>
      <c r="C325" s="29" t="s">
        <v>239</v>
      </c>
      <c r="D325" s="113" t="s">
        <v>184</v>
      </c>
      <c r="E325" s="13"/>
      <c r="F325" s="33">
        <f>'Jurisdictional Study'!F1115</f>
        <v>1988558.2738559267</v>
      </c>
      <c r="H325" s="33">
        <f t="shared" si="319"/>
        <v>1186225.7297990266</v>
      </c>
      <c r="I325" s="33">
        <f t="shared" si="320"/>
        <v>0</v>
      </c>
      <c r="J325" s="33">
        <f t="shared" si="321"/>
        <v>0</v>
      </c>
      <c r="K325" s="33">
        <f t="shared" si="322"/>
        <v>0</v>
      </c>
      <c r="L325" s="33">
        <f t="shared" si="323"/>
        <v>0</v>
      </c>
      <c r="M325" s="33">
        <f t="shared" si="324"/>
        <v>0</v>
      </c>
      <c r="N325" s="33"/>
      <c r="O325" s="33">
        <f t="shared" si="325"/>
        <v>287728.63515598379</v>
      </c>
      <c r="P325" s="33">
        <f t="shared" si="326"/>
        <v>0</v>
      </c>
      <c r="Q325" s="33">
        <f t="shared" si="327"/>
        <v>0</v>
      </c>
      <c r="R325" s="33"/>
      <c r="S325" s="33">
        <f t="shared" si="328"/>
        <v>0</v>
      </c>
      <c r="T325" s="33">
        <f t="shared" si="329"/>
        <v>74854.293456349755</v>
      </c>
      <c r="U325" s="33">
        <f t="shared" si="330"/>
        <v>0</v>
      </c>
      <c r="V325" s="33">
        <f t="shared" si="331"/>
        <v>61240.807435660048</v>
      </c>
      <c r="W325" s="33">
        <f t="shared" si="332"/>
        <v>115240.55700409373</v>
      </c>
      <c r="X325" s="33">
        <f t="shared" si="333"/>
        <v>33358.864408219561</v>
      </c>
      <c r="Y325" s="33">
        <f t="shared" si="334"/>
        <v>61796.557101682884</v>
      </c>
      <c r="Z325" s="33">
        <f t="shared" si="335"/>
        <v>45188.547712744119</v>
      </c>
      <c r="AA325" s="33">
        <f t="shared" si="336"/>
        <v>39189.855737294565</v>
      </c>
      <c r="AB325" s="33">
        <f t="shared" si="337"/>
        <v>29020.008189457789</v>
      </c>
      <c r="AC325" s="33">
        <f t="shared" si="338"/>
        <v>20735.756723654107</v>
      </c>
      <c r="AD325" s="33">
        <f t="shared" si="339"/>
        <v>33978.661131759494</v>
      </c>
      <c r="AE325" s="33"/>
      <c r="AF325" s="33">
        <f t="shared" si="340"/>
        <v>0</v>
      </c>
      <c r="AG325" s="33"/>
      <c r="AH325" s="33">
        <f t="shared" si="341"/>
        <v>0</v>
      </c>
      <c r="AI325" s="33"/>
      <c r="AJ325" s="33">
        <f t="shared" si="342"/>
        <v>0</v>
      </c>
      <c r="AK325" s="33">
        <f t="shared" si="343"/>
        <v>1988558.2738559262</v>
      </c>
      <c r="AL325" s="30" t="str">
        <f t="shared" si="344"/>
        <v>ok</v>
      </c>
    </row>
    <row r="326" spans="1:38" x14ac:dyDescent="0.25">
      <c r="A326" s="29">
        <v>929</v>
      </c>
      <c r="B326" s="29" t="s">
        <v>292</v>
      </c>
      <c r="C326" s="29" t="s">
        <v>452</v>
      </c>
      <c r="D326" s="113" t="s">
        <v>692</v>
      </c>
      <c r="E326" s="13"/>
      <c r="F326" s="33">
        <f>'Jurisdictional Study'!F1116</f>
        <v>0</v>
      </c>
      <c r="H326" s="33">
        <f t="shared" si="319"/>
        <v>0</v>
      </c>
      <c r="I326" s="33">
        <f t="shared" si="320"/>
        <v>0</v>
      </c>
      <c r="J326" s="33">
        <f t="shared" si="321"/>
        <v>0</v>
      </c>
      <c r="K326" s="33">
        <f t="shared" si="322"/>
        <v>0</v>
      </c>
      <c r="L326" s="33">
        <f t="shared" si="323"/>
        <v>0</v>
      </c>
      <c r="M326" s="33">
        <f t="shared" si="324"/>
        <v>0</v>
      </c>
      <c r="N326" s="33"/>
      <c r="O326" s="33">
        <f t="shared" si="325"/>
        <v>0</v>
      </c>
      <c r="P326" s="33">
        <f t="shared" si="326"/>
        <v>0</v>
      </c>
      <c r="Q326" s="33">
        <f t="shared" si="327"/>
        <v>0</v>
      </c>
      <c r="R326" s="33"/>
      <c r="S326" s="33">
        <f t="shared" si="328"/>
        <v>0</v>
      </c>
      <c r="T326" s="33">
        <f t="shared" si="329"/>
        <v>0</v>
      </c>
      <c r="U326" s="33">
        <f t="shared" si="330"/>
        <v>0</v>
      </c>
      <c r="V326" s="33">
        <f t="shared" si="331"/>
        <v>0</v>
      </c>
      <c r="W326" s="33">
        <f t="shared" si="332"/>
        <v>0</v>
      </c>
      <c r="X326" s="33">
        <f t="shared" si="333"/>
        <v>0</v>
      </c>
      <c r="Y326" s="33">
        <f t="shared" si="334"/>
        <v>0</v>
      </c>
      <c r="Z326" s="33">
        <f t="shared" si="335"/>
        <v>0</v>
      </c>
      <c r="AA326" s="33">
        <f t="shared" si="336"/>
        <v>0</v>
      </c>
      <c r="AB326" s="33">
        <f t="shared" si="337"/>
        <v>0</v>
      </c>
      <c r="AC326" s="33">
        <f t="shared" si="338"/>
        <v>0</v>
      </c>
      <c r="AD326" s="33">
        <f t="shared" si="339"/>
        <v>0</v>
      </c>
      <c r="AE326" s="33"/>
      <c r="AF326" s="33">
        <f t="shared" si="340"/>
        <v>0</v>
      </c>
      <c r="AG326" s="33"/>
      <c r="AH326" s="33">
        <f t="shared" si="341"/>
        <v>0</v>
      </c>
      <c r="AI326" s="33"/>
      <c r="AJ326" s="33">
        <f t="shared" si="342"/>
        <v>0</v>
      </c>
      <c r="AK326" s="33">
        <f t="shared" si="343"/>
        <v>0</v>
      </c>
      <c r="AL326" s="30" t="str">
        <f t="shared" si="344"/>
        <v>ok</v>
      </c>
    </row>
    <row r="327" spans="1:38" x14ac:dyDescent="0.25">
      <c r="A327" s="29">
        <v>930</v>
      </c>
      <c r="B327" s="29" t="s">
        <v>240</v>
      </c>
      <c r="C327" s="29" t="s">
        <v>241</v>
      </c>
      <c r="D327" s="113" t="s">
        <v>692</v>
      </c>
      <c r="E327" s="13"/>
      <c r="F327" s="33">
        <f>'Jurisdictional Study'!F1104+'Jurisdictional Study'!F1105-3158</f>
        <v>3492614.3780923299</v>
      </c>
      <c r="H327" s="33">
        <f t="shared" si="319"/>
        <v>1135655.8725687363</v>
      </c>
      <c r="I327" s="33">
        <f t="shared" si="320"/>
        <v>0</v>
      </c>
      <c r="J327" s="33">
        <f t="shared" si="321"/>
        <v>0</v>
      </c>
      <c r="K327" s="33">
        <f t="shared" si="322"/>
        <v>791562.37153496942</v>
      </c>
      <c r="L327" s="33">
        <f t="shared" si="323"/>
        <v>0</v>
      </c>
      <c r="M327" s="33">
        <f t="shared" si="324"/>
        <v>0</v>
      </c>
      <c r="N327" s="33"/>
      <c r="O327" s="33">
        <f t="shared" si="325"/>
        <v>219804.95853436104</v>
      </c>
      <c r="P327" s="33">
        <f t="shared" si="326"/>
        <v>0</v>
      </c>
      <c r="Q327" s="33">
        <f t="shared" si="327"/>
        <v>0</v>
      </c>
      <c r="R327" s="33"/>
      <c r="S327" s="33">
        <f t="shared" si="328"/>
        <v>0</v>
      </c>
      <c r="T327" s="33">
        <f t="shared" si="329"/>
        <v>103037.47580831265</v>
      </c>
      <c r="U327" s="33">
        <f t="shared" si="330"/>
        <v>0</v>
      </c>
      <c r="V327" s="33">
        <f t="shared" si="331"/>
        <v>84298.413935507953</v>
      </c>
      <c r="W327" s="33">
        <f t="shared" si="332"/>
        <v>158629.45939593963</v>
      </c>
      <c r="X327" s="33">
        <f t="shared" si="333"/>
        <v>45918.717895040565</v>
      </c>
      <c r="Y327" s="33">
        <f t="shared" si="334"/>
        <v>85063.407366401763</v>
      </c>
      <c r="Z327" s="33">
        <f t="shared" si="335"/>
        <v>62202.362440035613</v>
      </c>
      <c r="AA327" s="33">
        <f t="shared" si="336"/>
        <v>53945.119591803632</v>
      </c>
      <c r="AB327" s="33">
        <f t="shared" si="337"/>
        <v>39946.250959164499</v>
      </c>
      <c r="AC327" s="33">
        <f t="shared" si="338"/>
        <v>28542.918957968275</v>
      </c>
      <c r="AD327" s="33">
        <f t="shared" si="339"/>
        <v>46771.87256338376</v>
      </c>
      <c r="AE327" s="33"/>
      <c r="AF327" s="33">
        <f t="shared" si="340"/>
        <v>582228.40577887394</v>
      </c>
      <c r="AG327" s="33"/>
      <c r="AH327" s="33">
        <f t="shared" si="341"/>
        <v>55006.770761830747</v>
      </c>
      <c r="AI327" s="33"/>
      <c r="AJ327" s="33">
        <f t="shared" si="342"/>
        <v>0</v>
      </c>
      <c r="AK327" s="33">
        <f t="shared" si="343"/>
        <v>3492614.3780923299</v>
      </c>
      <c r="AL327" s="30" t="str">
        <f t="shared" si="344"/>
        <v>ok</v>
      </c>
    </row>
    <row r="328" spans="1:38" x14ac:dyDescent="0.25">
      <c r="A328" s="29">
        <v>931</v>
      </c>
      <c r="B328" s="29" t="s">
        <v>242</v>
      </c>
      <c r="C328" s="29" t="s">
        <v>243</v>
      </c>
      <c r="D328" s="113" t="s">
        <v>174</v>
      </c>
      <c r="E328" s="13"/>
      <c r="F328" s="33">
        <f>'Jurisdictional Study'!F1106</f>
        <v>2812319.2834005682</v>
      </c>
      <c r="H328" s="33">
        <f t="shared" si="319"/>
        <v>1690390.9513536729</v>
      </c>
      <c r="I328" s="33">
        <f t="shared" si="320"/>
        <v>0</v>
      </c>
      <c r="J328" s="33">
        <f t="shared" si="321"/>
        <v>0</v>
      </c>
      <c r="K328" s="33">
        <f t="shared" si="322"/>
        <v>0</v>
      </c>
      <c r="L328" s="33">
        <f t="shared" si="323"/>
        <v>0</v>
      </c>
      <c r="M328" s="33">
        <f t="shared" si="324"/>
        <v>0</v>
      </c>
      <c r="N328" s="33"/>
      <c r="O328" s="33">
        <f t="shared" si="325"/>
        <v>391559.52150437585</v>
      </c>
      <c r="P328" s="33">
        <f t="shared" si="326"/>
        <v>0</v>
      </c>
      <c r="Q328" s="33">
        <f t="shared" si="327"/>
        <v>0</v>
      </c>
      <c r="R328" s="33"/>
      <c r="S328" s="33">
        <f t="shared" si="328"/>
        <v>0</v>
      </c>
      <c r="T328" s="33">
        <f t="shared" si="329"/>
        <v>106239.45976718472</v>
      </c>
      <c r="U328" s="33">
        <f t="shared" si="330"/>
        <v>0</v>
      </c>
      <c r="V328" s="33">
        <f t="shared" si="331"/>
        <v>86918.064378828276</v>
      </c>
      <c r="W328" s="33">
        <f t="shared" si="332"/>
        <v>163559.01517557926</v>
      </c>
      <c r="X328" s="33">
        <f t="shared" si="333"/>
        <v>47345.684122216226</v>
      </c>
      <c r="Y328" s="33">
        <f t="shared" si="334"/>
        <v>87706.830681438427</v>
      </c>
      <c r="Z328" s="33">
        <f t="shared" si="335"/>
        <v>64135.357839762524</v>
      </c>
      <c r="AA328" s="33">
        <f t="shared" si="336"/>
        <v>55621.513605121014</v>
      </c>
      <c r="AB328" s="33">
        <f t="shared" si="337"/>
        <v>41187.617304612213</v>
      </c>
      <c r="AC328" s="33">
        <f t="shared" si="338"/>
        <v>29429.916314278002</v>
      </c>
      <c r="AD328" s="33">
        <f t="shared" si="339"/>
        <v>48225.3513534987</v>
      </c>
      <c r="AE328" s="33"/>
      <c r="AF328" s="33">
        <f t="shared" si="340"/>
        <v>0</v>
      </c>
      <c r="AG328" s="33"/>
      <c r="AH328" s="33">
        <f t="shared" si="341"/>
        <v>0</v>
      </c>
      <c r="AI328" s="33"/>
      <c r="AJ328" s="33">
        <f t="shared" si="342"/>
        <v>0</v>
      </c>
      <c r="AK328" s="33">
        <f t="shared" si="343"/>
        <v>2812319.2834005686</v>
      </c>
      <c r="AL328" s="30" t="str">
        <f t="shared" si="344"/>
        <v>ok</v>
      </c>
    </row>
    <row r="329" spans="1:38" x14ac:dyDescent="0.25">
      <c r="A329" s="29">
        <v>935</v>
      </c>
      <c r="B329" s="29" t="s">
        <v>244</v>
      </c>
      <c r="C329" s="29" t="s">
        <v>1522</v>
      </c>
      <c r="D329" s="113" t="s">
        <v>174</v>
      </c>
      <c r="E329" s="13"/>
      <c r="F329" s="33">
        <f>'Jurisdictional Study'!F1107</f>
        <v>1315836.1086091646</v>
      </c>
      <c r="H329" s="33">
        <f t="shared" si="319"/>
        <v>790905.02439958882</v>
      </c>
      <c r="I329" s="33">
        <f t="shared" si="320"/>
        <v>0</v>
      </c>
      <c r="J329" s="33">
        <f t="shared" si="321"/>
        <v>0</v>
      </c>
      <c r="K329" s="33">
        <f t="shared" si="322"/>
        <v>0</v>
      </c>
      <c r="L329" s="33">
        <f t="shared" si="323"/>
        <v>0</v>
      </c>
      <c r="M329" s="33">
        <f t="shared" si="324"/>
        <v>0</v>
      </c>
      <c r="N329" s="33"/>
      <c r="O329" s="33">
        <f t="shared" si="325"/>
        <v>183204.00535823469</v>
      </c>
      <c r="P329" s="33">
        <f t="shared" si="326"/>
        <v>0</v>
      </c>
      <c r="Q329" s="33">
        <f t="shared" si="327"/>
        <v>0</v>
      </c>
      <c r="R329" s="33"/>
      <c r="S329" s="33">
        <f t="shared" si="328"/>
        <v>0</v>
      </c>
      <c r="T329" s="33">
        <f t="shared" si="329"/>
        <v>49707.626778335805</v>
      </c>
      <c r="U329" s="33">
        <f t="shared" si="330"/>
        <v>0</v>
      </c>
      <c r="V329" s="33">
        <f t="shared" si="331"/>
        <v>40667.47622687625</v>
      </c>
      <c r="W329" s="33">
        <f t="shared" si="332"/>
        <v>76526.466723347301</v>
      </c>
      <c r="X329" s="33">
        <f t="shared" si="333"/>
        <v>22152.236100122147</v>
      </c>
      <c r="Y329" s="33">
        <f t="shared" si="334"/>
        <v>41036.526493805257</v>
      </c>
      <c r="Z329" s="33">
        <f t="shared" si="335"/>
        <v>30007.837368339522</v>
      </c>
      <c r="AA329" s="33">
        <f t="shared" si="336"/>
        <v>26024.355217810313</v>
      </c>
      <c r="AB329" s="33">
        <f t="shared" si="337"/>
        <v>19270.981924730873</v>
      </c>
      <c r="AC329" s="33">
        <f t="shared" si="338"/>
        <v>13769.754660590295</v>
      </c>
      <c r="AD329" s="33">
        <f t="shared" si="339"/>
        <v>22563.817357383276</v>
      </c>
      <c r="AE329" s="33"/>
      <c r="AF329" s="33">
        <f t="shared" si="340"/>
        <v>0</v>
      </c>
      <c r="AG329" s="33"/>
      <c r="AH329" s="33">
        <f t="shared" si="341"/>
        <v>0</v>
      </c>
      <c r="AI329" s="33"/>
      <c r="AJ329" s="33">
        <f t="shared" si="342"/>
        <v>0</v>
      </c>
      <c r="AK329" s="33"/>
      <c r="AL329" s="30"/>
    </row>
    <row r="330" spans="1:38" x14ac:dyDescent="0.25">
      <c r="D330" s="113"/>
      <c r="E330" s="13"/>
      <c r="F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0"/>
    </row>
    <row r="331" spans="1:38" x14ac:dyDescent="0.25">
      <c r="A331" s="29" t="s">
        <v>245</v>
      </c>
      <c r="C331" s="29" t="s">
        <v>246</v>
      </c>
      <c r="D331" s="113"/>
      <c r="E331" s="13"/>
      <c r="F331" s="32">
        <f t="shared" ref="F331:M331" si="345">SUM(F318:F330)</f>
        <v>109038208.86803594</v>
      </c>
      <c r="G331" s="32">
        <f t="shared" si="345"/>
        <v>0</v>
      </c>
      <c r="H331" s="32">
        <f t="shared" si="345"/>
        <v>38705920.187252857</v>
      </c>
      <c r="I331" s="32">
        <f t="shared" si="345"/>
        <v>0</v>
      </c>
      <c r="J331" s="32">
        <f t="shared" si="345"/>
        <v>0</v>
      </c>
      <c r="K331" s="32">
        <f t="shared" si="345"/>
        <v>22012682.29252262</v>
      </c>
      <c r="L331" s="32">
        <f t="shared" si="345"/>
        <v>0</v>
      </c>
      <c r="M331" s="32">
        <f t="shared" si="345"/>
        <v>0</v>
      </c>
      <c r="N331" s="32"/>
      <c r="O331" s="32">
        <f>SUM(O318:O330)</f>
        <v>7813549.2901210943</v>
      </c>
      <c r="P331" s="32">
        <f>SUM(P318:P330)</f>
        <v>0</v>
      </c>
      <c r="Q331" s="32">
        <f>SUM(Q318:Q330)</f>
        <v>0</v>
      </c>
      <c r="R331" s="32"/>
      <c r="S331" s="32">
        <f t="shared" ref="S331:AD331" si="346">SUM(S318:S330)</f>
        <v>0</v>
      </c>
      <c r="T331" s="32">
        <f t="shared" si="346"/>
        <v>3314318.7121275752</v>
      </c>
      <c r="U331" s="32">
        <f t="shared" si="346"/>
        <v>0</v>
      </c>
      <c r="V331" s="32">
        <f t="shared" si="346"/>
        <v>2711555.2716848459</v>
      </c>
      <c r="W331" s="32">
        <f t="shared" si="346"/>
        <v>5102498.692308113</v>
      </c>
      <c r="X331" s="32">
        <f t="shared" si="346"/>
        <v>1477028.2827926406</v>
      </c>
      <c r="Y331" s="32">
        <f t="shared" si="346"/>
        <v>2736162.1637187982</v>
      </c>
      <c r="Z331" s="32">
        <f t="shared" si="346"/>
        <v>2000810.4056924062</v>
      </c>
      <c r="AA331" s="32">
        <f t="shared" si="346"/>
        <v>1735206.7089035821</v>
      </c>
      <c r="AB331" s="32">
        <f t="shared" si="346"/>
        <v>1284917.026496314</v>
      </c>
      <c r="AC331" s="32">
        <f t="shared" si="346"/>
        <v>918115.75991172704</v>
      </c>
      <c r="AD331" s="32">
        <f t="shared" si="346"/>
        <v>1504470.9822517117</v>
      </c>
      <c r="AE331" s="32"/>
      <c r="AF331" s="32">
        <f>SUM(AF318:AF330)</f>
        <v>16191281.166181728</v>
      </c>
      <c r="AG331" s="32"/>
      <c r="AH331" s="32">
        <f>SUM(AH318:AH330)</f>
        <v>1529691.9260699218</v>
      </c>
      <c r="AI331" s="32"/>
      <c r="AJ331" s="32">
        <f>SUM(AJ318:AJ330)</f>
        <v>0</v>
      </c>
      <c r="AK331" s="33">
        <f>SUM(H331:AJ331)</f>
        <v>109038208.86803596</v>
      </c>
      <c r="AL331" s="30" t="str">
        <f>IF(ABS(AK331-F331)&lt;1,"ok","err")</f>
        <v>ok</v>
      </c>
    </row>
    <row r="332" spans="1:38" x14ac:dyDescent="0.25">
      <c r="D332" s="113"/>
      <c r="E332" s="13"/>
      <c r="F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0"/>
    </row>
    <row r="333" spans="1:38" x14ac:dyDescent="0.25">
      <c r="A333" s="29" t="s">
        <v>784</v>
      </c>
      <c r="C333" s="29" t="s">
        <v>785</v>
      </c>
      <c r="D333" s="113"/>
      <c r="E333" s="13"/>
      <c r="F333" s="32">
        <f>F284+F293+F307+F331</f>
        <v>884639920.98630178</v>
      </c>
      <c r="G333" s="32"/>
      <c r="H333" s="32">
        <f t="shared" ref="H333:M333" si="347">H284+H293+H307+H331</f>
        <v>114827525.17010441</v>
      </c>
      <c r="I333" s="32">
        <f t="shared" si="347"/>
        <v>0</v>
      </c>
      <c r="J333" s="32">
        <f t="shared" si="347"/>
        <v>0</v>
      </c>
      <c r="K333" s="32">
        <f t="shared" si="347"/>
        <v>573994723.86352992</v>
      </c>
      <c r="L333" s="32">
        <f t="shared" si="347"/>
        <v>0</v>
      </c>
      <c r="M333" s="32">
        <f t="shared" si="347"/>
        <v>0</v>
      </c>
      <c r="N333" s="32"/>
      <c r="O333" s="32">
        <f>O284+O293+O307+O331</f>
        <v>54099319.645765319</v>
      </c>
      <c r="P333" s="32">
        <f>P284+P293+P307+P331</f>
        <v>0</v>
      </c>
      <c r="Q333" s="32">
        <f>Q284+Q293+Q307+Q331</f>
        <v>0</v>
      </c>
      <c r="R333" s="32"/>
      <c r="S333" s="32">
        <f t="shared" ref="S333:AD333" si="348">S284+S293+S307+S331</f>
        <v>0</v>
      </c>
      <c r="T333" s="32">
        <f t="shared" si="348"/>
        <v>8381464.9402496461</v>
      </c>
      <c r="U333" s="32">
        <f t="shared" si="348"/>
        <v>0</v>
      </c>
      <c r="V333" s="32">
        <f t="shared" si="348"/>
        <v>12802418.326254947</v>
      </c>
      <c r="W333" s="32">
        <f t="shared" si="348"/>
        <v>21824284.834222149</v>
      </c>
      <c r="X333" s="32">
        <f t="shared" si="348"/>
        <v>7055662.773199264</v>
      </c>
      <c r="Y333" s="32">
        <f t="shared" si="348"/>
        <v>11949812.075310342</v>
      </c>
      <c r="Z333" s="32">
        <f t="shared" si="348"/>
        <v>2797636.0572042032</v>
      </c>
      <c r="AA333" s="32">
        <f t="shared" si="348"/>
        <v>2426255.302211578</v>
      </c>
      <c r="AB333" s="32">
        <f t="shared" si="348"/>
        <v>1759026.8294097376</v>
      </c>
      <c r="AC333" s="32">
        <f t="shared" si="348"/>
        <v>10652700.500883294</v>
      </c>
      <c r="AD333" s="32">
        <f t="shared" si="348"/>
        <v>2059591.9948740546</v>
      </c>
      <c r="AE333" s="32"/>
      <c r="AF333" s="32">
        <f>AF284+AF293+AF307+AF331</f>
        <v>53856751.652274072</v>
      </c>
      <c r="AG333" s="32"/>
      <c r="AH333" s="32">
        <f>AH284+AH293+AH307+AH331</f>
        <v>6152747.020808869</v>
      </c>
      <c r="AI333" s="32"/>
      <c r="AJ333" s="32">
        <f>AJ284+AJ293+AJ307+AJ331</f>
        <v>0</v>
      </c>
      <c r="AK333" s="33">
        <f>SUM(H333:AJ333)</f>
        <v>884639920.98630178</v>
      </c>
      <c r="AL333" s="30" t="str">
        <f>IF(ABS(AK333-F333)&lt;1,"ok","err")</f>
        <v>ok</v>
      </c>
    </row>
    <row r="334" spans="1:38" x14ac:dyDescent="0.25">
      <c r="D334" s="113"/>
      <c r="E334" s="13"/>
      <c r="F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0"/>
    </row>
    <row r="335" spans="1:38" x14ac:dyDescent="0.25">
      <c r="A335" s="29" t="s">
        <v>1260</v>
      </c>
      <c r="C335" s="29" t="s">
        <v>746</v>
      </c>
      <c r="D335" s="13"/>
      <c r="E335" s="13"/>
      <c r="F335" s="34">
        <f>F333-F218-F219-F220-F221</f>
        <v>830913745.32675219</v>
      </c>
      <c r="G335" s="34">
        <f t="shared" ref="G335:M335" si="349">G333-G218</f>
        <v>0</v>
      </c>
      <c r="H335" s="34">
        <f t="shared" si="349"/>
        <v>103650506.55524004</v>
      </c>
      <c r="I335" s="34">
        <f t="shared" si="349"/>
        <v>0</v>
      </c>
      <c r="J335" s="34">
        <f t="shared" si="349"/>
        <v>0</v>
      </c>
      <c r="K335" s="34">
        <f t="shared" si="349"/>
        <v>531445566.8188448</v>
      </c>
      <c r="L335" s="34">
        <f t="shared" si="349"/>
        <v>0</v>
      </c>
      <c r="M335" s="34">
        <f t="shared" si="349"/>
        <v>0</v>
      </c>
      <c r="N335" s="34"/>
      <c r="O335" s="34">
        <f>O333-O218</f>
        <v>54099319.645765319</v>
      </c>
      <c r="P335" s="34">
        <f>P333-P218</f>
        <v>0</v>
      </c>
      <c r="Q335" s="34">
        <f>Q333-Q218</f>
        <v>0</v>
      </c>
      <c r="R335" s="34"/>
      <c r="S335" s="34">
        <f t="shared" ref="S335:AD335" si="350">S333-S218</f>
        <v>0</v>
      </c>
      <c r="T335" s="34">
        <f t="shared" si="350"/>
        <v>8381464.9402496461</v>
      </c>
      <c r="U335" s="34">
        <f t="shared" si="350"/>
        <v>0</v>
      </c>
      <c r="V335" s="34">
        <f t="shared" si="350"/>
        <v>12802418.326254947</v>
      </c>
      <c r="W335" s="34">
        <f t="shared" si="350"/>
        <v>21824284.834222149</v>
      </c>
      <c r="X335" s="34">
        <f t="shared" si="350"/>
        <v>7055662.773199264</v>
      </c>
      <c r="Y335" s="34">
        <f t="shared" si="350"/>
        <v>11949812.075310342</v>
      </c>
      <c r="Z335" s="34">
        <f t="shared" si="350"/>
        <v>2797636.0572042032</v>
      </c>
      <c r="AA335" s="34">
        <f t="shared" si="350"/>
        <v>2426255.302211578</v>
      </c>
      <c r="AB335" s="34">
        <f t="shared" si="350"/>
        <v>1759026.8294097376</v>
      </c>
      <c r="AC335" s="34">
        <f t="shared" si="350"/>
        <v>10652700.500883294</v>
      </c>
      <c r="AD335" s="34">
        <f t="shared" si="350"/>
        <v>2059591.9948740546</v>
      </c>
      <c r="AE335" s="34"/>
      <c r="AF335" s="34">
        <f>AF333-AF218</f>
        <v>53856751.652274072</v>
      </c>
      <c r="AG335" s="34"/>
      <c r="AH335" s="34">
        <f>AH333-AH218</f>
        <v>6152747.020808869</v>
      </c>
      <c r="AI335" s="34"/>
      <c r="AJ335" s="34">
        <f>AJ333-AJ218</f>
        <v>0</v>
      </c>
      <c r="AK335" s="33">
        <f>SUM(H335:AJ335)</f>
        <v>830913745.32675231</v>
      </c>
      <c r="AL335" s="30" t="str">
        <f>IF(ABS(AK335-F335)&lt;1,"ok","err")</f>
        <v>ok</v>
      </c>
    </row>
    <row r="336" spans="1:38" x14ac:dyDescent="0.25">
      <c r="D336" s="13"/>
      <c r="E336" s="13"/>
      <c r="Y336" s="29"/>
      <c r="AL336" s="30"/>
    </row>
    <row r="337" spans="1:38" x14ac:dyDescent="0.25">
      <c r="A337" s="3" t="s">
        <v>786</v>
      </c>
      <c r="D337" s="113"/>
      <c r="E337" s="13"/>
      <c r="Y337" s="29"/>
      <c r="AL337" s="30"/>
    </row>
    <row r="338" spans="1:38" x14ac:dyDescent="0.25">
      <c r="A338" s="3"/>
      <c r="D338" s="113"/>
      <c r="E338" s="13"/>
      <c r="Y338" s="29"/>
      <c r="AL338" s="30"/>
    </row>
    <row r="339" spans="1:38" x14ac:dyDescent="0.25">
      <c r="A339" s="4" t="s">
        <v>1461</v>
      </c>
      <c r="D339" s="113"/>
      <c r="E339" s="13"/>
      <c r="Y339" s="29"/>
      <c r="AL339" s="30"/>
    </row>
    <row r="340" spans="1:38" x14ac:dyDescent="0.25">
      <c r="A340" s="29">
        <v>500</v>
      </c>
      <c r="B340" s="29" t="s">
        <v>1453</v>
      </c>
      <c r="C340" s="29" t="s">
        <v>1523</v>
      </c>
      <c r="D340" s="113" t="s">
        <v>693</v>
      </c>
      <c r="E340" s="13"/>
      <c r="F340" s="32">
        <f>'Jurisdictional Study'!F1325</f>
        <v>7293291.5444200505</v>
      </c>
      <c r="H340" s="33">
        <f t="shared" ref="H340:H345" si="351">IF(VLOOKUP($D340,$C$5:$AJ$596,6,)=0,0,((VLOOKUP($D340,$C$5:$AJ$596,6,)/VLOOKUP($D340,$C$5:$AJ$596,4,))*$F340))</f>
        <v>6465933.6205956079</v>
      </c>
      <c r="I340" s="33">
        <f t="shared" ref="I340:I345" si="352">IF(VLOOKUP($D340,$C$5:$AJ$596,7,)=0,0,((VLOOKUP($D340,$C$5:$AJ$596,7,)/VLOOKUP($D340,$C$5:$AJ$596,4,))*$F340))</f>
        <v>0</v>
      </c>
      <c r="J340" s="33">
        <f t="shared" ref="J340:J345" si="353">IF(VLOOKUP($D340,$C$5:$AJ$596,8,)=0,0,((VLOOKUP($D340,$C$5:$AJ$596,8,)/VLOOKUP($D340,$C$5:$AJ$596,4,))*$F340))</f>
        <v>0</v>
      </c>
      <c r="K340" s="33">
        <f t="shared" ref="K340:K345" si="354">IF(VLOOKUP($D340,$C$5:$AJ$596,9,)=0,0,((VLOOKUP($D340,$C$5:$AJ$596,9,)/VLOOKUP($D340,$C$5:$AJ$596,4,))*$F340))</f>
        <v>827357.92382444313</v>
      </c>
      <c r="L340" s="33">
        <f t="shared" ref="L340:L345" si="355">IF(VLOOKUP($D340,$C$5:$AJ$596,10,)=0,0,((VLOOKUP($D340,$C$5:$AJ$596,10,)/VLOOKUP($D340,$C$5:$AJ$596,4,))*$F340))</f>
        <v>0</v>
      </c>
      <c r="M340" s="33">
        <f t="shared" ref="M340:M345" si="356">IF(VLOOKUP($D340,$C$5:$AJ$596,11,)=0,0,((VLOOKUP($D340,$C$5:$AJ$596,11,)/VLOOKUP($D340,$C$5:$AJ$596,4,))*$F340))</f>
        <v>0</v>
      </c>
      <c r="N340" s="33"/>
      <c r="O340" s="33">
        <f t="shared" ref="O340:O345" si="357">IF(VLOOKUP($D340,$C$5:$AJ$596,13,)=0,0,((VLOOKUP($D340,$C$5:$AJ$596,13,)/VLOOKUP($D340,$C$5:$AJ$596,4,))*$F340))</f>
        <v>0</v>
      </c>
      <c r="P340" s="33">
        <f t="shared" ref="P340:P345" si="358">IF(VLOOKUP($D340,$C$5:$AJ$596,14,)=0,0,((VLOOKUP($D340,$C$5:$AJ$596,14,)/VLOOKUP($D340,$C$5:$AJ$596,4,))*$F340))</f>
        <v>0</v>
      </c>
      <c r="Q340" s="33">
        <f t="shared" ref="Q340:Q345" si="359">IF(VLOOKUP($D340,$C$5:$AJ$596,15,)=0,0,((VLOOKUP($D340,$C$5:$AJ$596,15,)/VLOOKUP($D340,$C$5:$AJ$596,4,))*$F340))</f>
        <v>0</v>
      </c>
      <c r="R340" s="33"/>
      <c r="S340" s="33">
        <f t="shared" ref="S340:S345" si="360">IF(VLOOKUP($D340,$C$5:$AJ$596,17,)=0,0,((VLOOKUP($D340,$C$5:$AJ$596,17,)/VLOOKUP($D340,$C$5:$AJ$596,4,))*$F340))</f>
        <v>0</v>
      </c>
      <c r="T340" s="33">
        <f t="shared" ref="T340:T345" si="361">IF(VLOOKUP($D340,$C$5:$AJ$596,18,)=0,0,((VLOOKUP($D340,$C$5:$AJ$596,18,)/VLOOKUP($D340,$C$5:$AJ$596,4,))*$F340))</f>
        <v>0</v>
      </c>
      <c r="U340" s="33">
        <f t="shared" ref="U340:U345" si="362">IF(VLOOKUP($D340,$C$5:$AJ$596,19,)=0,0,((VLOOKUP($D340,$C$5:$AJ$596,19,)/VLOOKUP($D340,$C$5:$AJ$596,4,))*$F340))</f>
        <v>0</v>
      </c>
      <c r="V340" s="33">
        <f t="shared" ref="V340:V345" si="363">IF(VLOOKUP($D340,$C$5:$AJ$596,20,)=0,0,((VLOOKUP($D340,$C$5:$AJ$596,20,)/VLOOKUP($D340,$C$5:$AJ$596,4,))*$F340))</f>
        <v>0</v>
      </c>
      <c r="W340" s="33">
        <f t="shared" ref="W340:W345" si="364">IF(VLOOKUP($D340,$C$5:$AJ$596,21,)=0,0,((VLOOKUP($D340,$C$5:$AJ$596,21,)/VLOOKUP($D340,$C$5:$AJ$596,4,))*$F340))</f>
        <v>0</v>
      </c>
      <c r="X340" s="33">
        <f t="shared" ref="X340:X345" si="365">IF(VLOOKUP($D340,$C$5:$AJ$596,22,)=0,0,((VLOOKUP($D340,$C$5:$AJ$596,22,)/VLOOKUP($D340,$C$5:$AJ$596,4,))*$F340))</f>
        <v>0</v>
      </c>
      <c r="Y340" s="33">
        <f t="shared" ref="Y340:Y345" si="366">IF(VLOOKUP($D340,$C$5:$AJ$596,23,)=0,0,((VLOOKUP($D340,$C$5:$AJ$596,23,)/VLOOKUP($D340,$C$5:$AJ$596,4,))*$F340))</f>
        <v>0</v>
      </c>
      <c r="Z340" s="33">
        <f t="shared" ref="Z340:Z345" si="367">IF(VLOOKUP($D340,$C$5:$AJ$596,24,)=0,0,((VLOOKUP($D340,$C$5:$AJ$596,24,)/VLOOKUP($D340,$C$5:$AJ$596,4,))*$F340))</f>
        <v>0</v>
      </c>
      <c r="AA340" s="33">
        <f t="shared" ref="AA340:AA345" si="368">IF(VLOOKUP($D340,$C$5:$AJ$596,25,)=0,0,((VLOOKUP($D340,$C$5:$AJ$596,25,)/VLOOKUP($D340,$C$5:$AJ$596,4,))*$F340))</f>
        <v>0</v>
      </c>
      <c r="AB340" s="33">
        <f t="shared" ref="AB340:AB345" si="369">IF(VLOOKUP($D340,$C$5:$AJ$596,26,)=0,0,((VLOOKUP($D340,$C$5:$AJ$596,26,)/VLOOKUP($D340,$C$5:$AJ$596,4,))*$F340))</f>
        <v>0</v>
      </c>
      <c r="AC340" s="33">
        <f t="shared" ref="AC340:AC345" si="370">IF(VLOOKUP($D340,$C$5:$AJ$596,27,)=0,0,((VLOOKUP($D340,$C$5:$AJ$596,27,)/VLOOKUP($D340,$C$5:$AJ$596,4,))*$F340))</f>
        <v>0</v>
      </c>
      <c r="AD340" s="33">
        <f t="shared" ref="AD340:AD345" si="371">IF(VLOOKUP($D340,$C$5:$AJ$596,28,)=0,0,((VLOOKUP($D340,$C$5:$AJ$596,28,)/VLOOKUP($D340,$C$5:$AJ$596,4,))*$F340))</f>
        <v>0</v>
      </c>
      <c r="AE340" s="33"/>
      <c r="AF340" s="33">
        <f t="shared" ref="AF340:AF345" si="372">IF(VLOOKUP($D340,$C$5:$AJ$596,30,)=0,0,((VLOOKUP($D340,$C$5:$AJ$596,30,)/VLOOKUP($D340,$C$5:$AJ$596,4,))*$F340))</f>
        <v>0</v>
      </c>
      <c r="AG340" s="33"/>
      <c r="AH340" s="33">
        <f t="shared" ref="AH340:AH345" si="373">IF(VLOOKUP($D340,$C$5:$AJ$596,32,)=0,0,((VLOOKUP($D340,$C$5:$AJ$596,32,)/VLOOKUP($D340,$C$5:$AJ$596,4,))*$F340))</f>
        <v>0</v>
      </c>
      <c r="AI340" s="33"/>
      <c r="AJ340" s="33">
        <f t="shared" ref="AJ340:AJ345" si="374">IF(VLOOKUP($D340,$C$5:$AJ$596,34,)=0,0,((VLOOKUP($D340,$C$5:$AJ$596,34,)/VLOOKUP($D340,$C$5:$AJ$596,4,))*$F340))</f>
        <v>0</v>
      </c>
      <c r="AK340" s="33">
        <f t="shared" ref="AK340:AK358" si="375">SUM(H340:AJ340)</f>
        <v>7293291.5444200514</v>
      </c>
      <c r="AL340" s="30" t="str">
        <f t="shared" ref="AL340:AL358" si="376">IF(ABS(AK340-F340)&lt;1,"ok","err")</f>
        <v>ok</v>
      </c>
    </row>
    <row r="341" spans="1:38" x14ac:dyDescent="0.25">
      <c r="A341" s="43">
        <v>501</v>
      </c>
      <c r="B341" s="29" t="s">
        <v>1455</v>
      </c>
      <c r="C341" s="29" t="s">
        <v>1524</v>
      </c>
      <c r="D341" s="113" t="s">
        <v>104</v>
      </c>
      <c r="E341" s="13"/>
      <c r="F341" s="33">
        <f>'Jurisdictional Study'!F1316</f>
        <v>2240732.8927895362</v>
      </c>
      <c r="H341" s="33">
        <f t="shared" si="351"/>
        <v>0</v>
      </c>
      <c r="I341" s="33">
        <f t="shared" si="352"/>
        <v>0</v>
      </c>
      <c r="J341" s="33">
        <f t="shared" si="353"/>
        <v>0</v>
      </c>
      <c r="K341" s="33">
        <f t="shared" si="354"/>
        <v>2240732.8927895362</v>
      </c>
      <c r="L341" s="33">
        <f t="shared" si="355"/>
        <v>0</v>
      </c>
      <c r="M341" s="33">
        <f t="shared" si="356"/>
        <v>0</v>
      </c>
      <c r="N341" s="33"/>
      <c r="O341" s="33">
        <f t="shared" si="357"/>
        <v>0</v>
      </c>
      <c r="P341" s="33">
        <f t="shared" si="358"/>
        <v>0</v>
      </c>
      <c r="Q341" s="33">
        <f t="shared" si="359"/>
        <v>0</v>
      </c>
      <c r="R341" s="33"/>
      <c r="S341" s="33">
        <f t="shared" si="360"/>
        <v>0</v>
      </c>
      <c r="T341" s="33">
        <f t="shared" si="361"/>
        <v>0</v>
      </c>
      <c r="U341" s="33">
        <f t="shared" si="362"/>
        <v>0</v>
      </c>
      <c r="V341" s="33">
        <f t="shared" si="363"/>
        <v>0</v>
      </c>
      <c r="W341" s="33">
        <f t="shared" si="364"/>
        <v>0</v>
      </c>
      <c r="X341" s="33">
        <f t="shared" si="365"/>
        <v>0</v>
      </c>
      <c r="Y341" s="33">
        <f t="shared" si="366"/>
        <v>0</v>
      </c>
      <c r="Z341" s="33">
        <f t="shared" si="367"/>
        <v>0</v>
      </c>
      <c r="AA341" s="33">
        <f t="shared" si="368"/>
        <v>0</v>
      </c>
      <c r="AB341" s="33">
        <f t="shared" si="369"/>
        <v>0</v>
      </c>
      <c r="AC341" s="33">
        <f t="shared" si="370"/>
        <v>0</v>
      </c>
      <c r="AD341" s="33">
        <f t="shared" si="371"/>
        <v>0</v>
      </c>
      <c r="AE341" s="33"/>
      <c r="AF341" s="33">
        <f t="shared" si="372"/>
        <v>0</v>
      </c>
      <c r="AG341" s="33"/>
      <c r="AH341" s="33">
        <f t="shared" si="373"/>
        <v>0</v>
      </c>
      <c r="AI341" s="33"/>
      <c r="AJ341" s="33">
        <f t="shared" si="374"/>
        <v>0</v>
      </c>
      <c r="AK341" s="33">
        <f t="shared" si="375"/>
        <v>2240732.8927895362</v>
      </c>
      <c r="AL341" s="30" t="str">
        <f t="shared" si="376"/>
        <v>ok</v>
      </c>
    </row>
    <row r="342" spans="1:38" x14ac:dyDescent="0.25">
      <c r="A342" s="29">
        <v>502</v>
      </c>
      <c r="B342" s="29" t="s">
        <v>1457</v>
      </c>
      <c r="C342" s="29" t="s">
        <v>1525</v>
      </c>
      <c r="D342" s="13" t="s">
        <v>685</v>
      </c>
      <c r="E342" s="13"/>
      <c r="F342" s="33">
        <f>'Jurisdictional Study'!F1326</f>
        <v>8641791.8611679953</v>
      </c>
      <c r="H342" s="33">
        <f t="shared" si="351"/>
        <v>8641791.8611679953</v>
      </c>
      <c r="I342" s="33">
        <f t="shared" si="352"/>
        <v>0</v>
      </c>
      <c r="J342" s="33">
        <f t="shared" si="353"/>
        <v>0</v>
      </c>
      <c r="K342" s="33">
        <f t="shared" si="354"/>
        <v>0</v>
      </c>
      <c r="L342" s="33">
        <f t="shared" si="355"/>
        <v>0</v>
      </c>
      <c r="M342" s="33">
        <f t="shared" si="356"/>
        <v>0</v>
      </c>
      <c r="N342" s="33"/>
      <c r="O342" s="33">
        <f t="shared" si="357"/>
        <v>0</v>
      </c>
      <c r="P342" s="33">
        <f t="shared" si="358"/>
        <v>0</v>
      </c>
      <c r="Q342" s="33">
        <f t="shared" si="359"/>
        <v>0</v>
      </c>
      <c r="R342" s="33"/>
      <c r="S342" s="33">
        <f t="shared" si="360"/>
        <v>0</v>
      </c>
      <c r="T342" s="33">
        <f t="shared" si="361"/>
        <v>0</v>
      </c>
      <c r="U342" s="33">
        <f t="shared" si="362"/>
        <v>0</v>
      </c>
      <c r="V342" s="33">
        <f t="shared" si="363"/>
        <v>0</v>
      </c>
      <c r="W342" s="33">
        <f t="shared" si="364"/>
        <v>0</v>
      </c>
      <c r="X342" s="33">
        <f t="shared" si="365"/>
        <v>0</v>
      </c>
      <c r="Y342" s="33">
        <f t="shared" si="366"/>
        <v>0</v>
      </c>
      <c r="Z342" s="33">
        <f t="shared" si="367"/>
        <v>0</v>
      </c>
      <c r="AA342" s="33">
        <f t="shared" si="368"/>
        <v>0</v>
      </c>
      <c r="AB342" s="33">
        <f t="shared" si="369"/>
        <v>0</v>
      </c>
      <c r="AC342" s="33">
        <f t="shared" si="370"/>
        <v>0</v>
      </c>
      <c r="AD342" s="33">
        <f t="shared" si="371"/>
        <v>0</v>
      </c>
      <c r="AE342" s="33"/>
      <c r="AF342" s="33">
        <f t="shared" si="372"/>
        <v>0</v>
      </c>
      <c r="AG342" s="33"/>
      <c r="AH342" s="33">
        <f t="shared" si="373"/>
        <v>0</v>
      </c>
      <c r="AI342" s="33"/>
      <c r="AJ342" s="33">
        <f t="shared" si="374"/>
        <v>0</v>
      </c>
      <c r="AK342" s="33">
        <f t="shared" si="375"/>
        <v>8641791.8611679953</v>
      </c>
      <c r="AL342" s="30" t="str">
        <f t="shared" si="376"/>
        <v>ok</v>
      </c>
    </row>
    <row r="343" spans="1:38" x14ac:dyDescent="0.25">
      <c r="A343" s="29">
        <v>505</v>
      </c>
      <c r="B343" s="29" t="s">
        <v>1459</v>
      </c>
      <c r="C343" s="29" t="s">
        <v>1526</v>
      </c>
      <c r="D343" s="13" t="s">
        <v>685</v>
      </c>
      <c r="E343" s="13"/>
      <c r="F343" s="33">
        <f>'Jurisdictional Study'!F1327</f>
        <v>6269064.475614504</v>
      </c>
      <c r="H343" s="33">
        <f t="shared" si="351"/>
        <v>6269064.475614504</v>
      </c>
      <c r="I343" s="33">
        <f t="shared" si="352"/>
        <v>0</v>
      </c>
      <c r="J343" s="33">
        <f t="shared" si="353"/>
        <v>0</v>
      </c>
      <c r="K343" s="33">
        <f t="shared" si="354"/>
        <v>0</v>
      </c>
      <c r="L343" s="33">
        <f t="shared" si="355"/>
        <v>0</v>
      </c>
      <c r="M343" s="33">
        <f t="shared" si="356"/>
        <v>0</v>
      </c>
      <c r="N343" s="33"/>
      <c r="O343" s="33">
        <f t="shared" si="357"/>
        <v>0</v>
      </c>
      <c r="P343" s="33">
        <f t="shared" si="358"/>
        <v>0</v>
      </c>
      <c r="Q343" s="33">
        <f t="shared" si="359"/>
        <v>0</v>
      </c>
      <c r="R343" s="33"/>
      <c r="S343" s="33">
        <f t="shared" si="360"/>
        <v>0</v>
      </c>
      <c r="T343" s="33">
        <f t="shared" si="361"/>
        <v>0</v>
      </c>
      <c r="U343" s="33">
        <f t="shared" si="362"/>
        <v>0</v>
      </c>
      <c r="V343" s="33">
        <f t="shared" si="363"/>
        <v>0</v>
      </c>
      <c r="W343" s="33">
        <f t="shared" si="364"/>
        <v>0</v>
      </c>
      <c r="X343" s="33">
        <f t="shared" si="365"/>
        <v>0</v>
      </c>
      <c r="Y343" s="33">
        <f t="shared" si="366"/>
        <v>0</v>
      </c>
      <c r="Z343" s="33">
        <f t="shared" si="367"/>
        <v>0</v>
      </c>
      <c r="AA343" s="33">
        <f t="shared" si="368"/>
        <v>0</v>
      </c>
      <c r="AB343" s="33">
        <f t="shared" si="369"/>
        <v>0</v>
      </c>
      <c r="AC343" s="33">
        <f t="shared" si="370"/>
        <v>0</v>
      </c>
      <c r="AD343" s="33">
        <f t="shared" si="371"/>
        <v>0</v>
      </c>
      <c r="AE343" s="33"/>
      <c r="AF343" s="33">
        <f t="shared" si="372"/>
        <v>0</v>
      </c>
      <c r="AG343" s="33"/>
      <c r="AH343" s="33">
        <f t="shared" si="373"/>
        <v>0</v>
      </c>
      <c r="AI343" s="33"/>
      <c r="AJ343" s="33">
        <f t="shared" si="374"/>
        <v>0</v>
      </c>
      <c r="AK343" s="33">
        <f t="shared" si="375"/>
        <v>6269064.475614504</v>
      </c>
      <c r="AL343" s="30" t="str">
        <f t="shared" si="376"/>
        <v>ok</v>
      </c>
    </row>
    <row r="344" spans="1:38" x14ac:dyDescent="0.25">
      <c r="A344" s="29">
        <v>506</v>
      </c>
      <c r="B344" s="29" t="s">
        <v>1462</v>
      </c>
      <c r="C344" s="29" t="s">
        <v>1527</v>
      </c>
      <c r="D344" s="13" t="s">
        <v>685</v>
      </c>
      <c r="E344" s="13"/>
      <c r="F344" s="33">
        <f>'Jurisdictional Study'!F1328</f>
        <v>2600827.2152283126</v>
      </c>
      <c r="H344" s="33">
        <f t="shared" si="351"/>
        <v>2600827.2152283126</v>
      </c>
      <c r="I344" s="33">
        <f t="shared" si="352"/>
        <v>0</v>
      </c>
      <c r="J344" s="33">
        <f t="shared" si="353"/>
        <v>0</v>
      </c>
      <c r="K344" s="33">
        <f t="shared" si="354"/>
        <v>0</v>
      </c>
      <c r="L344" s="33">
        <f t="shared" si="355"/>
        <v>0</v>
      </c>
      <c r="M344" s="33">
        <f t="shared" si="356"/>
        <v>0</v>
      </c>
      <c r="N344" s="33"/>
      <c r="O344" s="33">
        <f t="shared" si="357"/>
        <v>0</v>
      </c>
      <c r="P344" s="33">
        <f t="shared" si="358"/>
        <v>0</v>
      </c>
      <c r="Q344" s="33">
        <f t="shared" si="359"/>
        <v>0</v>
      </c>
      <c r="R344" s="33"/>
      <c r="S344" s="33">
        <f t="shared" si="360"/>
        <v>0</v>
      </c>
      <c r="T344" s="33">
        <f t="shared" si="361"/>
        <v>0</v>
      </c>
      <c r="U344" s="33">
        <f t="shared" si="362"/>
        <v>0</v>
      </c>
      <c r="V344" s="33">
        <f t="shared" si="363"/>
        <v>0</v>
      </c>
      <c r="W344" s="33">
        <f t="shared" si="364"/>
        <v>0</v>
      </c>
      <c r="X344" s="33">
        <f t="shared" si="365"/>
        <v>0</v>
      </c>
      <c r="Y344" s="33">
        <f t="shared" si="366"/>
        <v>0</v>
      </c>
      <c r="Z344" s="33">
        <f t="shared" si="367"/>
        <v>0</v>
      </c>
      <c r="AA344" s="33">
        <f t="shared" si="368"/>
        <v>0</v>
      </c>
      <c r="AB344" s="33">
        <f t="shared" si="369"/>
        <v>0</v>
      </c>
      <c r="AC344" s="33">
        <f t="shared" si="370"/>
        <v>0</v>
      </c>
      <c r="AD344" s="33">
        <f t="shared" si="371"/>
        <v>0</v>
      </c>
      <c r="AE344" s="33"/>
      <c r="AF344" s="33">
        <f t="shared" si="372"/>
        <v>0</v>
      </c>
      <c r="AG344" s="33"/>
      <c r="AH344" s="33">
        <f t="shared" si="373"/>
        <v>0</v>
      </c>
      <c r="AI344" s="33"/>
      <c r="AJ344" s="33">
        <f t="shared" si="374"/>
        <v>0</v>
      </c>
      <c r="AK344" s="33">
        <f t="shared" si="375"/>
        <v>2600827.2152283126</v>
      </c>
      <c r="AL344" s="30" t="str">
        <f t="shared" si="376"/>
        <v>ok</v>
      </c>
    </row>
    <row r="345" spans="1:38" x14ac:dyDescent="0.25">
      <c r="A345" s="29">
        <v>507</v>
      </c>
      <c r="B345" s="29" t="s">
        <v>341</v>
      </c>
      <c r="C345" s="29" t="s">
        <v>132</v>
      </c>
      <c r="D345" s="13" t="s">
        <v>685</v>
      </c>
      <c r="E345" s="13"/>
      <c r="F345" s="33">
        <f>'Jurisdictional Study'!F1329</f>
        <v>0</v>
      </c>
      <c r="H345" s="33">
        <f t="shared" si="351"/>
        <v>0</v>
      </c>
      <c r="I345" s="33">
        <f t="shared" si="352"/>
        <v>0</v>
      </c>
      <c r="J345" s="33">
        <f t="shared" si="353"/>
        <v>0</v>
      </c>
      <c r="K345" s="33">
        <f t="shared" si="354"/>
        <v>0</v>
      </c>
      <c r="L345" s="33">
        <f t="shared" si="355"/>
        <v>0</v>
      </c>
      <c r="M345" s="33">
        <f t="shared" si="356"/>
        <v>0</v>
      </c>
      <c r="N345" s="33"/>
      <c r="O345" s="33">
        <f t="shared" si="357"/>
        <v>0</v>
      </c>
      <c r="P345" s="33">
        <f t="shared" si="358"/>
        <v>0</v>
      </c>
      <c r="Q345" s="33">
        <f t="shared" si="359"/>
        <v>0</v>
      </c>
      <c r="R345" s="33"/>
      <c r="S345" s="33">
        <f t="shared" si="360"/>
        <v>0</v>
      </c>
      <c r="T345" s="33">
        <f t="shared" si="361"/>
        <v>0</v>
      </c>
      <c r="U345" s="33">
        <f t="shared" si="362"/>
        <v>0</v>
      </c>
      <c r="V345" s="33">
        <f t="shared" si="363"/>
        <v>0</v>
      </c>
      <c r="W345" s="33">
        <f t="shared" si="364"/>
        <v>0</v>
      </c>
      <c r="X345" s="33">
        <f t="shared" si="365"/>
        <v>0</v>
      </c>
      <c r="Y345" s="33">
        <f t="shared" si="366"/>
        <v>0</v>
      </c>
      <c r="Z345" s="33">
        <f t="shared" si="367"/>
        <v>0</v>
      </c>
      <c r="AA345" s="33">
        <f t="shared" si="368"/>
        <v>0</v>
      </c>
      <c r="AB345" s="33">
        <f t="shared" si="369"/>
        <v>0</v>
      </c>
      <c r="AC345" s="33">
        <f t="shared" si="370"/>
        <v>0</v>
      </c>
      <c r="AD345" s="33">
        <f t="shared" si="371"/>
        <v>0</v>
      </c>
      <c r="AE345" s="33"/>
      <c r="AF345" s="33">
        <f t="shared" si="372"/>
        <v>0</v>
      </c>
      <c r="AG345" s="33"/>
      <c r="AH345" s="33">
        <f t="shared" si="373"/>
        <v>0</v>
      </c>
      <c r="AI345" s="33"/>
      <c r="AJ345" s="33">
        <f t="shared" si="374"/>
        <v>0</v>
      </c>
      <c r="AK345" s="33">
        <f t="shared" si="375"/>
        <v>0</v>
      </c>
      <c r="AL345" s="30" t="str">
        <f t="shared" si="376"/>
        <v>ok</v>
      </c>
    </row>
    <row r="346" spans="1:38" x14ac:dyDescent="0.25">
      <c r="D346" s="13"/>
      <c r="E346" s="13"/>
      <c r="F346" s="32"/>
      <c r="Y346" s="29"/>
      <c r="AK346" s="33"/>
      <c r="AL346" s="30"/>
    </row>
    <row r="347" spans="1:38" x14ac:dyDescent="0.25">
      <c r="B347" s="29" t="s">
        <v>1464</v>
      </c>
      <c r="C347" s="29" t="s">
        <v>683</v>
      </c>
      <c r="D347" s="13"/>
      <c r="E347" s="13"/>
      <c r="F347" s="32">
        <f>SUM(F340:F346)</f>
        <v>27045707.989220396</v>
      </c>
      <c r="H347" s="32">
        <f t="shared" ref="H347:M347" si="377">SUM(H340:H346)</f>
        <v>23977617.17260642</v>
      </c>
      <c r="I347" s="32">
        <f t="shared" si="377"/>
        <v>0</v>
      </c>
      <c r="J347" s="32">
        <f t="shared" si="377"/>
        <v>0</v>
      </c>
      <c r="K347" s="32">
        <f t="shared" si="377"/>
        <v>3068090.8166139792</v>
      </c>
      <c r="L347" s="32">
        <f t="shared" si="377"/>
        <v>0</v>
      </c>
      <c r="M347" s="32">
        <f t="shared" si="377"/>
        <v>0</v>
      </c>
      <c r="O347" s="32">
        <f>SUM(O340:O346)</f>
        <v>0</v>
      </c>
      <c r="P347" s="32">
        <f>SUM(P340:P346)</f>
        <v>0</v>
      </c>
      <c r="Q347" s="32">
        <f>SUM(Q340:Q346)</f>
        <v>0</v>
      </c>
      <c r="S347" s="32">
        <f t="shared" ref="S347:AD347" si="378">SUM(S340:S346)</f>
        <v>0</v>
      </c>
      <c r="T347" s="32">
        <f t="shared" si="378"/>
        <v>0</v>
      </c>
      <c r="U347" s="32">
        <f t="shared" si="378"/>
        <v>0</v>
      </c>
      <c r="V347" s="32">
        <f t="shared" si="378"/>
        <v>0</v>
      </c>
      <c r="W347" s="32">
        <f t="shared" si="378"/>
        <v>0</v>
      </c>
      <c r="X347" s="32">
        <f t="shared" si="378"/>
        <v>0</v>
      </c>
      <c r="Y347" s="32">
        <f t="shared" si="378"/>
        <v>0</v>
      </c>
      <c r="Z347" s="32">
        <f t="shared" si="378"/>
        <v>0</v>
      </c>
      <c r="AA347" s="32">
        <f t="shared" si="378"/>
        <v>0</v>
      </c>
      <c r="AB347" s="32">
        <f t="shared" si="378"/>
        <v>0</v>
      </c>
      <c r="AC347" s="32">
        <f t="shared" si="378"/>
        <v>0</v>
      </c>
      <c r="AD347" s="32">
        <f t="shared" si="378"/>
        <v>0</v>
      </c>
      <c r="AF347" s="32">
        <f>SUM(AF340:AF346)</f>
        <v>0</v>
      </c>
      <c r="AH347" s="32">
        <f>SUM(AH340:AH346)</f>
        <v>0</v>
      </c>
      <c r="AJ347" s="32">
        <f>SUM(AJ340:AJ346)</f>
        <v>0</v>
      </c>
      <c r="AK347" s="33">
        <f t="shared" si="375"/>
        <v>27045707.989220399</v>
      </c>
      <c r="AL347" s="30" t="str">
        <f t="shared" si="376"/>
        <v>ok</v>
      </c>
    </row>
    <row r="348" spans="1:38" x14ac:dyDescent="0.25">
      <c r="D348" s="13"/>
      <c r="E348" s="13"/>
      <c r="F348" s="32"/>
      <c r="Y348" s="29"/>
      <c r="AK348" s="33"/>
      <c r="AL348" s="30"/>
    </row>
    <row r="349" spans="1:38" x14ac:dyDescent="0.25">
      <c r="A349" s="4" t="s">
        <v>1465</v>
      </c>
      <c r="D349" s="13"/>
      <c r="E349" s="13"/>
      <c r="F349" s="32"/>
      <c r="Y349" s="29"/>
      <c r="AK349" s="33"/>
      <c r="AL349" s="30"/>
    </row>
    <row r="350" spans="1:38" x14ac:dyDescent="0.25">
      <c r="A350" s="29">
        <v>510</v>
      </c>
      <c r="B350" s="29" t="s">
        <v>541</v>
      </c>
      <c r="C350" s="29" t="s">
        <v>1528</v>
      </c>
      <c r="D350" s="113" t="s">
        <v>694</v>
      </c>
      <c r="E350" s="13"/>
      <c r="F350" s="32">
        <f>'Jurisdictional Study'!F1317</f>
        <v>8198179.0732294936</v>
      </c>
      <c r="H350" s="33">
        <f>IF(VLOOKUP($D350,$C$5:$AJ$596,6,)=0,0,((VLOOKUP($D350,$C$5:$AJ$596,6,)/VLOOKUP($D350,$C$5:$AJ$596,4,))*$F350))</f>
        <v>663235.63778252306</v>
      </c>
      <c r="I350" s="33">
        <f>IF(VLOOKUP($D350,$C$5:$AJ$596,7,)=0,0,((VLOOKUP($D350,$C$5:$AJ$596,7,)/VLOOKUP($D350,$C$5:$AJ$596,4,))*$F350))</f>
        <v>0</v>
      </c>
      <c r="J350" s="33">
        <f>IF(VLOOKUP($D350,$C$5:$AJ$596,8,)=0,0,((VLOOKUP($D350,$C$5:$AJ$596,8,)/VLOOKUP($D350,$C$5:$AJ$596,4,))*$F350))</f>
        <v>0</v>
      </c>
      <c r="K350" s="33">
        <f>IF(VLOOKUP($D350,$C$5:$AJ$596,9,)=0,0,((VLOOKUP($D350,$C$5:$AJ$596,9,)/VLOOKUP($D350,$C$5:$AJ$596,4,))*$F350))</f>
        <v>7534943.435446972</v>
      </c>
      <c r="L350" s="33">
        <f>IF(VLOOKUP($D350,$C$5:$AJ$596,10,)=0,0,((VLOOKUP($D350,$C$5:$AJ$596,10,)/VLOOKUP($D350,$C$5:$AJ$596,4,))*$F350))</f>
        <v>0</v>
      </c>
      <c r="M350" s="33">
        <f>IF(VLOOKUP($D350,$C$5:$AJ$596,11,)=0,0,((VLOOKUP($D350,$C$5:$AJ$596,11,)/VLOOKUP($D350,$C$5:$AJ$596,4,))*$F350))</f>
        <v>0</v>
      </c>
      <c r="N350" s="33"/>
      <c r="O350" s="33">
        <f>IF(VLOOKUP($D350,$C$5:$AJ$596,13,)=0,0,((VLOOKUP($D350,$C$5:$AJ$596,13,)/VLOOKUP($D350,$C$5:$AJ$596,4,))*$F350))</f>
        <v>0</v>
      </c>
      <c r="P350" s="33">
        <f>IF(VLOOKUP($D350,$C$5:$AJ$596,14,)=0,0,((VLOOKUP($D350,$C$5:$AJ$596,14,)/VLOOKUP($D350,$C$5:$AJ$596,4,))*$F350))</f>
        <v>0</v>
      </c>
      <c r="Q350" s="33">
        <f>IF(VLOOKUP($D350,$C$5:$AJ$596,15,)=0,0,((VLOOKUP($D350,$C$5:$AJ$596,15,)/VLOOKUP($D350,$C$5:$AJ$596,4,))*$F350))</f>
        <v>0</v>
      </c>
      <c r="R350" s="33"/>
      <c r="S350" s="33">
        <f>IF(VLOOKUP($D350,$C$5:$AJ$596,17,)=0,0,((VLOOKUP($D350,$C$5:$AJ$596,17,)/VLOOKUP($D350,$C$5:$AJ$596,4,))*$F350))</f>
        <v>0</v>
      </c>
      <c r="T350" s="33">
        <f>IF(VLOOKUP($D350,$C$5:$AJ$596,18,)=0,0,((VLOOKUP($D350,$C$5:$AJ$596,18,)/VLOOKUP($D350,$C$5:$AJ$596,4,))*$F350))</f>
        <v>0</v>
      </c>
      <c r="U350" s="33">
        <f>IF(VLOOKUP($D350,$C$5:$AJ$596,19,)=0,0,((VLOOKUP($D350,$C$5:$AJ$596,19,)/VLOOKUP($D350,$C$5:$AJ$596,4,))*$F350))</f>
        <v>0</v>
      </c>
      <c r="V350" s="33">
        <f>IF(VLOOKUP($D350,$C$5:$AJ$596,20,)=0,0,((VLOOKUP($D350,$C$5:$AJ$596,20,)/VLOOKUP($D350,$C$5:$AJ$596,4,))*$F350))</f>
        <v>0</v>
      </c>
      <c r="W350" s="33">
        <f>IF(VLOOKUP($D350,$C$5:$AJ$596,21,)=0,0,((VLOOKUP($D350,$C$5:$AJ$596,21,)/VLOOKUP($D350,$C$5:$AJ$596,4,))*$F350))</f>
        <v>0</v>
      </c>
      <c r="X350" s="33">
        <f>IF(VLOOKUP($D350,$C$5:$AJ$596,22,)=0,0,((VLOOKUP($D350,$C$5:$AJ$596,22,)/VLOOKUP($D350,$C$5:$AJ$596,4,))*$F350))</f>
        <v>0</v>
      </c>
      <c r="Y350" s="33">
        <f>IF(VLOOKUP($D350,$C$5:$AJ$596,23,)=0,0,((VLOOKUP($D350,$C$5:$AJ$596,23,)/VLOOKUP($D350,$C$5:$AJ$596,4,))*$F350))</f>
        <v>0</v>
      </c>
      <c r="Z350" s="33">
        <f>IF(VLOOKUP($D350,$C$5:$AJ$596,24,)=0,0,((VLOOKUP($D350,$C$5:$AJ$596,24,)/VLOOKUP($D350,$C$5:$AJ$596,4,))*$F350))</f>
        <v>0</v>
      </c>
      <c r="AA350" s="33">
        <f>IF(VLOOKUP($D350,$C$5:$AJ$596,25,)=0,0,((VLOOKUP($D350,$C$5:$AJ$596,25,)/VLOOKUP($D350,$C$5:$AJ$596,4,))*$F350))</f>
        <v>0</v>
      </c>
      <c r="AB350" s="33">
        <f>IF(VLOOKUP($D350,$C$5:$AJ$596,26,)=0,0,((VLOOKUP($D350,$C$5:$AJ$596,26,)/VLOOKUP($D350,$C$5:$AJ$596,4,))*$F350))</f>
        <v>0</v>
      </c>
      <c r="AC350" s="33">
        <f>IF(VLOOKUP($D350,$C$5:$AJ$596,27,)=0,0,((VLOOKUP($D350,$C$5:$AJ$596,27,)/VLOOKUP($D350,$C$5:$AJ$596,4,))*$F350))</f>
        <v>0</v>
      </c>
      <c r="AD350" s="33">
        <f>IF(VLOOKUP($D350,$C$5:$AJ$596,28,)=0,0,((VLOOKUP($D350,$C$5:$AJ$596,28,)/VLOOKUP($D350,$C$5:$AJ$596,4,))*$F350))</f>
        <v>0</v>
      </c>
      <c r="AE350" s="33"/>
      <c r="AF350" s="33">
        <f>IF(VLOOKUP($D350,$C$5:$AJ$596,30,)=0,0,((VLOOKUP($D350,$C$5:$AJ$596,30,)/VLOOKUP($D350,$C$5:$AJ$596,4,))*$F350))</f>
        <v>0</v>
      </c>
      <c r="AG350" s="33"/>
      <c r="AH350" s="33">
        <f>IF(VLOOKUP($D350,$C$5:$AJ$596,32,)=0,0,((VLOOKUP($D350,$C$5:$AJ$596,32,)/VLOOKUP($D350,$C$5:$AJ$596,4,))*$F350))</f>
        <v>0</v>
      </c>
      <c r="AI350" s="33"/>
      <c r="AJ350" s="33">
        <f>IF(VLOOKUP($D350,$C$5:$AJ$596,34,)=0,0,((VLOOKUP($D350,$C$5:$AJ$596,34,)/VLOOKUP($D350,$C$5:$AJ$596,4,))*$F350))</f>
        <v>0</v>
      </c>
      <c r="AK350" s="33">
        <f t="shared" si="375"/>
        <v>8198179.0732294954</v>
      </c>
      <c r="AL350" s="30" t="str">
        <f t="shared" si="376"/>
        <v>ok</v>
      </c>
    </row>
    <row r="351" spans="1:38" x14ac:dyDescent="0.25">
      <c r="A351" s="29">
        <v>511</v>
      </c>
      <c r="B351" s="29" t="s">
        <v>540</v>
      </c>
      <c r="C351" s="29" t="s">
        <v>1529</v>
      </c>
      <c r="D351" s="113" t="s">
        <v>685</v>
      </c>
      <c r="E351" s="13"/>
      <c r="F351" s="33">
        <f>'Jurisdictional Study'!F1330</f>
        <v>1193371.6986025632</v>
      </c>
      <c r="H351" s="33">
        <f>IF(VLOOKUP($D351,$C$5:$AJ$596,6,)=0,0,((VLOOKUP($D351,$C$5:$AJ$596,6,)/VLOOKUP($D351,$C$5:$AJ$596,4,))*$F351))</f>
        <v>1193371.6986025632</v>
      </c>
      <c r="I351" s="33">
        <f>IF(VLOOKUP($D351,$C$5:$AJ$596,7,)=0,0,((VLOOKUP($D351,$C$5:$AJ$596,7,)/VLOOKUP($D351,$C$5:$AJ$596,4,))*$F351))</f>
        <v>0</v>
      </c>
      <c r="J351" s="33">
        <f>IF(VLOOKUP($D351,$C$5:$AJ$596,8,)=0,0,((VLOOKUP($D351,$C$5:$AJ$596,8,)/VLOOKUP($D351,$C$5:$AJ$596,4,))*$F351))</f>
        <v>0</v>
      </c>
      <c r="K351" s="33">
        <f>IF(VLOOKUP($D351,$C$5:$AJ$596,9,)=0,0,((VLOOKUP($D351,$C$5:$AJ$596,9,)/VLOOKUP($D351,$C$5:$AJ$596,4,))*$F351))</f>
        <v>0</v>
      </c>
      <c r="L351" s="33">
        <f>IF(VLOOKUP($D351,$C$5:$AJ$596,10,)=0,0,((VLOOKUP($D351,$C$5:$AJ$596,10,)/VLOOKUP($D351,$C$5:$AJ$596,4,))*$F351))</f>
        <v>0</v>
      </c>
      <c r="M351" s="33">
        <f>IF(VLOOKUP($D351,$C$5:$AJ$596,11,)=0,0,((VLOOKUP($D351,$C$5:$AJ$596,11,)/VLOOKUP($D351,$C$5:$AJ$596,4,))*$F351))</f>
        <v>0</v>
      </c>
      <c r="N351" s="33"/>
      <c r="O351" s="33">
        <f>IF(VLOOKUP($D351,$C$5:$AJ$596,13,)=0,0,((VLOOKUP($D351,$C$5:$AJ$596,13,)/VLOOKUP($D351,$C$5:$AJ$596,4,))*$F351))</f>
        <v>0</v>
      </c>
      <c r="P351" s="33">
        <f>IF(VLOOKUP($D351,$C$5:$AJ$596,14,)=0,0,((VLOOKUP($D351,$C$5:$AJ$596,14,)/VLOOKUP($D351,$C$5:$AJ$596,4,))*$F351))</f>
        <v>0</v>
      </c>
      <c r="Q351" s="33">
        <f>IF(VLOOKUP($D351,$C$5:$AJ$596,15,)=0,0,((VLOOKUP($D351,$C$5:$AJ$596,15,)/VLOOKUP($D351,$C$5:$AJ$596,4,))*$F351))</f>
        <v>0</v>
      </c>
      <c r="R351" s="33"/>
      <c r="S351" s="33">
        <f>IF(VLOOKUP($D351,$C$5:$AJ$596,17,)=0,0,((VLOOKUP($D351,$C$5:$AJ$596,17,)/VLOOKUP($D351,$C$5:$AJ$596,4,))*$F351))</f>
        <v>0</v>
      </c>
      <c r="T351" s="33">
        <f>IF(VLOOKUP($D351,$C$5:$AJ$596,18,)=0,0,((VLOOKUP($D351,$C$5:$AJ$596,18,)/VLOOKUP($D351,$C$5:$AJ$596,4,))*$F351))</f>
        <v>0</v>
      </c>
      <c r="U351" s="33">
        <f>IF(VLOOKUP($D351,$C$5:$AJ$596,19,)=0,0,((VLOOKUP($D351,$C$5:$AJ$596,19,)/VLOOKUP($D351,$C$5:$AJ$596,4,))*$F351))</f>
        <v>0</v>
      </c>
      <c r="V351" s="33">
        <f>IF(VLOOKUP($D351,$C$5:$AJ$596,20,)=0,0,((VLOOKUP($D351,$C$5:$AJ$596,20,)/VLOOKUP($D351,$C$5:$AJ$596,4,))*$F351))</f>
        <v>0</v>
      </c>
      <c r="W351" s="33">
        <f>IF(VLOOKUP($D351,$C$5:$AJ$596,21,)=0,0,((VLOOKUP($D351,$C$5:$AJ$596,21,)/VLOOKUP($D351,$C$5:$AJ$596,4,))*$F351))</f>
        <v>0</v>
      </c>
      <c r="X351" s="33">
        <f>IF(VLOOKUP($D351,$C$5:$AJ$596,22,)=0,0,((VLOOKUP($D351,$C$5:$AJ$596,22,)/VLOOKUP($D351,$C$5:$AJ$596,4,))*$F351))</f>
        <v>0</v>
      </c>
      <c r="Y351" s="33">
        <f>IF(VLOOKUP($D351,$C$5:$AJ$596,23,)=0,0,((VLOOKUP($D351,$C$5:$AJ$596,23,)/VLOOKUP($D351,$C$5:$AJ$596,4,))*$F351))</f>
        <v>0</v>
      </c>
      <c r="Z351" s="33">
        <f>IF(VLOOKUP($D351,$C$5:$AJ$596,24,)=0,0,((VLOOKUP($D351,$C$5:$AJ$596,24,)/VLOOKUP($D351,$C$5:$AJ$596,4,))*$F351))</f>
        <v>0</v>
      </c>
      <c r="AA351" s="33">
        <f>IF(VLOOKUP($D351,$C$5:$AJ$596,25,)=0,0,((VLOOKUP($D351,$C$5:$AJ$596,25,)/VLOOKUP($D351,$C$5:$AJ$596,4,))*$F351))</f>
        <v>0</v>
      </c>
      <c r="AB351" s="33">
        <f>IF(VLOOKUP($D351,$C$5:$AJ$596,26,)=0,0,((VLOOKUP($D351,$C$5:$AJ$596,26,)/VLOOKUP($D351,$C$5:$AJ$596,4,))*$F351))</f>
        <v>0</v>
      </c>
      <c r="AC351" s="33">
        <f>IF(VLOOKUP($D351,$C$5:$AJ$596,27,)=0,0,((VLOOKUP($D351,$C$5:$AJ$596,27,)/VLOOKUP($D351,$C$5:$AJ$596,4,))*$F351))</f>
        <v>0</v>
      </c>
      <c r="AD351" s="33">
        <f>IF(VLOOKUP($D351,$C$5:$AJ$596,28,)=0,0,((VLOOKUP($D351,$C$5:$AJ$596,28,)/VLOOKUP($D351,$C$5:$AJ$596,4,))*$F351))</f>
        <v>0</v>
      </c>
      <c r="AE351" s="33"/>
      <c r="AF351" s="33">
        <f>IF(VLOOKUP($D351,$C$5:$AJ$596,30,)=0,0,((VLOOKUP($D351,$C$5:$AJ$596,30,)/VLOOKUP($D351,$C$5:$AJ$596,4,))*$F351))</f>
        <v>0</v>
      </c>
      <c r="AG351" s="33"/>
      <c r="AH351" s="33">
        <f>IF(VLOOKUP($D351,$C$5:$AJ$596,32,)=0,0,((VLOOKUP($D351,$C$5:$AJ$596,32,)/VLOOKUP($D351,$C$5:$AJ$596,4,))*$F351))</f>
        <v>0</v>
      </c>
      <c r="AI351" s="33"/>
      <c r="AJ351" s="33">
        <f>IF(VLOOKUP($D351,$C$5:$AJ$596,34,)=0,0,((VLOOKUP($D351,$C$5:$AJ$596,34,)/VLOOKUP($D351,$C$5:$AJ$596,4,))*$F351))</f>
        <v>0</v>
      </c>
      <c r="AK351" s="33">
        <f t="shared" si="375"/>
        <v>1193371.6986025632</v>
      </c>
      <c r="AL351" s="30" t="str">
        <f t="shared" si="376"/>
        <v>ok</v>
      </c>
    </row>
    <row r="352" spans="1:38" x14ac:dyDescent="0.25">
      <c r="A352" s="29">
        <v>512</v>
      </c>
      <c r="B352" s="29" t="s">
        <v>1468</v>
      </c>
      <c r="C352" s="29" t="s">
        <v>1530</v>
      </c>
      <c r="D352" s="113" t="s">
        <v>104</v>
      </c>
      <c r="E352" s="13"/>
      <c r="F352" s="33">
        <f>'Jurisdictional Study'!F1318</f>
        <v>11189240.675549772</v>
      </c>
      <c r="H352" s="33">
        <f>IF(VLOOKUP($D352,$C$5:$AJ$596,6,)=0,0,((VLOOKUP($D352,$C$5:$AJ$596,6,)/VLOOKUP($D352,$C$5:$AJ$596,4,))*$F352))</f>
        <v>0</v>
      </c>
      <c r="I352" s="33">
        <f>IF(VLOOKUP($D352,$C$5:$AJ$596,7,)=0,0,((VLOOKUP($D352,$C$5:$AJ$596,7,)/VLOOKUP($D352,$C$5:$AJ$596,4,))*$F352))</f>
        <v>0</v>
      </c>
      <c r="J352" s="33">
        <f>IF(VLOOKUP($D352,$C$5:$AJ$596,8,)=0,0,((VLOOKUP($D352,$C$5:$AJ$596,8,)/VLOOKUP($D352,$C$5:$AJ$596,4,))*$F352))</f>
        <v>0</v>
      </c>
      <c r="K352" s="33">
        <f>IF(VLOOKUP($D352,$C$5:$AJ$596,9,)=0,0,((VLOOKUP($D352,$C$5:$AJ$596,9,)/VLOOKUP($D352,$C$5:$AJ$596,4,))*$F352))</f>
        <v>11189240.675549772</v>
      </c>
      <c r="L352" s="33">
        <f>IF(VLOOKUP($D352,$C$5:$AJ$596,10,)=0,0,((VLOOKUP($D352,$C$5:$AJ$596,10,)/VLOOKUP($D352,$C$5:$AJ$596,4,))*$F352))</f>
        <v>0</v>
      </c>
      <c r="M352" s="33">
        <f>IF(VLOOKUP($D352,$C$5:$AJ$596,11,)=0,0,((VLOOKUP($D352,$C$5:$AJ$596,11,)/VLOOKUP($D352,$C$5:$AJ$596,4,))*$F352))</f>
        <v>0</v>
      </c>
      <c r="N352" s="33"/>
      <c r="O352" s="33">
        <f>IF(VLOOKUP($D352,$C$5:$AJ$596,13,)=0,0,((VLOOKUP($D352,$C$5:$AJ$596,13,)/VLOOKUP($D352,$C$5:$AJ$596,4,))*$F352))</f>
        <v>0</v>
      </c>
      <c r="P352" s="33">
        <f>IF(VLOOKUP($D352,$C$5:$AJ$596,14,)=0,0,((VLOOKUP($D352,$C$5:$AJ$596,14,)/VLOOKUP($D352,$C$5:$AJ$596,4,))*$F352))</f>
        <v>0</v>
      </c>
      <c r="Q352" s="33">
        <f>IF(VLOOKUP($D352,$C$5:$AJ$596,15,)=0,0,((VLOOKUP($D352,$C$5:$AJ$596,15,)/VLOOKUP($D352,$C$5:$AJ$596,4,))*$F352))</f>
        <v>0</v>
      </c>
      <c r="R352" s="33"/>
      <c r="S352" s="33">
        <f>IF(VLOOKUP($D352,$C$5:$AJ$596,17,)=0,0,((VLOOKUP($D352,$C$5:$AJ$596,17,)/VLOOKUP($D352,$C$5:$AJ$596,4,))*$F352))</f>
        <v>0</v>
      </c>
      <c r="T352" s="33">
        <f>IF(VLOOKUP($D352,$C$5:$AJ$596,18,)=0,0,((VLOOKUP($D352,$C$5:$AJ$596,18,)/VLOOKUP($D352,$C$5:$AJ$596,4,))*$F352))</f>
        <v>0</v>
      </c>
      <c r="U352" s="33">
        <f>IF(VLOOKUP($D352,$C$5:$AJ$596,19,)=0,0,((VLOOKUP($D352,$C$5:$AJ$596,19,)/VLOOKUP($D352,$C$5:$AJ$596,4,))*$F352))</f>
        <v>0</v>
      </c>
      <c r="V352" s="33">
        <f>IF(VLOOKUP($D352,$C$5:$AJ$596,20,)=0,0,((VLOOKUP($D352,$C$5:$AJ$596,20,)/VLOOKUP($D352,$C$5:$AJ$596,4,))*$F352))</f>
        <v>0</v>
      </c>
      <c r="W352" s="33">
        <f>IF(VLOOKUP($D352,$C$5:$AJ$596,21,)=0,0,((VLOOKUP($D352,$C$5:$AJ$596,21,)/VLOOKUP($D352,$C$5:$AJ$596,4,))*$F352))</f>
        <v>0</v>
      </c>
      <c r="X352" s="33">
        <f>IF(VLOOKUP($D352,$C$5:$AJ$596,22,)=0,0,((VLOOKUP($D352,$C$5:$AJ$596,22,)/VLOOKUP($D352,$C$5:$AJ$596,4,))*$F352))</f>
        <v>0</v>
      </c>
      <c r="Y352" s="33">
        <f>IF(VLOOKUP($D352,$C$5:$AJ$596,23,)=0,0,((VLOOKUP($D352,$C$5:$AJ$596,23,)/VLOOKUP($D352,$C$5:$AJ$596,4,))*$F352))</f>
        <v>0</v>
      </c>
      <c r="Z352" s="33">
        <f>IF(VLOOKUP($D352,$C$5:$AJ$596,24,)=0,0,((VLOOKUP($D352,$C$5:$AJ$596,24,)/VLOOKUP($D352,$C$5:$AJ$596,4,))*$F352))</f>
        <v>0</v>
      </c>
      <c r="AA352" s="33">
        <f>IF(VLOOKUP($D352,$C$5:$AJ$596,25,)=0,0,((VLOOKUP($D352,$C$5:$AJ$596,25,)/VLOOKUP($D352,$C$5:$AJ$596,4,))*$F352))</f>
        <v>0</v>
      </c>
      <c r="AB352" s="33">
        <f>IF(VLOOKUP($D352,$C$5:$AJ$596,26,)=0,0,((VLOOKUP($D352,$C$5:$AJ$596,26,)/VLOOKUP($D352,$C$5:$AJ$596,4,))*$F352))</f>
        <v>0</v>
      </c>
      <c r="AC352" s="33">
        <f>IF(VLOOKUP($D352,$C$5:$AJ$596,27,)=0,0,((VLOOKUP($D352,$C$5:$AJ$596,27,)/VLOOKUP($D352,$C$5:$AJ$596,4,))*$F352))</f>
        <v>0</v>
      </c>
      <c r="AD352" s="33">
        <f>IF(VLOOKUP($D352,$C$5:$AJ$596,28,)=0,0,((VLOOKUP($D352,$C$5:$AJ$596,28,)/VLOOKUP($D352,$C$5:$AJ$596,4,))*$F352))</f>
        <v>0</v>
      </c>
      <c r="AE352" s="33"/>
      <c r="AF352" s="33">
        <f>IF(VLOOKUP($D352,$C$5:$AJ$596,30,)=0,0,((VLOOKUP($D352,$C$5:$AJ$596,30,)/VLOOKUP($D352,$C$5:$AJ$596,4,))*$F352))</f>
        <v>0</v>
      </c>
      <c r="AG352" s="33"/>
      <c r="AH352" s="33">
        <f>IF(VLOOKUP($D352,$C$5:$AJ$596,32,)=0,0,((VLOOKUP($D352,$C$5:$AJ$596,32,)/VLOOKUP($D352,$C$5:$AJ$596,4,))*$F352))</f>
        <v>0</v>
      </c>
      <c r="AI352" s="33"/>
      <c r="AJ352" s="33">
        <f>IF(VLOOKUP($D352,$C$5:$AJ$596,34,)=0,0,((VLOOKUP($D352,$C$5:$AJ$596,34,)/VLOOKUP($D352,$C$5:$AJ$596,4,))*$F352))</f>
        <v>0</v>
      </c>
      <c r="AK352" s="33">
        <f t="shared" si="375"/>
        <v>11189240.675549772</v>
      </c>
      <c r="AL352" s="30" t="str">
        <f t="shared" si="376"/>
        <v>ok</v>
      </c>
    </row>
    <row r="353" spans="1:38" x14ac:dyDescent="0.25">
      <c r="A353" s="29">
        <v>513</v>
      </c>
      <c r="B353" s="29" t="s">
        <v>1469</v>
      </c>
      <c r="C353" s="29" t="s">
        <v>1531</v>
      </c>
      <c r="D353" s="113" t="s">
        <v>104</v>
      </c>
      <c r="E353" s="13"/>
      <c r="F353" s="33">
        <f>'Jurisdictional Study'!F1319</f>
        <v>2111001.6060143961</v>
      </c>
      <c r="H353" s="33">
        <f>IF(VLOOKUP($D353,$C$5:$AJ$596,6,)=0,0,((VLOOKUP($D353,$C$5:$AJ$596,6,)/VLOOKUP($D353,$C$5:$AJ$596,4,))*$F353))</f>
        <v>0</v>
      </c>
      <c r="I353" s="33">
        <f>IF(VLOOKUP($D353,$C$5:$AJ$596,7,)=0,0,((VLOOKUP($D353,$C$5:$AJ$596,7,)/VLOOKUP($D353,$C$5:$AJ$596,4,))*$F353))</f>
        <v>0</v>
      </c>
      <c r="J353" s="33">
        <f>IF(VLOOKUP($D353,$C$5:$AJ$596,8,)=0,0,((VLOOKUP($D353,$C$5:$AJ$596,8,)/VLOOKUP($D353,$C$5:$AJ$596,4,))*$F353))</f>
        <v>0</v>
      </c>
      <c r="K353" s="33">
        <f>IF(VLOOKUP($D353,$C$5:$AJ$596,9,)=0,0,((VLOOKUP($D353,$C$5:$AJ$596,9,)/VLOOKUP($D353,$C$5:$AJ$596,4,))*$F353))</f>
        <v>2111001.6060143961</v>
      </c>
      <c r="L353" s="33">
        <f>IF(VLOOKUP($D353,$C$5:$AJ$596,10,)=0,0,((VLOOKUP($D353,$C$5:$AJ$596,10,)/VLOOKUP($D353,$C$5:$AJ$596,4,))*$F353))</f>
        <v>0</v>
      </c>
      <c r="M353" s="33">
        <f>IF(VLOOKUP($D353,$C$5:$AJ$596,11,)=0,0,((VLOOKUP($D353,$C$5:$AJ$596,11,)/VLOOKUP($D353,$C$5:$AJ$596,4,))*$F353))</f>
        <v>0</v>
      </c>
      <c r="N353" s="33"/>
      <c r="O353" s="33">
        <f>IF(VLOOKUP($D353,$C$5:$AJ$596,13,)=0,0,((VLOOKUP($D353,$C$5:$AJ$596,13,)/VLOOKUP($D353,$C$5:$AJ$596,4,))*$F353))</f>
        <v>0</v>
      </c>
      <c r="P353" s="33">
        <f>IF(VLOOKUP($D353,$C$5:$AJ$596,14,)=0,0,((VLOOKUP($D353,$C$5:$AJ$596,14,)/VLOOKUP($D353,$C$5:$AJ$596,4,))*$F353))</f>
        <v>0</v>
      </c>
      <c r="Q353" s="33">
        <f>IF(VLOOKUP($D353,$C$5:$AJ$596,15,)=0,0,((VLOOKUP($D353,$C$5:$AJ$596,15,)/VLOOKUP($D353,$C$5:$AJ$596,4,))*$F353))</f>
        <v>0</v>
      </c>
      <c r="R353" s="33"/>
      <c r="S353" s="33">
        <f>IF(VLOOKUP($D353,$C$5:$AJ$596,17,)=0,0,((VLOOKUP($D353,$C$5:$AJ$596,17,)/VLOOKUP($D353,$C$5:$AJ$596,4,))*$F353))</f>
        <v>0</v>
      </c>
      <c r="T353" s="33">
        <f>IF(VLOOKUP($D353,$C$5:$AJ$596,18,)=0,0,((VLOOKUP($D353,$C$5:$AJ$596,18,)/VLOOKUP($D353,$C$5:$AJ$596,4,))*$F353))</f>
        <v>0</v>
      </c>
      <c r="U353" s="33">
        <f>IF(VLOOKUP($D353,$C$5:$AJ$596,19,)=0,0,((VLOOKUP($D353,$C$5:$AJ$596,19,)/VLOOKUP($D353,$C$5:$AJ$596,4,))*$F353))</f>
        <v>0</v>
      </c>
      <c r="V353" s="33">
        <f>IF(VLOOKUP($D353,$C$5:$AJ$596,20,)=0,0,((VLOOKUP($D353,$C$5:$AJ$596,20,)/VLOOKUP($D353,$C$5:$AJ$596,4,))*$F353))</f>
        <v>0</v>
      </c>
      <c r="W353" s="33">
        <f>IF(VLOOKUP($D353,$C$5:$AJ$596,21,)=0,0,((VLOOKUP($D353,$C$5:$AJ$596,21,)/VLOOKUP($D353,$C$5:$AJ$596,4,))*$F353))</f>
        <v>0</v>
      </c>
      <c r="X353" s="33">
        <f>IF(VLOOKUP($D353,$C$5:$AJ$596,22,)=0,0,((VLOOKUP($D353,$C$5:$AJ$596,22,)/VLOOKUP($D353,$C$5:$AJ$596,4,))*$F353))</f>
        <v>0</v>
      </c>
      <c r="Y353" s="33">
        <f>IF(VLOOKUP($D353,$C$5:$AJ$596,23,)=0,0,((VLOOKUP($D353,$C$5:$AJ$596,23,)/VLOOKUP($D353,$C$5:$AJ$596,4,))*$F353))</f>
        <v>0</v>
      </c>
      <c r="Z353" s="33">
        <f>IF(VLOOKUP($D353,$C$5:$AJ$596,24,)=0,0,((VLOOKUP($D353,$C$5:$AJ$596,24,)/VLOOKUP($D353,$C$5:$AJ$596,4,))*$F353))</f>
        <v>0</v>
      </c>
      <c r="AA353" s="33">
        <f>IF(VLOOKUP($D353,$C$5:$AJ$596,25,)=0,0,((VLOOKUP($D353,$C$5:$AJ$596,25,)/VLOOKUP($D353,$C$5:$AJ$596,4,))*$F353))</f>
        <v>0</v>
      </c>
      <c r="AB353" s="33">
        <f>IF(VLOOKUP($D353,$C$5:$AJ$596,26,)=0,0,((VLOOKUP($D353,$C$5:$AJ$596,26,)/VLOOKUP($D353,$C$5:$AJ$596,4,))*$F353))</f>
        <v>0</v>
      </c>
      <c r="AC353" s="33">
        <f>IF(VLOOKUP($D353,$C$5:$AJ$596,27,)=0,0,((VLOOKUP($D353,$C$5:$AJ$596,27,)/VLOOKUP($D353,$C$5:$AJ$596,4,))*$F353))</f>
        <v>0</v>
      </c>
      <c r="AD353" s="33">
        <f>IF(VLOOKUP($D353,$C$5:$AJ$596,28,)=0,0,((VLOOKUP($D353,$C$5:$AJ$596,28,)/VLOOKUP($D353,$C$5:$AJ$596,4,))*$F353))</f>
        <v>0</v>
      </c>
      <c r="AE353" s="33"/>
      <c r="AF353" s="33">
        <f>IF(VLOOKUP($D353,$C$5:$AJ$596,30,)=0,0,((VLOOKUP($D353,$C$5:$AJ$596,30,)/VLOOKUP($D353,$C$5:$AJ$596,4,))*$F353))</f>
        <v>0</v>
      </c>
      <c r="AG353" s="33"/>
      <c r="AH353" s="33">
        <f>IF(VLOOKUP($D353,$C$5:$AJ$596,32,)=0,0,((VLOOKUP($D353,$C$5:$AJ$596,32,)/VLOOKUP($D353,$C$5:$AJ$596,4,))*$F353))</f>
        <v>0</v>
      </c>
      <c r="AI353" s="33"/>
      <c r="AJ353" s="33">
        <f>IF(VLOOKUP($D353,$C$5:$AJ$596,34,)=0,0,((VLOOKUP($D353,$C$5:$AJ$596,34,)/VLOOKUP($D353,$C$5:$AJ$596,4,))*$F353))</f>
        <v>0</v>
      </c>
      <c r="AK353" s="33">
        <f t="shared" si="375"/>
        <v>2111001.6060143961</v>
      </c>
      <c r="AL353" s="30" t="str">
        <f t="shared" si="376"/>
        <v>ok</v>
      </c>
    </row>
    <row r="354" spans="1:38" x14ac:dyDescent="0.25">
      <c r="A354" s="29">
        <v>514</v>
      </c>
      <c r="B354" s="29" t="s">
        <v>1472</v>
      </c>
      <c r="C354" s="29" t="s">
        <v>1532</v>
      </c>
      <c r="D354" s="113" t="s">
        <v>104</v>
      </c>
      <c r="E354" s="13"/>
      <c r="F354" s="33">
        <f>'Jurisdictional Study'!F1331</f>
        <v>257515.67682540629</v>
      </c>
      <c r="H354" s="33">
        <f>IF(VLOOKUP($D354,$C$5:$AJ$596,6,)=0,0,((VLOOKUP($D354,$C$5:$AJ$596,6,)/VLOOKUP($D354,$C$5:$AJ$596,4,))*$F354))</f>
        <v>0</v>
      </c>
      <c r="I354" s="33">
        <f>IF(VLOOKUP($D354,$C$5:$AJ$596,7,)=0,0,((VLOOKUP($D354,$C$5:$AJ$596,7,)/VLOOKUP($D354,$C$5:$AJ$596,4,))*$F354))</f>
        <v>0</v>
      </c>
      <c r="J354" s="33">
        <f>IF(VLOOKUP($D354,$C$5:$AJ$596,8,)=0,0,((VLOOKUP($D354,$C$5:$AJ$596,8,)/VLOOKUP($D354,$C$5:$AJ$596,4,))*$F354))</f>
        <v>0</v>
      </c>
      <c r="K354" s="33">
        <f>IF(VLOOKUP($D354,$C$5:$AJ$596,9,)=0,0,((VLOOKUP($D354,$C$5:$AJ$596,9,)/VLOOKUP($D354,$C$5:$AJ$596,4,))*$F354))</f>
        <v>257515.67682540629</v>
      </c>
      <c r="L354" s="33">
        <f>IF(VLOOKUP($D354,$C$5:$AJ$596,10,)=0,0,((VLOOKUP($D354,$C$5:$AJ$596,10,)/VLOOKUP($D354,$C$5:$AJ$596,4,))*$F354))</f>
        <v>0</v>
      </c>
      <c r="M354" s="33">
        <f>IF(VLOOKUP($D354,$C$5:$AJ$596,11,)=0,0,((VLOOKUP($D354,$C$5:$AJ$596,11,)/VLOOKUP($D354,$C$5:$AJ$596,4,))*$F354))</f>
        <v>0</v>
      </c>
      <c r="N354" s="33"/>
      <c r="O354" s="33">
        <f>IF(VLOOKUP($D354,$C$5:$AJ$596,13,)=0,0,((VLOOKUP($D354,$C$5:$AJ$596,13,)/VLOOKUP($D354,$C$5:$AJ$596,4,))*$F354))</f>
        <v>0</v>
      </c>
      <c r="P354" s="33">
        <f>IF(VLOOKUP($D354,$C$5:$AJ$596,14,)=0,0,((VLOOKUP($D354,$C$5:$AJ$596,14,)/VLOOKUP($D354,$C$5:$AJ$596,4,))*$F354))</f>
        <v>0</v>
      </c>
      <c r="Q354" s="33">
        <f>IF(VLOOKUP($D354,$C$5:$AJ$596,15,)=0,0,((VLOOKUP($D354,$C$5:$AJ$596,15,)/VLOOKUP($D354,$C$5:$AJ$596,4,))*$F354))</f>
        <v>0</v>
      </c>
      <c r="R354" s="33"/>
      <c r="S354" s="33">
        <f>IF(VLOOKUP($D354,$C$5:$AJ$596,17,)=0,0,((VLOOKUP($D354,$C$5:$AJ$596,17,)/VLOOKUP($D354,$C$5:$AJ$596,4,))*$F354))</f>
        <v>0</v>
      </c>
      <c r="T354" s="33">
        <f>IF(VLOOKUP($D354,$C$5:$AJ$596,18,)=0,0,((VLOOKUP($D354,$C$5:$AJ$596,18,)/VLOOKUP($D354,$C$5:$AJ$596,4,))*$F354))</f>
        <v>0</v>
      </c>
      <c r="U354" s="33">
        <f>IF(VLOOKUP($D354,$C$5:$AJ$596,19,)=0,0,((VLOOKUP($D354,$C$5:$AJ$596,19,)/VLOOKUP($D354,$C$5:$AJ$596,4,))*$F354))</f>
        <v>0</v>
      </c>
      <c r="V354" s="33">
        <f>IF(VLOOKUP($D354,$C$5:$AJ$596,20,)=0,0,((VLOOKUP($D354,$C$5:$AJ$596,20,)/VLOOKUP($D354,$C$5:$AJ$596,4,))*$F354))</f>
        <v>0</v>
      </c>
      <c r="W354" s="33">
        <f>IF(VLOOKUP($D354,$C$5:$AJ$596,21,)=0,0,((VLOOKUP($D354,$C$5:$AJ$596,21,)/VLOOKUP($D354,$C$5:$AJ$596,4,))*$F354))</f>
        <v>0</v>
      </c>
      <c r="X354" s="33">
        <f>IF(VLOOKUP($D354,$C$5:$AJ$596,22,)=0,0,((VLOOKUP($D354,$C$5:$AJ$596,22,)/VLOOKUP($D354,$C$5:$AJ$596,4,))*$F354))</f>
        <v>0</v>
      </c>
      <c r="Y354" s="33">
        <f>IF(VLOOKUP($D354,$C$5:$AJ$596,23,)=0,0,((VLOOKUP($D354,$C$5:$AJ$596,23,)/VLOOKUP($D354,$C$5:$AJ$596,4,))*$F354))</f>
        <v>0</v>
      </c>
      <c r="Z354" s="33">
        <f>IF(VLOOKUP($D354,$C$5:$AJ$596,24,)=0,0,((VLOOKUP($D354,$C$5:$AJ$596,24,)/VLOOKUP($D354,$C$5:$AJ$596,4,))*$F354))</f>
        <v>0</v>
      </c>
      <c r="AA354" s="33">
        <f>IF(VLOOKUP($D354,$C$5:$AJ$596,25,)=0,0,((VLOOKUP($D354,$C$5:$AJ$596,25,)/VLOOKUP($D354,$C$5:$AJ$596,4,))*$F354))</f>
        <v>0</v>
      </c>
      <c r="AB354" s="33">
        <f>IF(VLOOKUP($D354,$C$5:$AJ$596,26,)=0,0,((VLOOKUP($D354,$C$5:$AJ$596,26,)/VLOOKUP($D354,$C$5:$AJ$596,4,))*$F354))</f>
        <v>0</v>
      </c>
      <c r="AC354" s="33">
        <f>IF(VLOOKUP($D354,$C$5:$AJ$596,27,)=0,0,((VLOOKUP($D354,$C$5:$AJ$596,27,)/VLOOKUP($D354,$C$5:$AJ$596,4,))*$F354))</f>
        <v>0</v>
      </c>
      <c r="AD354" s="33">
        <f>IF(VLOOKUP($D354,$C$5:$AJ$596,28,)=0,0,((VLOOKUP($D354,$C$5:$AJ$596,28,)/VLOOKUP($D354,$C$5:$AJ$596,4,))*$F354))</f>
        <v>0</v>
      </c>
      <c r="AE354" s="33"/>
      <c r="AF354" s="33">
        <f>IF(VLOOKUP($D354,$C$5:$AJ$596,30,)=0,0,((VLOOKUP($D354,$C$5:$AJ$596,30,)/VLOOKUP($D354,$C$5:$AJ$596,4,))*$F354))</f>
        <v>0</v>
      </c>
      <c r="AG354" s="33"/>
      <c r="AH354" s="33">
        <f>IF(VLOOKUP($D354,$C$5:$AJ$596,32,)=0,0,((VLOOKUP($D354,$C$5:$AJ$596,32,)/VLOOKUP($D354,$C$5:$AJ$596,4,))*$F354))</f>
        <v>0</v>
      </c>
      <c r="AI354" s="33"/>
      <c r="AJ354" s="33">
        <f>IF(VLOOKUP($D354,$C$5:$AJ$596,34,)=0,0,((VLOOKUP($D354,$C$5:$AJ$596,34,)/VLOOKUP($D354,$C$5:$AJ$596,4,))*$F354))</f>
        <v>0</v>
      </c>
      <c r="AK354" s="33">
        <f t="shared" si="375"/>
        <v>257515.67682540629</v>
      </c>
      <c r="AL354" s="30" t="str">
        <f t="shared" si="376"/>
        <v>ok</v>
      </c>
    </row>
    <row r="355" spans="1:38" x14ac:dyDescent="0.25">
      <c r="D355" s="113"/>
      <c r="E355" s="13"/>
      <c r="F355" s="32"/>
      <c r="Y355" s="29"/>
      <c r="AK355" s="33"/>
      <c r="AL355" s="30"/>
    </row>
    <row r="356" spans="1:38" x14ac:dyDescent="0.25">
      <c r="B356" s="29" t="s">
        <v>1474</v>
      </c>
      <c r="C356" s="29" t="s">
        <v>969</v>
      </c>
      <c r="D356" s="113"/>
      <c r="E356" s="13"/>
      <c r="F356" s="32">
        <f>SUM(F350:F355)</f>
        <v>22949308.730221633</v>
      </c>
      <c r="H356" s="32">
        <f t="shared" ref="H356:M356" si="379">SUM(H350:H355)</f>
        <v>1856607.3363850862</v>
      </c>
      <c r="I356" s="32">
        <f t="shared" si="379"/>
        <v>0</v>
      </c>
      <c r="J356" s="32">
        <f t="shared" si="379"/>
        <v>0</v>
      </c>
      <c r="K356" s="32">
        <f t="shared" si="379"/>
        <v>21092701.39383655</v>
      </c>
      <c r="L356" s="32">
        <f t="shared" si="379"/>
        <v>0</v>
      </c>
      <c r="M356" s="32">
        <f t="shared" si="379"/>
        <v>0</v>
      </c>
      <c r="O356" s="32">
        <f>SUM(O350:O355)</f>
        <v>0</v>
      </c>
      <c r="P356" s="32">
        <f>SUM(P350:P355)</f>
        <v>0</v>
      </c>
      <c r="Q356" s="32">
        <f>SUM(Q350:Q355)</f>
        <v>0</v>
      </c>
      <c r="S356" s="32">
        <f t="shared" ref="S356:AD356" si="380">SUM(S350:S355)</f>
        <v>0</v>
      </c>
      <c r="T356" s="32">
        <f t="shared" si="380"/>
        <v>0</v>
      </c>
      <c r="U356" s="32">
        <f t="shared" si="380"/>
        <v>0</v>
      </c>
      <c r="V356" s="32">
        <f t="shared" si="380"/>
        <v>0</v>
      </c>
      <c r="W356" s="32">
        <f t="shared" si="380"/>
        <v>0</v>
      </c>
      <c r="X356" s="32">
        <f t="shared" si="380"/>
        <v>0</v>
      </c>
      <c r="Y356" s="32">
        <f t="shared" si="380"/>
        <v>0</v>
      </c>
      <c r="Z356" s="32">
        <f t="shared" si="380"/>
        <v>0</v>
      </c>
      <c r="AA356" s="32">
        <f t="shared" si="380"/>
        <v>0</v>
      </c>
      <c r="AB356" s="32">
        <f t="shared" si="380"/>
        <v>0</v>
      </c>
      <c r="AC356" s="32">
        <f t="shared" si="380"/>
        <v>0</v>
      </c>
      <c r="AD356" s="32">
        <f t="shared" si="380"/>
        <v>0</v>
      </c>
      <c r="AF356" s="32">
        <f>SUM(AF350:AF355)</f>
        <v>0</v>
      </c>
      <c r="AH356" s="32">
        <f>SUM(AH350:AH355)</f>
        <v>0</v>
      </c>
      <c r="AJ356" s="32">
        <f>SUM(AJ350:AJ355)</f>
        <v>0</v>
      </c>
      <c r="AK356" s="33">
        <f t="shared" si="375"/>
        <v>22949308.730221637</v>
      </c>
      <c r="AL356" s="30" t="str">
        <f t="shared" si="376"/>
        <v>ok</v>
      </c>
    </row>
    <row r="357" spans="1:38" x14ac:dyDescent="0.25">
      <c r="D357" s="113"/>
      <c r="E357" s="13"/>
      <c r="F357" s="32"/>
      <c r="H357" s="32"/>
      <c r="I357" s="32"/>
      <c r="J357" s="32"/>
      <c r="K357" s="32"/>
      <c r="L357" s="32"/>
      <c r="M357" s="32"/>
      <c r="O357" s="32"/>
      <c r="P357" s="32"/>
      <c r="Q357" s="32"/>
      <c r="S357" s="32"/>
      <c r="T357" s="32"/>
      <c r="U357" s="32"/>
      <c r="V357" s="32"/>
      <c r="W357" s="32"/>
      <c r="X357" s="32"/>
      <c r="Y357" s="32"/>
      <c r="Z357" s="32"/>
      <c r="AA357" s="32"/>
      <c r="AB357" s="32"/>
      <c r="AC357" s="32"/>
      <c r="AD357" s="32"/>
      <c r="AF357" s="32"/>
      <c r="AH357" s="32"/>
      <c r="AJ357" s="32"/>
      <c r="AK357" s="33"/>
      <c r="AL357" s="30"/>
    </row>
    <row r="358" spans="1:38" x14ac:dyDescent="0.25">
      <c r="B358" s="29" t="s">
        <v>1475</v>
      </c>
      <c r="D358" s="113"/>
      <c r="E358" s="13"/>
      <c r="F358" s="32">
        <f>F347+F356</f>
        <v>49995016.719442025</v>
      </c>
      <c r="H358" s="32">
        <f t="shared" ref="H358:M358" si="381">H347+H356</f>
        <v>25834224.508991506</v>
      </c>
      <c r="I358" s="32">
        <f t="shared" si="381"/>
        <v>0</v>
      </c>
      <c r="J358" s="32">
        <f t="shared" si="381"/>
        <v>0</v>
      </c>
      <c r="K358" s="32">
        <f t="shared" si="381"/>
        <v>24160792.21045053</v>
      </c>
      <c r="L358" s="32">
        <f t="shared" si="381"/>
        <v>0</v>
      </c>
      <c r="M358" s="32">
        <f t="shared" si="381"/>
        <v>0</v>
      </c>
      <c r="O358" s="32">
        <f>O347+O356</f>
        <v>0</v>
      </c>
      <c r="P358" s="32">
        <f>P347+P356</f>
        <v>0</v>
      </c>
      <c r="Q358" s="32">
        <f>Q347+Q356</f>
        <v>0</v>
      </c>
      <c r="S358" s="32">
        <f t="shared" ref="S358:AD358" si="382">S347+S356</f>
        <v>0</v>
      </c>
      <c r="T358" s="32">
        <f t="shared" si="382"/>
        <v>0</v>
      </c>
      <c r="U358" s="32">
        <f t="shared" si="382"/>
        <v>0</v>
      </c>
      <c r="V358" s="32">
        <f t="shared" si="382"/>
        <v>0</v>
      </c>
      <c r="W358" s="32">
        <f t="shared" si="382"/>
        <v>0</v>
      </c>
      <c r="X358" s="32">
        <f t="shared" si="382"/>
        <v>0</v>
      </c>
      <c r="Y358" s="32">
        <f t="shared" si="382"/>
        <v>0</v>
      </c>
      <c r="Z358" s="32">
        <f t="shared" si="382"/>
        <v>0</v>
      </c>
      <c r="AA358" s="32">
        <f t="shared" si="382"/>
        <v>0</v>
      </c>
      <c r="AB358" s="32">
        <f t="shared" si="382"/>
        <v>0</v>
      </c>
      <c r="AC358" s="32">
        <f t="shared" si="382"/>
        <v>0</v>
      </c>
      <c r="AD358" s="32">
        <f t="shared" si="382"/>
        <v>0</v>
      </c>
      <c r="AF358" s="32">
        <f>AF347+AF356</f>
        <v>0</v>
      </c>
      <c r="AH358" s="32">
        <f>AH347+AH356</f>
        <v>0</v>
      </c>
      <c r="AJ358" s="32">
        <f>AJ347+AJ356</f>
        <v>0</v>
      </c>
      <c r="AK358" s="33">
        <f t="shared" si="375"/>
        <v>49995016.71944204</v>
      </c>
      <c r="AL358" s="30" t="str">
        <f t="shared" si="376"/>
        <v>ok</v>
      </c>
    </row>
    <row r="359" spans="1:38" x14ac:dyDescent="0.25">
      <c r="D359" s="113"/>
      <c r="E359" s="13"/>
      <c r="F359" s="32"/>
      <c r="Y359" s="29"/>
      <c r="AK359" s="33"/>
      <c r="AL359" s="30"/>
    </row>
    <row r="360" spans="1:38" x14ac:dyDescent="0.25">
      <c r="A360" s="4" t="s">
        <v>1565</v>
      </c>
      <c r="D360" s="113"/>
      <c r="E360" s="13"/>
      <c r="Y360" s="29"/>
      <c r="AL360" s="30"/>
    </row>
    <row r="361" spans="1:38" x14ac:dyDescent="0.25">
      <c r="A361" s="44">
        <v>535</v>
      </c>
      <c r="B361" s="29" t="s">
        <v>1453</v>
      </c>
      <c r="C361" s="29" t="s">
        <v>1711</v>
      </c>
      <c r="D361" s="113" t="s">
        <v>695</v>
      </c>
      <c r="E361" s="13"/>
      <c r="F361" s="32">
        <f>'Jurisdictional Study'!F1332</f>
        <v>0</v>
      </c>
      <c r="H361" s="33">
        <f t="shared" ref="H361:H366" si="383">IF(VLOOKUP($D361,$C$5:$AJ$596,6,)=0,0,((VLOOKUP($D361,$C$5:$AJ$596,6,)/VLOOKUP($D361,$C$5:$AJ$596,4,))*$F361))</f>
        <v>0</v>
      </c>
      <c r="I361" s="33">
        <f t="shared" ref="I361:I366" si="384">IF(VLOOKUP($D361,$C$5:$AJ$596,7,)=0,0,((VLOOKUP($D361,$C$5:$AJ$596,7,)/VLOOKUP($D361,$C$5:$AJ$596,4,))*$F361))</f>
        <v>0</v>
      </c>
      <c r="J361" s="33">
        <f t="shared" ref="J361:J366" si="385">IF(VLOOKUP($D361,$C$5:$AJ$596,8,)=0,0,((VLOOKUP($D361,$C$5:$AJ$596,8,)/VLOOKUP($D361,$C$5:$AJ$596,4,))*$F361))</f>
        <v>0</v>
      </c>
      <c r="K361" s="33">
        <f t="shared" ref="K361:K366" si="386">IF(VLOOKUP($D361,$C$5:$AJ$596,9,)=0,0,((VLOOKUP($D361,$C$5:$AJ$596,9,)/VLOOKUP($D361,$C$5:$AJ$596,4,))*$F361))</f>
        <v>0</v>
      </c>
      <c r="L361" s="33">
        <f t="shared" ref="L361:L366" si="387">IF(VLOOKUP($D361,$C$5:$AJ$596,10,)=0,0,((VLOOKUP($D361,$C$5:$AJ$596,10,)/VLOOKUP($D361,$C$5:$AJ$596,4,))*$F361))</f>
        <v>0</v>
      </c>
      <c r="M361" s="33">
        <f t="shared" ref="M361:M366" si="388">IF(VLOOKUP($D361,$C$5:$AJ$596,11,)=0,0,((VLOOKUP($D361,$C$5:$AJ$596,11,)/VLOOKUP($D361,$C$5:$AJ$596,4,))*$F361))</f>
        <v>0</v>
      </c>
      <c r="N361" s="33"/>
      <c r="O361" s="33">
        <f t="shared" ref="O361:O366" si="389">IF(VLOOKUP($D361,$C$5:$AJ$596,13,)=0,0,((VLOOKUP($D361,$C$5:$AJ$596,13,)/VLOOKUP($D361,$C$5:$AJ$596,4,))*$F361))</f>
        <v>0</v>
      </c>
      <c r="P361" s="33">
        <f t="shared" ref="P361:P366" si="390">IF(VLOOKUP($D361,$C$5:$AJ$596,14,)=0,0,((VLOOKUP($D361,$C$5:$AJ$596,14,)/VLOOKUP($D361,$C$5:$AJ$596,4,))*$F361))</f>
        <v>0</v>
      </c>
      <c r="Q361" s="33">
        <f t="shared" ref="Q361:Q366" si="391">IF(VLOOKUP($D361,$C$5:$AJ$596,15,)=0,0,((VLOOKUP($D361,$C$5:$AJ$596,15,)/VLOOKUP($D361,$C$5:$AJ$596,4,))*$F361))</f>
        <v>0</v>
      </c>
      <c r="R361" s="33"/>
      <c r="S361" s="33">
        <f t="shared" ref="S361:S366" si="392">IF(VLOOKUP($D361,$C$5:$AJ$596,17,)=0,0,((VLOOKUP($D361,$C$5:$AJ$596,17,)/VLOOKUP($D361,$C$5:$AJ$596,4,))*$F361))</f>
        <v>0</v>
      </c>
      <c r="T361" s="33">
        <f t="shared" ref="T361:T366" si="393">IF(VLOOKUP($D361,$C$5:$AJ$596,18,)=0,0,((VLOOKUP($D361,$C$5:$AJ$596,18,)/VLOOKUP($D361,$C$5:$AJ$596,4,))*$F361))</f>
        <v>0</v>
      </c>
      <c r="U361" s="33">
        <f t="shared" ref="U361:U366" si="394">IF(VLOOKUP($D361,$C$5:$AJ$596,19,)=0,0,((VLOOKUP($D361,$C$5:$AJ$596,19,)/VLOOKUP($D361,$C$5:$AJ$596,4,))*$F361))</f>
        <v>0</v>
      </c>
      <c r="V361" s="33">
        <f t="shared" ref="V361:V366" si="395">IF(VLOOKUP($D361,$C$5:$AJ$596,20,)=0,0,((VLOOKUP($D361,$C$5:$AJ$596,20,)/VLOOKUP($D361,$C$5:$AJ$596,4,))*$F361))</f>
        <v>0</v>
      </c>
      <c r="W361" s="33">
        <f t="shared" ref="W361:W366" si="396">IF(VLOOKUP($D361,$C$5:$AJ$596,21,)=0,0,((VLOOKUP($D361,$C$5:$AJ$596,21,)/VLOOKUP($D361,$C$5:$AJ$596,4,))*$F361))</f>
        <v>0</v>
      </c>
      <c r="X361" s="33">
        <f t="shared" ref="X361:X366" si="397">IF(VLOOKUP($D361,$C$5:$AJ$596,22,)=0,0,((VLOOKUP($D361,$C$5:$AJ$596,22,)/VLOOKUP($D361,$C$5:$AJ$596,4,))*$F361))</f>
        <v>0</v>
      </c>
      <c r="Y361" s="33">
        <f t="shared" ref="Y361:Y366" si="398">IF(VLOOKUP($D361,$C$5:$AJ$596,23,)=0,0,((VLOOKUP($D361,$C$5:$AJ$596,23,)/VLOOKUP($D361,$C$5:$AJ$596,4,))*$F361))</f>
        <v>0</v>
      </c>
      <c r="Z361" s="33">
        <f t="shared" ref="Z361:Z366" si="399">IF(VLOOKUP($D361,$C$5:$AJ$596,24,)=0,0,((VLOOKUP($D361,$C$5:$AJ$596,24,)/VLOOKUP($D361,$C$5:$AJ$596,4,))*$F361))</f>
        <v>0</v>
      </c>
      <c r="AA361" s="33">
        <f t="shared" ref="AA361:AA366" si="400">IF(VLOOKUP($D361,$C$5:$AJ$596,25,)=0,0,((VLOOKUP($D361,$C$5:$AJ$596,25,)/VLOOKUP($D361,$C$5:$AJ$596,4,))*$F361))</f>
        <v>0</v>
      </c>
      <c r="AB361" s="33">
        <f t="shared" ref="AB361:AB366" si="401">IF(VLOOKUP($D361,$C$5:$AJ$596,26,)=0,0,((VLOOKUP($D361,$C$5:$AJ$596,26,)/VLOOKUP($D361,$C$5:$AJ$596,4,))*$F361))</f>
        <v>0</v>
      </c>
      <c r="AC361" s="33">
        <f t="shared" ref="AC361:AC366" si="402">IF(VLOOKUP($D361,$C$5:$AJ$596,27,)=0,0,((VLOOKUP($D361,$C$5:$AJ$596,27,)/VLOOKUP($D361,$C$5:$AJ$596,4,))*$F361))</f>
        <v>0</v>
      </c>
      <c r="AD361" s="33">
        <f t="shared" ref="AD361:AD366" si="403">IF(VLOOKUP($D361,$C$5:$AJ$596,28,)=0,0,((VLOOKUP($D361,$C$5:$AJ$596,28,)/VLOOKUP($D361,$C$5:$AJ$596,4,))*$F361))</f>
        <v>0</v>
      </c>
      <c r="AE361" s="33"/>
      <c r="AF361" s="33">
        <f t="shared" ref="AF361:AF366" si="404">IF(VLOOKUP($D361,$C$5:$AJ$596,30,)=0,0,((VLOOKUP($D361,$C$5:$AJ$596,30,)/VLOOKUP($D361,$C$5:$AJ$596,4,))*$F361))</f>
        <v>0</v>
      </c>
      <c r="AG361" s="33"/>
      <c r="AH361" s="33">
        <f t="shared" ref="AH361:AH366" si="405">IF(VLOOKUP($D361,$C$5:$AJ$596,32,)=0,0,((VLOOKUP($D361,$C$5:$AJ$596,32,)/VLOOKUP($D361,$C$5:$AJ$596,4,))*$F361))</f>
        <v>0</v>
      </c>
      <c r="AI361" s="33"/>
      <c r="AJ361" s="33">
        <f t="shared" ref="AJ361:AJ366" si="406">IF(VLOOKUP($D361,$C$5:$AJ$596,34,)=0,0,((VLOOKUP($D361,$C$5:$AJ$596,34,)/VLOOKUP($D361,$C$5:$AJ$596,4,))*$F361))</f>
        <v>0</v>
      </c>
      <c r="AK361" s="33">
        <f t="shared" ref="AK361:AK366" si="407">SUM(H361:AJ361)</f>
        <v>0</v>
      </c>
      <c r="AL361" s="30" t="str">
        <f t="shared" ref="AL361:AL366" si="408">IF(ABS(AK361-F361)&lt;1,"ok","err")</f>
        <v>ok</v>
      </c>
    </row>
    <row r="362" spans="1:38" x14ac:dyDescent="0.25">
      <c r="A362" s="45">
        <v>536</v>
      </c>
      <c r="B362" s="29" t="s">
        <v>1572</v>
      </c>
      <c r="C362" s="29" t="s">
        <v>1712</v>
      </c>
      <c r="D362" s="113" t="s">
        <v>685</v>
      </c>
      <c r="E362" s="13"/>
      <c r="F362" s="33">
        <v>0</v>
      </c>
      <c r="H362" s="33">
        <f t="shared" si="383"/>
        <v>0</v>
      </c>
      <c r="I362" s="33">
        <f t="shared" si="384"/>
        <v>0</v>
      </c>
      <c r="J362" s="33">
        <f t="shared" si="385"/>
        <v>0</v>
      </c>
      <c r="K362" s="33">
        <f t="shared" si="386"/>
        <v>0</v>
      </c>
      <c r="L362" s="33">
        <f t="shared" si="387"/>
        <v>0</v>
      </c>
      <c r="M362" s="33">
        <f t="shared" si="388"/>
        <v>0</v>
      </c>
      <c r="N362" s="33"/>
      <c r="O362" s="33">
        <f t="shared" si="389"/>
        <v>0</v>
      </c>
      <c r="P362" s="33">
        <f t="shared" si="390"/>
        <v>0</v>
      </c>
      <c r="Q362" s="33">
        <f t="shared" si="391"/>
        <v>0</v>
      </c>
      <c r="R362" s="33"/>
      <c r="S362" s="33">
        <f t="shared" si="392"/>
        <v>0</v>
      </c>
      <c r="T362" s="33">
        <f t="shared" si="393"/>
        <v>0</v>
      </c>
      <c r="U362" s="33">
        <f t="shared" si="394"/>
        <v>0</v>
      </c>
      <c r="V362" s="33">
        <f t="shared" si="395"/>
        <v>0</v>
      </c>
      <c r="W362" s="33">
        <f t="shared" si="396"/>
        <v>0</v>
      </c>
      <c r="X362" s="33">
        <f t="shared" si="397"/>
        <v>0</v>
      </c>
      <c r="Y362" s="33">
        <f t="shared" si="398"/>
        <v>0</v>
      </c>
      <c r="Z362" s="33">
        <f t="shared" si="399"/>
        <v>0</v>
      </c>
      <c r="AA362" s="33">
        <f t="shared" si="400"/>
        <v>0</v>
      </c>
      <c r="AB362" s="33">
        <f t="shared" si="401"/>
        <v>0</v>
      </c>
      <c r="AC362" s="33">
        <f t="shared" si="402"/>
        <v>0</v>
      </c>
      <c r="AD362" s="33">
        <f t="shared" si="403"/>
        <v>0</v>
      </c>
      <c r="AE362" s="33"/>
      <c r="AF362" s="33">
        <f t="shared" si="404"/>
        <v>0</v>
      </c>
      <c r="AG362" s="33"/>
      <c r="AH362" s="33">
        <f t="shared" si="405"/>
        <v>0</v>
      </c>
      <c r="AI362" s="33"/>
      <c r="AJ362" s="33">
        <f t="shared" si="406"/>
        <v>0</v>
      </c>
      <c r="AK362" s="33">
        <f t="shared" si="407"/>
        <v>0</v>
      </c>
      <c r="AL362" s="30" t="str">
        <f t="shared" si="408"/>
        <v>ok</v>
      </c>
    </row>
    <row r="363" spans="1:38" x14ac:dyDescent="0.25">
      <c r="A363" s="29">
        <v>537</v>
      </c>
      <c r="B363" s="29" t="s">
        <v>1571</v>
      </c>
      <c r="C363" s="29" t="s">
        <v>1713</v>
      </c>
      <c r="D363" s="113" t="s">
        <v>685</v>
      </c>
      <c r="E363" s="13"/>
      <c r="F363" s="33">
        <v>0</v>
      </c>
      <c r="H363" s="33">
        <f t="shared" si="383"/>
        <v>0</v>
      </c>
      <c r="I363" s="33">
        <f t="shared" si="384"/>
        <v>0</v>
      </c>
      <c r="J363" s="33">
        <f t="shared" si="385"/>
        <v>0</v>
      </c>
      <c r="K363" s="33">
        <f t="shared" si="386"/>
        <v>0</v>
      </c>
      <c r="L363" s="33">
        <f t="shared" si="387"/>
        <v>0</v>
      </c>
      <c r="M363" s="33">
        <f t="shared" si="388"/>
        <v>0</v>
      </c>
      <c r="N363" s="33"/>
      <c r="O363" s="33">
        <f t="shared" si="389"/>
        <v>0</v>
      </c>
      <c r="P363" s="33">
        <f t="shared" si="390"/>
        <v>0</v>
      </c>
      <c r="Q363" s="33">
        <f t="shared" si="391"/>
        <v>0</v>
      </c>
      <c r="R363" s="33"/>
      <c r="S363" s="33">
        <f t="shared" si="392"/>
        <v>0</v>
      </c>
      <c r="T363" s="33">
        <f t="shared" si="393"/>
        <v>0</v>
      </c>
      <c r="U363" s="33">
        <f t="shared" si="394"/>
        <v>0</v>
      </c>
      <c r="V363" s="33">
        <f t="shared" si="395"/>
        <v>0</v>
      </c>
      <c r="W363" s="33">
        <f t="shared" si="396"/>
        <v>0</v>
      </c>
      <c r="X363" s="33">
        <f t="shared" si="397"/>
        <v>0</v>
      </c>
      <c r="Y363" s="33">
        <f t="shared" si="398"/>
        <v>0</v>
      </c>
      <c r="Z363" s="33">
        <f t="shared" si="399"/>
        <v>0</v>
      </c>
      <c r="AA363" s="33">
        <f t="shared" si="400"/>
        <v>0</v>
      </c>
      <c r="AB363" s="33">
        <f t="shared" si="401"/>
        <v>0</v>
      </c>
      <c r="AC363" s="33">
        <f t="shared" si="402"/>
        <v>0</v>
      </c>
      <c r="AD363" s="33">
        <f t="shared" si="403"/>
        <v>0</v>
      </c>
      <c r="AE363" s="33"/>
      <c r="AF363" s="33">
        <f t="shared" si="404"/>
        <v>0</v>
      </c>
      <c r="AG363" s="33"/>
      <c r="AH363" s="33">
        <f t="shared" si="405"/>
        <v>0</v>
      </c>
      <c r="AI363" s="33"/>
      <c r="AJ363" s="33">
        <f t="shared" si="406"/>
        <v>0</v>
      </c>
      <c r="AK363" s="33">
        <f t="shared" si="407"/>
        <v>0</v>
      </c>
      <c r="AL363" s="30" t="str">
        <f t="shared" si="408"/>
        <v>ok</v>
      </c>
    </row>
    <row r="364" spans="1:38" x14ac:dyDescent="0.25">
      <c r="A364" s="43">
        <v>538</v>
      </c>
      <c r="B364" s="29" t="s">
        <v>1459</v>
      </c>
      <c r="C364" s="29" t="s">
        <v>1714</v>
      </c>
      <c r="D364" s="113" t="s">
        <v>685</v>
      </c>
      <c r="E364" s="13"/>
      <c r="F364" s="33">
        <f>'Jurisdictional Study'!F1333</f>
        <v>0</v>
      </c>
      <c r="H364" s="33">
        <f t="shared" si="383"/>
        <v>0</v>
      </c>
      <c r="I364" s="33">
        <f t="shared" si="384"/>
        <v>0</v>
      </c>
      <c r="J364" s="33">
        <f t="shared" si="385"/>
        <v>0</v>
      </c>
      <c r="K364" s="33">
        <f t="shared" si="386"/>
        <v>0</v>
      </c>
      <c r="L364" s="33">
        <f t="shared" si="387"/>
        <v>0</v>
      </c>
      <c r="M364" s="33">
        <f t="shared" si="388"/>
        <v>0</v>
      </c>
      <c r="N364" s="33"/>
      <c r="O364" s="33">
        <f t="shared" si="389"/>
        <v>0</v>
      </c>
      <c r="P364" s="33">
        <f t="shared" si="390"/>
        <v>0</v>
      </c>
      <c r="Q364" s="33">
        <f t="shared" si="391"/>
        <v>0</v>
      </c>
      <c r="R364" s="33"/>
      <c r="S364" s="33">
        <f t="shared" si="392"/>
        <v>0</v>
      </c>
      <c r="T364" s="33">
        <f t="shared" si="393"/>
        <v>0</v>
      </c>
      <c r="U364" s="33">
        <f t="shared" si="394"/>
        <v>0</v>
      </c>
      <c r="V364" s="33">
        <f t="shared" si="395"/>
        <v>0</v>
      </c>
      <c r="W364" s="33">
        <f t="shared" si="396"/>
        <v>0</v>
      </c>
      <c r="X364" s="33">
        <f t="shared" si="397"/>
        <v>0</v>
      </c>
      <c r="Y364" s="33">
        <f t="shared" si="398"/>
        <v>0</v>
      </c>
      <c r="Z364" s="33">
        <f t="shared" si="399"/>
        <v>0</v>
      </c>
      <c r="AA364" s="33">
        <f t="shared" si="400"/>
        <v>0</v>
      </c>
      <c r="AB364" s="33">
        <f t="shared" si="401"/>
        <v>0</v>
      </c>
      <c r="AC364" s="33">
        <f t="shared" si="402"/>
        <v>0</v>
      </c>
      <c r="AD364" s="33">
        <f t="shared" si="403"/>
        <v>0</v>
      </c>
      <c r="AE364" s="33"/>
      <c r="AF364" s="33">
        <f t="shared" si="404"/>
        <v>0</v>
      </c>
      <c r="AG364" s="33"/>
      <c r="AH364" s="33">
        <f t="shared" si="405"/>
        <v>0</v>
      </c>
      <c r="AI364" s="33"/>
      <c r="AJ364" s="33">
        <f t="shared" si="406"/>
        <v>0</v>
      </c>
      <c r="AK364" s="33">
        <f t="shared" si="407"/>
        <v>0</v>
      </c>
      <c r="AL364" s="30" t="str">
        <f t="shared" si="408"/>
        <v>ok</v>
      </c>
    </row>
    <row r="365" spans="1:38" x14ac:dyDescent="0.25">
      <c r="A365" s="29">
        <v>539</v>
      </c>
      <c r="B365" s="29" t="s">
        <v>630</v>
      </c>
      <c r="C365" s="29" t="s">
        <v>1715</v>
      </c>
      <c r="D365" s="113" t="s">
        <v>685</v>
      </c>
      <c r="E365" s="13"/>
      <c r="F365" s="33">
        <f>'Jurisdictional Study'!F1334</f>
        <v>0</v>
      </c>
      <c r="H365" s="33">
        <f t="shared" si="383"/>
        <v>0</v>
      </c>
      <c r="I365" s="33">
        <f t="shared" si="384"/>
        <v>0</v>
      </c>
      <c r="J365" s="33">
        <f t="shared" si="385"/>
        <v>0</v>
      </c>
      <c r="K365" s="33">
        <f t="shared" si="386"/>
        <v>0</v>
      </c>
      <c r="L365" s="33">
        <f t="shared" si="387"/>
        <v>0</v>
      </c>
      <c r="M365" s="33">
        <f t="shared" si="388"/>
        <v>0</v>
      </c>
      <c r="N365" s="33"/>
      <c r="O365" s="33">
        <f t="shared" si="389"/>
        <v>0</v>
      </c>
      <c r="P365" s="33">
        <f t="shared" si="390"/>
        <v>0</v>
      </c>
      <c r="Q365" s="33">
        <f t="shared" si="391"/>
        <v>0</v>
      </c>
      <c r="R365" s="33"/>
      <c r="S365" s="33">
        <f t="shared" si="392"/>
        <v>0</v>
      </c>
      <c r="T365" s="33">
        <f t="shared" si="393"/>
        <v>0</v>
      </c>
      <c r="U365" s="33">
        <f t="shared" si="394"/>
        <v>0</v>
      </c>
      <c r="V365" s="33">
        <f t="shared" si="395"/>
        <v>0</v>
      </c>
      <c r="W365" s="33">
        <f t="shared" si="396"/>
        <v>0</v>
      </c>
      <c r="X365" s="33">
        <f t="shared" si="397"/>
        <v>0</v>
      </c>
      <c r="Y365" s="33">
        <f t="shared" si="398"/>
        <v>0</v>
      </c>
      <c r="Z365" s="33">
        <f t="shared" si="399"/>
        <v>0</v>
      </c>
      <c r="AA365" s="33">
        <f t="shared" si="400"/>
        <v>0</v>
      </c>
      <c r="AB365" s="33">
        <f t="shared" si="401"/>
        <v>0</v>
      </c>
      <c r="AC365" s="33">
        <f t="shared" si="402"/>
        <v>0</v>
      </c>
      <c r="AD365" s="33">
        <f t="shared" si="403"/>
        <v>0</v>
      </c>
      <c r="AE365" s="33"/>
      <c r="AF365" s="33">
        <f t="shared" si="404"/>
        <v>0</v>
      </c>
      <c r="AG365" s="33"/>
      <c r="AH365" s="33">
        <f t="shared" si="405"/>
        <v>0</v>
      </c>
      <c r="AI365" s="33"/>
      <c r="AJ365" s="33">
        <f t="shared" si="406"/>
        <v>0</v>
      </c>
      <c r="AK365" s="33">
        <f t="shared" si="407"/>
        <v>0</v>
      </c>
      <c r="AL365" s="30" t="str">
        <f t="shared" si="408"/>
        <v>ok</v>
      </c>
    </row>
    <row r="366" spans="1:38" x14ac:dyDescent="0.25">
      <c r="A366" s="43">
        <v>540</v>
      </c>
      <c r="B366" s="29" t="s">
        <v>341</v>
      </c>
      <c r="C366" s="29" t="s">
        <v>1716</v>
      </c>
      <c r="D366" s="113" t="s">
        <v>685</v>
      </c>
      <c r="E366" s="13"/>
      <c r="F366" s="33">
        <v>0</v>
      </c>
      <c r="H366" s="33">
        <f t="shared" si="383"/>
        <v>0</v>
      </c>
      <c r="I366" s="33">
        <f t="shared" si="384"/>
        <v>0</v>
      </c>
      <c r="J366" s="33">
        <f t="shared" si="385"/>
        <v>0</v>
      </c>
      <c r="K366" s="33">
        <f t="shared" si="386"/>
        <v>0</v>
      </c>
      <c r="L366" s="33">
        <f t="shared" si="387"/>
        <v>0</v>
      </c>
      <c r="M366" s="33">
        <f t="shared" si="388"/>
        <v>0</v>
      </c>
      <c r="N366" s="33"/>
      <c r="O366" s="33">
        <f t="shared" si="389"/>
        <v>0</v>
      </c>
      <c r="P366" s="33">
        <f t="shared" si="390"/>
        <v>0</v>
      </c>
      <c r="Q366" s="33">
        <f t="shared" si="391"/>
        <v>0</v>
      </c>
      <c r="R366" s="33"/>
      <c r="S366" s="33">
        <f t="shared" si="392"/>
        <v>0</v>
      </c>
      <c r="T366" s="33">
        <f t="shared" si="393"/>
        <v>0</v>
      </c>
      <c r="U366" s="33">
        <f t="shared" si="394"/>
        <v>0</v>
      </c>
      <c r="V366" s="33">
        <f t="shared" si="395"/>
        <v>0</v>
      </c>
      <c r="W366" s="33">
        <f t="shared" si="396"/>
        <v>0</v>
      </c>
      <c r="X366" s="33">
        <f t="shared" si="397"/>
        <v>0</v>
      </c>
      <c r="Y366" s="33">
        <f t="shared" si="398"/>
        <v>0</v>
      </c>
      <c r="Z366" s="33">
        <f t="shared" si="399"/>
        <v>0</v>
      </c>
      <c r="AA366" s="33">
        <f t="shared" si="400"/>
        <v>0</v>
      </c>
      <c r="AB366" s="33">
        <f t="shared" si="401"/>
        <v>0</v>
      </c>
      <c r="AC366" s="33">
        <f t="shared" si="402"/>
        <v>0</v>
      </c>
      <c r="AD366" s="33">
        <f t="shared" si="403"/>
        <v>0</v>
      </c>
      <c r="AE366" s="33"/>
      <c r="AF366" s="33">
        <f t="shared" si="404"/>
        <v>0</v>
      </c>
      <c r="AG366" s="33"/>
      <c r="AH366" s="33">
        <f t="shared" si="405"/>
        <v>0</v>
      </c>
      <c r="AI366" s="33"/>
      <c r="AJ366" s="33">
        <f t="shared" si="406"/>
        <v>0</v>
      </c>
      <c r="AK366" s="33">
        <f t="shared" si="407"/>
        <v>0</v>
      </c>
      <c r="AL366" s="30" t="str">
        <f t="shared" si="408"/>
        <v>ok</v>
      </c>
    </row>
    <row r="367" spans="1:38" x14ac:dyDescent="0.25">
      <c r="D367" s="113"/>
      <c r="E367" s="13"/>
      <c r="F367" s="32"/>
      <c r="Y367" s="29"/>
      <c r="AK367" s="33"/>
      <c r="AL367" s="30"/>
    </row>
    <row r="368" spans="1:38" x14ac:dyDescent="0.25">
      <c r="B368" s="29" t="s">
        <v>1568</v>
      </c>
      <c r="C368" s="29" t="s">
        <v>686</v>
      </c>
      <c r="D368" s="113"/>
      <c r="E368" s="13"/>
      <c r="F368" s="32">
        <f>SUM(F361:F367)</f>
        <v>0</v>
      </c>
      <c r="H368" s="32">
        <f t="shared" ref="H368:M368" si="409">SUM(H361:H367)</f>
        <v>0</v>
      </c>
      <c r="I368" s="32">
        <f t="shared" si="409"/>
        <v>0</v>
      </c>
      <c r="J368" s="32">
        <f t="shared" si="409"/>
        <v>0</v>
      </c>
      <c r="K368" s="32">
        <f t="shared" si="409"/>
        <v>0</v>
      </c>
      <c r="L368" s="32">
        <f t="shared" si="409"/>
        <v>0</v>
      </c>
      <c r="M368" s="32">
        <f t="shared" si="409"/>
        <v>0</v>
      </c>
      <c r="O368" s="32">
        <f>SUM(O361:O367)</f>
        <v>0</v>
      </c>
      <c r="P368" s="32">
        <f>SUM(P361:P367)</f>
        <v>0</v>
      </c>
      <c r="Q368" s="32">
        <f>SUM(Q361:Q367)</f>
        <v>0</v>
      </c>
      <c r="S368" s="32">
        <f t="shared" ref="S368:AD368" si="410">SUM(S361:S367)</f>
        <v>0</v>
      </c>
      <c r="T368" s="32">
        <f t="shared" si="410"/>
        <v>0</v>
      </c>
      <c r="U368" s="32">
        <f t="shared" si="410"/>
        <v>0</v>
      </c>
      <c r="V368" s="32">
        <f t="shared" si="410"/>
        <v>0</v>
      </c>
      <c r="W368" s="32">
        <f t="shared" si="410"/>
        <v>0</v>
      </c>
      <c r="X368" s="32">
        <f t="shared" si="410"/>
        <v>0</v>
      </c>
      <c r="Y368" s="32">
        <f t="shared" si="410"/>
        <v>0</v>
      </c>
      <c r="Z368" s="32">
        <f t="shared" si="410"/>
        <v>0</v>
      </c>
      <c r="AA368" s="32">
        <f t="shared" si="410"/>
        <v>0</v>
      </c>
      <c r="AB368" s="32">
        <f t="shared" si="410"/>
        <v>0</v>
      </c>
      <c r="AC368" s="32">
        <f t="shared" si="410"/>
        <v>0</v>
      </c>
      <c r="AD368" s="32">
        <f t="shared" si="410"/>
        <v>0</v>
      </c>
      <c r="AF368" s="32">
        <f>SUM(AF361:AF367)</f>
        <v>0</v>
      </c>
      <c r="AH368" s="32">
        <f>SUM(AH361:AH367)</f>
        <v>0</v>
      </c>
      <c r="AJ368" s="32">
        <f>SUM(AJ361:AJ367)</f>
        <v>0</v>
      </c>
      <c r="AK368" s="33">
        <f>SUM(H368:AJ368)</f>
        <v>0</v>
      </c>
      <c r="AL368" s="30" t="str">
        <f>IF(ABS(AK368-F368)&lt;1,"ok","err")</f>
        <v>ok</v>
      </c>
    </row>
    <row r="369" spans="1:38" x14ac:dyDescent="0.25">
      <c r="D369" s="113"/>
      <c r="E369" s="13"/>
      <c r="F369" s="32"/>
      <c r="Y369" s="29"/>
      <c r="AL369" s="30"/>
    </row>
    <row r="370" spans="1:38" x14ac:dyDescent="0.25">
      <c r="A370" s="4" t="s">
        <v>1566</v>
      </c>
      <c r="D370" s="113"/>
      <c r="E370" s="13"/>
      <c r="F370" s="32"/>
      <c r="Y370" s="29"/>
      <c r="AL370" s="30"/>
    </row>
    <row r="371" spans="1:38" x14ac:dyDescent="0.25">
      <c r="A371" s="44">
        <v>541</v>
      </c>
      <c r="B371" s="29" t="s">
        <v>541</v>
      </c>
      <c r="C371" s="29" t="s">
        <v>1717</v>
      </c>
      <c r="D371" s="113" t="s">
        <v>696</v>
      </c>
      <c r="E371" s="13"/>
      <c r="F371" s="32">
        <f>'Jurisdictional Study'!F1335</f>
        <v>190897.51730628597</v>
      </c>
      <c r="H371" s="33">
        <f>IF(VLOOKUP($D371,$C$5:$AJ$596,6,)=0,0,((VLOOKUP($D371,$C$5:$AJ$596,6,)/VLOOKUP($D371,$C$5:$AJ$596,4,))*$F371))</f>
        <v>184136.97373424901</v>
      </c>
      <c r="I371" s="33">
        <f>IF(VLOOKUP($D371,$C$5:$AJ$596,7,)=0,0,((VLOOKUP($D371,$C$5:$AJ$596,7,)/VLOOKUP($D371,$C$5:$AJ$596,4,))*$F371))</f>
        <v>0</v>
      </c>
      <c r="J371" s="33">
        <f>IF(VLOOKUP($D371,$C$5:$AJ$596,8,)=0,0,((VLOOKUP($D371,$C$5:$AJ$596,8,)/VLOOKUP($D371,$C$5:$AJ$596,4,))*$F371))</f>
        <v>0</v>
      </c>
      <c r="K371" s="33">
        <f>IF(VLOOKUP($D371,$C$5:$AJ$596,9,)=0,0,((VLOOKUP($D371,$C$5:$AJ$596,9,)/VLOOKUP($D371,$C$5:$AJ$596,4,))*$F371))</f>
        <v>6760.5435720369733</v>
      </c>
      <c r="L371" s="33">
        <f>IF(VLOOKUP($D371,$C$5:$AJ$596,10,)=0,0,((VLOOKUP($D371,$C$5:$AJ$596,10,)/VLOOKUP($D371,$C$5:$AJ$596,4,))*$F371))</f>
        <v>0</v>
      </c>
      <c r="M371" s="33">
        <f>IF(VLOOKUP($D371,$C$5:$AJ$596,11,)=0,0,((VLOOKUP($D371,$C$5:$AJ$596,11,)/VLOOKUP($D371,$C$5:$AJ$596,4,))*$F371))</f>
        <v>0</v>
      </c>
      <c r="N371" s="33"/>
      <c r="O371" s="33">
        <f>IF(VLOOKUP($D371,$C$5:$AJ$596,13,)=0,0,((VLOOKUP($D371,$C$5:$AJ$596,13,)/VLOOKUP($D371,$C$5:$AJ$596,4,))*$F371))</f>
        <v>0</v>
      </c>
      <c r="P371" s="33">
        <f>IF(VLOOKUP($D371,$C$5:$AJ$596,14,)=0,0,((VLOOKUP($D371,$C$5:$AJ$596,14,)/VLOOKUP($D371,$C$5:$AJ$596,4,))*$F371))</f>
        <v>0</v>
      </c>
      <c r="Q371" s="33">
        <f>IF(VLOOKUP($D371,$C$5:$AJ$596,15,)=0,0,((VLOOKUP($D371,$C$5:$AJ$596,15,)/VLOOKUP($D371,$C$5:$AJ$596,4,))*$F371))</f>
        <v>0</v>
      </c>
      <c r="R371" s="33"/>
      <c r="S371" s="33">
        <f>IF(VLOOKUP($D371,$C$5:$AJ$596,17,)=0,0,((VLOOKUP($D371,$C$5:$AJ$596,17,)/VLOOKUP($D371,$C$5:$AJ$596,4,))*$F371))</f>
        <v>0</v>
      </c>
      <c r="T371" s="33">
        <f>IF(VLOOKUP($D371,$C$5:$AJ$596,18,)=0,0,((VLOOKUP($D371,$C$5:$AJ$596,18,)/VLOOKUP($D371,$C$5:$AJ$596,4,))*$F371))</f>
        <v>0</v>
      </c>
      <c r="U371" s="33">
        <f>IF(VLOOKUP($D371,$C$5:$AJ$596,19,)=0,0,((VLOOKUP($D371,$C$5:$AJ$596,19,)/VLOOKUP($D371,$C$5:$AJ$596,4,))*$F371))</f>
        <v>0</v>
      </c>
      <c r="V371" s="33">
        <f>IF(VLOOKUP($D371,$C$5:$AJ$596,20,)=0,0,((VLOOKUP($D371,$C$5:$AJ$596,20,)/VLOOKUP($D371,$C$5:$AJ$596,4,))*$F371))</f>
        <v>0</v>
      </c>
      <c r="W371" s="33">
        <f>IF(VLOOKUP($D371,$C$5:$AJ$596,21,)=0,0,((VLOOKUP($D371,$C$5:$AJ$596,21,)/VLOOKUP($D371,$C$5:$AJ$596,4,))*$F371))</f>
        <v>0</v>
      </c>
      <c r="X371" s="33">
        <f>IF(VLOOKUP($D371,$C$5:$AJ$596,22,)=0,0,((VLOOKUP($D371,$C$5:$AJ$596,22,)/VLOOKUP($D371,$C$5:$AJ$596,4,))*$F371))</f>
        <v>0</v>
      </c>
      <c r="Y371" s="33">
        <f>IF(VLOOKUP($D371,$C$5:$AJ$596,23,)=0,0,((VLOOKUP($D371,$C$5:$AJ$596,23,)/VLOOKUP($D371,$C$5:$AJ$596,4,))*$F371))</f>
        <v>0</v>
      </c>
      <c r="Z371" s="33">
        <f>IF(VLOOKUP($D371,$C$5:$AJ$596,24,)=0,0,((VLOOKUP($D371,$C$5:$AJ$596,24,)/VLOOKUP($D371,$C$5:$AJ$596,4,))*$F371))</f>
        <v>0</v>
      </c>
      <c r="AA371" s="33">
        <f>IF(VLOOKUP($D371,$C$5:$AJ$596,25,)=0,0,((VLOOKUP($D371,$C$5:$AJ$596,25,)/VLOOKUP($D371,$C$5:$AJ$596,4,))*$F371))</f>
        <v>0</v>
      </c>
      <c r="AB371" s="33">
        <f>IF(VLOOKUP($D371,$C$5:$AJ$596,26,)=0,0,((VLOOKUP($D371,$C$5:$AJ$596,26,)/VLOOKUP($D371,$C$5:$AJ$596,4,))*$F371))</f>
        <v>0</v>
      </c>
      <c r="AC371" s="33">
        <f>IF(VLOOKUP($D371,$C$5:$AJ$596,27,)=0,0,((VLOOKUP($D371,$C$5:$AJ$596,27,)/VLOOKUP($D371,$C$5:$AJ$596,4,))*$F371))</f>
        <v>0</v>
      </c>
      <c r="AD371" s="33">
        <f>IF(VLOOKUP($D371,$C$5:$AJ$596,28,)=0,0,((VLOOKUP($D371,$C$5:$AJ$596,28,)/VLOOKUP($D371,$C$5:$AJ$596,4,))*$F371))</f>
        <v>0</v>
      </c>
      <c r="AE371" s="33"/>
      <c r="AF371" s="33">
        <f>IF(VLOOKUP($D371,$C$5:$AJ$596,30,)=0,0,((VLOOKUP($D371,$C$5:$AJ$596,30,)/VLOOKUP($D371,$C$5:$AJ$596,4,))*$F371))</f>
        <v>0</v>
      </c>
      <c r="AG371" s="33"/>
      <c r="AH371" s="33">
        <f>IF(VLOOKUP($D371,$C$5:$AJ$596,32,)=0,0,((VLOOKUP($D371,$C$5:$AJ$596,32,)/VLOOKUP($D371,$C$5:$AJ$596,4,))*$F371))</f>
        <v>0</v>
      </c>
      <c r="AI371" s="33"/>
      <c r="AJ371" s="33">
        <f>IF(VLOOKUP($D371,$C$5:$AJ$596,34,)=0,0,((VLOOKUP($D371,$C$5:$AJ$596,34,)/VLOOKUP($D371,$C$5:$AJ$596,4,))*$F371))</f>
        <v>0</v>
      </c>
      <c r="AK371" s="33">
        <f>SUM(H371:AJ371)</f>
        <v>190897.517306286</v>
      </c>
      <c r="AL371" s="30" t="str">
        <f>IF(ABS(AK371-F371)&lt;1,"ok","err")</f>
        <v>ok</v>
      </c>
    </row>
    <row r="372" spans="1:38" x14ac:dyDescent="0.25">
      <c r="A372" s="44">
        <v>542</v>
      </c>
      <c r="B372" s="29" t="s">
        <v>540</v>
      </c>
      <c r="C372" s="29" t="s">
        <v>1718</v>
      </c>
      <c r="D372" s="113" t="s">
        <v>685</v>
      </c>
      <c r="E372" s="13"/>
      <c r="F372" s="33">
        <f>'Jurisdictional Study'!F1336</f>
        <v>55657.039592624613</v>
      </c>
      <c r="H372" s="33">
        <f>IF(VLOOKUP($D372,$C$5:$AJ$596,6,)=0,0,((VLOOKUP($D372,$C$5:$AJ$596,6,)/VLOOKUP($D372,$C$5:$AJ$596,4,))*$F372))</f>
        <v>55657.039592624613</v>
      </c>
      <c r="I372" s="33">
        <f>IF(VLOOKUP($D372,$C$5:$AJ$596,7,)=0,0,((VLOOKUP($D372,$C$5:$AJ$596,7,)/VLOOKUP($D372,$C$5:$AJ$596,4,))*$F372))</f>
        <v>0</v>
      </c>
      <c r="J372" s="33">
        <f>IF(VLOOKUP($D372,$C$5:$AJ$596,8,)=0,0,((VLOOKUP($D372,$C$5:$AJ$596,8,)/VLOOKUP($D372,$C$5:$AJ$596,4,))*$F372))</f>
        <v>0</v>
      </c>
      <c r="K372" s="33">
        <f>IF(VLOOKUP($D372,$C$5:$AJ$596,9,)=0,0,((VLOOKUP($D372,$C$5:$AJ$596,9,)/VLOOKUP($D372,$C$5:$AJ$596,4,))*$F372))</f>
        <v>0</v>
      </c>
      <c r="L372" s="33">
        <f>IF(VLOOKUP($D372,$C$5:$AJ$596,10,)=0,0,((VLOOKUP($D372,$C$5:$AJ$596,10,)/VLOOKUP($D372,$C$5:$AJ$596,4,))*$F372))</f>
        <v>0</v>
      </c>
      <c r="M372" s="33">
        <f>IF(VLOOKUP($D372,$C$5:$AJ$596,11,)=0,0,((VLOOKUP($D372,$C$5:$AJ$596,11,)/VLOOKUP($D372,$C$5:$AJ$596,4,))*$F372))</f>
        <v>0</v>
      </c>
      <c r="N372" s="33"/>
      <c r="O372" s="33">
        <f>IF(VLOOKUP($D372,$C$5:$AJ$596,13,)=0,0,((VLOOKUP($D372,$C$5:$AJ$596,13,)/VLOOKUP($D372,$C$5:$AJ$596,4,))*$F372))</f>
        <v>0</v>
      </c>
      <c r="P372" s="33">
        <f>IF(VLOOKUP($D372,$C$5:$AJ$596,14,)=0,0,((VLOOKUP($D372,$C$5:$AJ$596,14,)/VLOOKUP($D372,$C$5:$AJ$596,4,))*$F372))</f>
        <v>0</v>
      </c>
      <c r="Q372" s="33">
        <f>IF(VLOOKUP($D372,$C$5:$AJ$596,15,)=0,0,((VLOOKUP($D372,$C$5:$AJ$596,15,)/VLOOKUP($D372,$C$5:$AJ$596,4,))*$F372))</f>
        <v>0</v>
      </c>
      <c r="R372" s="33"/>
      <c r="S372" s="33">
        <f>IF(VLOOKUP($D372,$C$5:$AJ$596,17,)=0,0,((VLOOKUP($D372,$C$5:$AJ$596,17,)/VLOOKUP($D372,$C$5:$AJ$596,4,))*$F372))</f>
        <v>0</v>
      </c>
      <c r="T372" s="33">
        <f>IF(VLOOKUP($D372,$C$5:$AJ$596,18,)=0,0,((VLOOKUP($D372,$C$5:$AJ$596,18,)/VLOOKUP($D372,$C$5:$AJ$596,4,))*$F372))</f>
        <v>0</v>
      </c>
      <c r="U372" s="33">
        <f>IF(VLOOKUP($D372,$C$5:$AJ$596,19,)=0,0,((VLOOKUP($D372,$C$5:$AJ$596,19,)/VLOOKUP($D372,$C$5:$AJ$596,4,))*$F372))</f>
        <v>0</v>
      </c>
      <c r="V372" s="33">
        <f>IF(VLOOKUP($D372,$C$5:$AJ$596,20,)=0,0,((VLOOKUP($D372,$C$5:$AJ$596,20,)/VLOOKUP($D372,$C$5:$AJ$596,4,))*$F372))</f>
        <v>0</v>
      </c>
      <c r="W372" s="33">
        <f>IF(VLOOKUP($D372,$C$5:$AJ$596,21,)=0,0,((VLOOKUP($D372,$C$5:$AJ$596,21,)/VLOOKUP($D372,$C$5:$AJ$596,4,))*$F372))</f>
        <v>0</v>
      </c>
      <c r="X372" s="33">
        <f>IF(VLOOKUP($D372,$C$5:$AJ$596,22,)=0,0,((VLOOKUP($D372,$C$5:$AJ$596,22,)/VLOOKUP($D372,$C$5:$AJ$596,4,))*$F372))</f>
        <v>0</v>
      </c>
      <c r="Y372" s="33">
        <f>IF(VLOOKUP($D372,$C$5:$AJ$596,23,)=0,0,((VLOOKUP($D372,$C$5:$AJ$596,23,)/VLOOKUP($D372,$C$5:$AJ$596,4,))*$F372))</f>
        <v>0</v>
      </c>
      <c r="Z372" s="33">
        <f>IF(VLOOKUP($D372,$C$5:$AJ$596,24,)=0,0,((VLOOKUP($D372,$C$5:$AJ$596,24,)/VLOOKUP($D372,$C$5:$AJ$596,4,))*$F372))</f>
        <v>0</v>
      </c>
      <c r="AA372" s="33">
        <f>IF(VLOOKUP($D372,$C$5:$AJ$596,25,)=0,0,((VLOOKUP($D372,$C$5:$AJ$596,25,)/VLOOKUP($D372,$C$5:$AJ$596,4,))*$F372))</f>
        <v>0</v>
      </c>
      <c r="AB372" s="33">
        <f>IF(VLOOKUP($D372,$C$5:$AJ$596,26,)=0,0,((VLOOKUP($D372,$C$5:$AJ$596,26,)/VLOOKUP($D372,$C$5:$AJ$596,4,))*$F372))</f>
        <v>0</v>
      </c>
      <c r="AC372" s="33">
        <f>IF(VLOOKUP($D372,$C$5:$AJ$596,27,)=0,0,((VLOOKUP($D372,$C$5:$AJ$596,27,)/VLOOKUP($D372,$C$5:$AJ$596,4,))*$F372))</f>
        <v>0</v>
      </c>
      <c r="AD372" s="33">
        <f>IF(VLOOKUP($D372,$C$5:$AJ$596,28,)=0,0,((VLOOKUP($D372,$C$5:$AJ$596,28,)/VLOOKUP($D372,$C$5:$AJ$596,4,))*$F372))</f>
        <v>0</v>
      </c>
      <c r="AE372" s="33"/>
      <c r="AF372" s="33">
        <f>IF(VLOOKUP($D372,$C$5:$AJ$596,30,)=0,0,((VLOOKUP($D372,$C$5:$AJ$596,30,)/VLOOKUP($D372,$C$5:$AJ$596,4,))*$F372))</f>
        <v>0</v>
      </c>
      <c r="AG372" s="33"/>
      <c r="AH372" s="33">
        <f>IF(VLOOKUP($D372,$C$5:$AJ$596,32,)=0,0,((VLOOKUP($D372,$C$5:$AJ$596,32,)/VLOOKUP($D372,$C$5:$AJ$596,4,))*$F372))</f>
        <v>0</v>
      </c>
      <c r="AI372" s="33"/>
      <c r="AJ372" s="33">
        <f>IF(VLOOKUP($D372,$C$5:$AJ$596,34,)=0,0,((VLOOKUP($D372,$C$5:$AJ$596,34,)/VLOOKUP($D372,$C$5:$AJ$596,4,))*$F372))</f>
        <v>0</v>
      </c>
      <c r="AK372" s="33">
        <f>SUM(H372:AJ372)</f>
        <v>55657.039592624613</v>
      </c>
      <c r="AL372" s="30" t="str">
        <f>IF(ABS(AK372-F372)&lt;1,"ok","err")</f>
        <v>ok</v>
      </c>
    </row>
    <row r="373" spans="1:38" x14ac:dyDescent="0.25">
      <c r="A373" s="44">
        <v>543</v>
      </c>
      <c r="B373" s="29" t="s">
        <v>1567</v>
      </c>
      <c r="C373" s="29" t="s">
        <v>1719</v>
      </c>
      <c r="D373" s="113" t="s">
        <v>685</v>
      </c>
      <c r="E373" s="13"/>
      <c r="F373" s="33">
        <f>'Jurisdictional Study'!F1337</f>
        <v>1223.8279866714799</v>
      </c>
      <c r="H373" s="33">
        <f>IF(VLOOKUP($D373,$C$5:$AJ$596,6,)=0,0,((VLOOKUP($D373,$C$5:$AJ$596,6,)/VLOOKUP($D373,$C$5:$AJ$596,4,))*$F373))</f>
        <v>1223.8279866714799</v>
      </c>
      <c r="I373" s="33">
        <f>IF(VLOOKUP($D373,$C$5:$AJ$596,7,)=0,0,((VLOOKUP($D373,$C$5:$AJ$596,7,)/VLOOKUP($D373,$C$5:$AJ$596,4,))*$F373))</f>
        <v>0</v>
      </c>
      <c r="J373" s="33">
        <f>IF(VLOOKUP($D373,$C$5:$AJ$596,8,)=0,0,((VLOOKUP($D373,$C$5:$AJ$596,8,)/VLOOKUP($D373,$C$5:$AJ$596,4,))*$F373))</f>
        <v>0</v>
      </c>
      <c r="K373" s="33">
        <f>IF(VLOOKUP($D373,$C$5:$AJ$596,9,)=0,0,((VLOOKUP($D373,$C$5:$AJ$596,9,)/VLOOKUP($D373,$C$5:$AJ$596,4,))*$F373))</f>
        <v>0</v>
      </c>
      <c r="L373" s="33">
        <f>IF(VLOOKUP($D373,$C$5:$AJ$596,10,)=0,0,((VLOOKUP($D373,$C$5:$AJ$596,10,)/VLOOKUP($D373,$C$5:$AJ$596,4,))*$F373))</f>
        <v>0</v>
      </c>
      <c r="M373" s="33">
        <f>IF(VLOOKUP($D373,$C$5:$AJ$596,11,)=0,0,((VLOOKUP($D373,$C$5:$AJ$596,11,)/VLOOKUP($D373,$C$5:$AJ$596,4,))*$F373))</f>
        <v>0</v>
      </c>
      <c r="N373" s="33"/>
      <c r="O373" s="33">
        <f>IF(VLOOKUP($D373,$C$5:$AJ$596,13,)=0,0,((VLOOKUP($D373,$C$5:$AJ$596,13,)/VLOOKUP($D373,$C$5:$AJ$596,4,))*$F373))</f>
        <v>0</v>
      </c>
      <c r="P373" s="33">
        <f>IF(VLOOKUP($D373,$C$5:$AJ$596,14,)=0,0,((VLOOKUP($D373,$C$5:$AJ$596,14,)/VLOOKUP($D373,$C$5:$AJ$596,4,))*$F373))</f>
        <v>0</v>
      </c>
      <c r="Q373" s="33">
        <f>IF(VLOOKUP($D373,$C$5:$AJ$596,15,)=0,0,((VLOOKUP($D373,$C$5:$AJ$596,15,)/VLOOKUP($D373,$C$5:$AJ$596,4,))*$F373))</f>
        <v>0</v>
      </c>
      <c r="R373" s="33"/>
      <c r="S373" s="33">
        <f>IF(VLOOKUP($D373,$C$5:$AJ$596,17,)=0,0,((VLOOKUP($D373,$C$5:$AJ$596,17,)/VLOOKUP($D373,$C$5:$AJ$596,4,))*$F373))</f>
        <v>0</v>
      </c>
      <c r="T373" s="33">
        <f>IF(VLOOKUP($D373,$C$5:$AJ$596,18,)=0,0,((VLOOKUP($D373,$C$5:$AJ$596,18,)/VLOOKUP($D373,$C$5:$AJ$596,4,))*$F373))</f>
        <v>0</v>
      </c>
      <c r="U373" s="33">
        <f>IF(VLOOKUP($D373,$C$5:$AJ$596,19,)=0,0,((VLOOKUP($D373,$C$5:$AJ$596,19,)/VLOOKUP($D373,$C$5:$AJ$596,4,))*$F373))</f>
        <v>0</v>
      </c>
      <c r="V373" s="33">
        <f>IF(VLOOKUP($D373,$C$5:$AJ$596,20,)=0,0,((VLOOKUP($D373,$C$5:$AJ$596,20,)/VLOOKUP($D373,$C$5:$AJ$596,4,))*$F373))</f>
        <v>0</v>
      </c>
      <c r="W373" s="33">
        <f>IF(VLOOKUP($D373,$C$5:$AJ$596,21,)=0,0,((VLOOKUP($D373,$C$5:$AJ$596,21,)/VLOOKUP($D373,$C$5:$AJ$596,4,))*$F373))</f>
        <v>0</v>
      </c>
      <c r="X373" s="33">
        <f>IF(VLOOKUP($D373,$C$5:$AJ$596,22,)=0,0,((VLOOKUP($D373,$C$5:$AJ$596,22,)/VLOOKUP($D373,$C$5:$AJ$596,4,))*$F373))</f>
        <v>0</v>
      </c>
      <c r="Y373" s="33">
        <f>IF(VLOOKUP($D373,$C$5:$AJ$596,23,)=0,0,((VLOOKUP($D373,$C$5:$AJ$596,23,)/VLOOKUP($D373,$C$5:$AJ$596,4,))*$F373))</f>
        <v>0</v>
      </c>
      <c r="Z373" s="33">
        <f>IF(VLOOKUP($D373,$C$5:$AJ$596,24,)=0,0,((VLOOKUP($D373,$C$5:$AJ$596,24,)/VLOOKUP($D373,$C$5:$AJ$596,4,))*$F373))</f>
        <v>0</v>
      </c>
      <c r="AA373" s="33">
        <f>IF(VLOOKUP($D373,$C$5:$AJ$596,25,)=0,0,((VLOOKUP($D373,$C$5:$AJ$596,25,)/VLOOKUP($D373,$C$5:$AJ$596,4,))*$F373))</f>
        <v>0</v>
      </c>
      <c r="AB373" s="33">
        <f>IF(VLOOKUP($D373,$C$5:$AJ$596,26,)=0,0,((VLOOKUP($D373,$C$5:$AJ$596,26,)/VLOOKUP($D373,$C$5:$AJ$596,4,))*$F373))</f>
        <v>0</v>
      </c>
      <c r="AC373" s="33">
        <f>IF(VLOOKUP($D373,$C$5:$AJ$596,27,)=0,0,((VLOOKUP($D373,$C$5:$AJ$596,27,)/VLOOKUP($D373,$C$5:$AJ$596,4,))*$F373))</f>
        <v>0</v>
      </c>
      <c r="AD373" s="33">
        <f>IF(VLOOKUP($D373,$C$5:$AJ$596,28,)=0,0,((VLOOKUP($D373,$C$5:$AJ$596,28,)/VLOOKUP($D373,$C$5:$AJ$596,4,))*$F373))</f>
        <v>0</v>
      </c>
      <c r="AE373" s="33"/>
      <c r="AF373" s="33">
        <f>IF(VLOOKUP($D373,$C$5:$AJ$596,30,)=0,0,((VLOOKUP($D373,$C$5:$AJ$596,30,)/VLOOKUP($D373,$C$5:$AJ$596,4,))*$F373))</f>
        <v>0</v>
      </c>
      <c r="AG373" s="33"/>
      <c r="AH373" s="33">
        <f>IF(VLOOKUP($D373,$C$5:$AJ$596,32,)=0,0,((VLOOKUP($D373,$C$5:$AJ$596,32,)/VLOOKUP($D373,$C$5:$AJ$596,4,))*$F373))</f>
        <v>0</v>
      </c>
      <c r="AI373" s="33"/>
      <c r="AJ373" s="33">
        <f>IF(VLOOKUP($D373,$C$5:$AJ$596,34,)=0,0,((VLOOKUP($D373,$C$5:$AJ$596,34,)/VLOOKUP($D373,$C$5:$AJ$596,4,))*$F373))</f>
        <v>0</v>
      </c>
      <c r="AK373" s="33">
        <f>SUM(H373:AJ373)</f>
        <v>1223.8279866714799</v>
      </c>
      <c r="AL373" s="30" t="str">
        <f>IF(ABS(AK373-F373)&lt;1,"ok","err")</f>
        <v>ok</v>
      </c>
    </row>
    <row r="374" spans="1:38" x14ac:dyDescent="0.25">
      <c r="A374" s="29">
        <v>544</v>
      </c>
      <c r="B374" s="29" t="s">
        <v>1469</v>
      </c>
      <c r="C374" s="29" t="s">
        <v>1720</v>
      </c>
      <c r="D374" s="113" t="s">
        <v>104</v>
      </c>
      <c r="E374" s="13"/>
      <c r="F374" s="33">
        <f>'Jurisdictional Study'!F1338</f>
        <v>1369.7891226965189</v>
      </c>
      <c r="H374" s="33">
        <f>IF(VLOOKUP($D374,$C$5:$AJ$596,6,)=0,0,((VLOOKUP($D374,$C$5:$AJ$596,6,)/VLOOKUP($D374,$C$5:$AJ$596,4,))*$F374))</f>
        <v>0</v>
      </c>
      <c r="I374" s="33">
        <f>IF(VLOOKUP($D374,$C$5:$AJ$596,7,)=0,0,((VLOOKUP($D374,$C$5:$AJ$596,7,)/VLOOKUP($D374,$C$5:$AJ$596,4,))*$F374))</f>
        <v>0</v>
      </c>
      <c r="J374" s="33">
        <f>IF(VLOOKUP($D374,$C$5:$AJ$596,8,)=0,0,((VLOOKUP($D374,$C$5:$AJ$596,8,)/VLOOKUP($D374,$C$5:$AJ$596,4,))*$F374))</f>
        <v>0</v>
      </c>
      <c r="K374" s="33">
        <f>IF(VLOOKUP($D374,$C$5:$AJ$596,9,)=0,0,((VLOOKUP($D374,$C$5:$AJ$596,9,)/VLOOKUP($D374,$C$5:$AJ$596,4,))*$F374))</f>
        <v>1369.7891226965189</v>
      </c>
      <c r="L374" s="33">
        <f>IF(VLOOKUP($D374,$C$5:$AJ$596,10,)=0,0,((VLOOKUP($D374,$C$5:$AJ$596,10,)/VLOOKUP($D374,$C$5:$AJ$596,4,))*$F374))</f>
        <v>0</v>
      </c>
      <c r="M374" s="33">
        <f>IF(VLOOKUP($D374,$C$5:$AJ$596,11,)=0,0,((VLOOKUP($D374,$C$5:$AJ$596,11,)/VLOOKUP($D374,$C$5:$AJ$596,4,))*$F374))</f>
        <v>0</v>
      </c>
      <c r="N374" s="33"/>
      <c r="O374" s="33">
        <f>IF(VLOOKUP($D374,$C$5:$AJ$596,13,)=0,0,((VLOOKUP($D374,$C$5:$AJ$596,13,)/VLOOKUP($D374,$C$5:$AJ$596,4,))*$F374))</f>
        <v>0</v>
      </c>
      <c r="P374" s="33">
        <f>IF(VLOOKUP($D374,$C$5:$AJ$596,14,)=0,0,((VLOOKUP($D374,$C$5:$AJ$596,14,)/VLOOKUP($D374,$C$5:$AJ$596,4,))*$F374))</f>
        <v>0</v>
      </c>
      <c r="Q374" s="33">
        <f>IF(VLOOKUP($D374,$C$5:$AJ$596,15,)=0,0,((VLOOKUP($D374,$C$5:$AJ$596,15,)/VLOOKUP($D374,$C$5:$AJ$596,4,))*$F374))</f>
        <v>0</v>
      </c>
      <c r="R374" s="33"/>
      <c r="S374" s="33">
        <f>IF(VLOOKUP($D374,$C$5:$AJ$596,17,)=0,0,((VLOOKUP($D374,$C$5:$AJ$596,17,)/VLOOKUP($D374,$C$5:$AJ$596,4,))*$F374))</f>
        <v>0</v>
      </c>
      <c r="T374" s="33">
        <f>IF(VLOOKUP($D374,$C$5:$AJ$596,18,)=0,0,((VLOOKUP($D374,$C$5:$AJ$596,18,)/VLOOKUP($D374,$C$5:$AJ$596,4,))*$F374))</f>
        <v>0</v>
      </c>
      <c r="U374" s="33">
        <f>IF(VLOOKUP($D374,$C$5:$AJ$596,19,)=0,0,((VLOOKUP($D374,$C$5:$AJ$596,19,)/VLOOKUP($D374,$C$5:$AJ$596,4,))*$F374))</f>
        <v>0</v>
      </c>
      <c r="V374" s="33">
        <f>IF(VLOOKUP($D374,$C$5:$AJ$596,20,)=0,0,((VLOOKUP($D374,$C$5:$AJ$596,20,)/VLOOKUP($D374,$C$5:$AJ$596,4,))*$F374))</f>
        <v>0</v>
      </c>
      <c r="W374" s="33">
        <f>IF(VLOOKUP($D374,$C$5:$AJ$596,21,)=0,0,((VLOOKUP($D374,$C$5:$AJ$596,21,)/VLOOKUP($D374,$C$5:$AJ$596,4,))*$F374))</f>
        <v>0</v>
      </c>
      <c r="X374" s="33">
        <f>IF(VLOOKUP($D374,$C$5:$AJ$596,22,)=0,0,((VLOOKUP($D374,$C$5:$AJ$596,22,)/VLOOKUP($D374,$C$5:$AJ$596,4,))*$F374))</f>
        <v>0</v>
      </c>
      <c r="Y374" s="33">
        <f>IF(VLOOKUP($D374,$C$5:$AJ$596,23,)=0,0,((VLOOKUP($D374,$C$5:$AJ$596,23,)/VLOOKUP($D374,$C$5:$AJ$596,4,))*$F374))</f>
        <v>0</v>
      </c>
      <c r="Z374" s="33">
        <f>IF(VLOOKUP($D374,$C$5:$AJ$596,24,)=0,0,((VLOOKUP($D374,$C$5:$AJ$596,24,)/VLOOKUP($D374,$C$5:$AJ$596,4,))*$F374))</f>
        <v>0</v>
      </c>
      <c r="AA374" s="33">
        <f>IF(VLOOKUP($D374,$C$5:$AJ$596,25,)=0,0,((VLOOKUP($D374,$C$5:$AJ$596,25,)/VLOOKUP($D374,$C$5:$AJ$596,4,))*$F374))</f>
        <v>0</v>
      </c>
      <c r="AB374" s="33">
        <f>IF(VLOOKUP($D374,$C$5:$AJ$596,26,)=0,0,((VLOOKUP($D374,$C$5:$AJ$596,26,)/VLOOKUP($D374,$C$5:$AJ$596,4,))*$F374))</f>
        <v>0</v>
      </c>
      <c r="AC374" s="33">
        <f>IF(VLOOKUP($D374,$C$5:$AJ$596,27,)=0,0,((VLOOKUP($D374,$C$5:$AJ$596,27,)/VLOOKUP($D374,$C$5:$AJ$596,4,))*$F374))</f>
        <v>0</v>
      </c>
      <c r="AD374" s="33">
        <f>IF(VLOOKUP($D374,$C$5:$AJ$596,28,)=0,0,((VLOOKUP($D374,$C$5:$AJ$596,28,)/VLOOKUP($D374,$C$5:$AJ$596,4,))*$F374))</f>
        <v>0</v>
      </c>
      <c r="AE374" s="33"/>
      <c r="AF374" s="33">
        <f>IF(VLOOKUP($D374,$C$5:$AJ$596,30,)=0,0,((VLOOKUP($D374,$C$5:$AJ$596,30,)/VLOOKUP($D374,$C$5:$AJ$596,4,))*$F374))</f>
        <v>0</v>
      </c>
      <c r="AG374" s="33"/>
      <c r="AH374" s="33">
        <f>IF(VLOOKUP($D374,$C$5:$AJ$596,32,)=0,0,((VLOOKUP($D374,$C$5:$AJ$596,32,)/VLOOKUP($D374,$C$5:$AJ$596,4,))*$F374))</f>
        <v>0</v>
      </c>
      <c r="AI374" s="33"/>
      <c r="AJ374" s="33">
        <f>IF(VLOOKUP($D374,$C$5:$AJ$596,34,)=0,0,((VLOOKUP($D374,$C$5:$AJ$596,34,)/VLOOKUP($D374,$C$5:$AJ$596,4,))*$F374))</f>
        <v>0</v>
      </c>
      <c r="AK374" s="33">
        <f>SUM(H374:AJ374)</f>
        <v>1369.7891226965189</v>
      </c>
      <c r="AL374" s="30" t="str">
        <f>IF(ABS(AK374-F374)&lt;1,"ok","err")</f>
        <v>ok</v>
      </c>
    </row>
    <row r="375" spans="1:38" x14ac:dyDescent="0.25">
      <c r="A375" s="29">
        <v>545</v>
      </c>
      <c r="B375" s="29" t="s">
        <v>1573</v>
      </c>
      <c r="C375" s="29" t="s">
        <v>1721</v>
      </c>
      <c r="D375" s="113" t="s">
        <v>104</v>
      </c>
      <c r="E375" s="13"/>
      <c r="F375" s="33">
        <f>'Jurisdictional Study'!F1339</f>
        <v>718.57790043096077</v>
      </c>
      <c r="H375" s="33">
        <f>IF(VLOOKUP($D375,$C$5:$AJ$596,6,)=0,0,((VLOOKUP($D375,$C$5:$AJ$596,6,)/VLOOKUP($D375,$C$5:$AJ$596,4,))*$F375))</f>
        <v>0</v>
      </c>
      <c r="I375" s="33">
        <f>IF(VLOOKUP($D375,$C$5:$AJ$596,7,)=0,0,((VLOOKUP($D375,$C$5:$AJ$596,7,)/VLOOKUP($D375,$C$5:$AJ$596,4,))*$F375))</f>
        <v>0</v>
      </c>
      <c r="J375" s="33">
        <f>IF(VLOOKUP($D375,$C$5:$AJ$596,8,)=0,0,((VLOOKUP($D375,$C$5:$AJ$596,8,)/VLOOKUP($D375,$C$5:$AJ$596,4,))*$F375))</f>
        <v>0</v>
      </c>
      <c r="K375" s="33">
        <f>IF(VLOOKUP($D375,$C$5:$AJ$596,9,)=0,0,((VLOOKUP($D375,$C$5:$AJ$596,9,)/VLOOKUP($D375,$C$5:$AJ$596,4,))*$F375))</f>
        <v>718.57790043096077</v>
      </c>
      <c r="L375" s="33">
        <f>IF(VLOOKUP($D375,$C$5:$AJ$596,10,)=0,0,((VLOOKUP($D375,$C$5:$AJ$596,10,)/VLOOKUP($D375,$C$5:$AJ$596,4,))*$F375))</f>
        <v>0</v>
      </c>
      <c r="M375" s="33">
        <f>IF(VLOOKUP($D375,$C$5:$AJ$596,11,)=0,0,((VLOOKUP($D375,$C$5:$AJ$596,11,)/VLOOKUP($D375,$C$5:$AJ$596,4,))*$F375))</f>
        <v>0</v>
      </c>
      <c r="N375" s="33"/>
      <c r="O375" s="33">
        <f>IF(VLOOKUP($D375,$C$5:$AJ$596,13,)=0,0,((VLOOKUP($D375,$C$5:$AJ$596,13,)/VLOOKUP($D375,$C$5:$AJ$596,4,))*$F375))</f>
        <v>0</v>
      </c>
      <c r="P375" s="33">
        <f>IF(VLOOKUP($D375,$C$5:$AJ$596,14,)=0,0,((VLOOKUP($D375,$C$5:$AJ$596,14,)/VLOOKUP($D375,$C$5:$AJ$596,4,))*$F375))</f>
        <v>0</v>
      </c>
      <c r="Q375" s="33">
        <f>IF(VLOOKUP($D375,$C$5:$AJ$596,15,)=0,0,((VLOOKUP($D375,$C$5:$AJ$596,15,)/VLOOKUP($D375,$C$5:$AJ$596,4,))*$F375))</f>
        <v>0</v>
      </c>
      <c r="R375" s="33"/>
      <c r="S375" s="33">
        <f>IF(VLOOKUP($D375,$C$5:$AJ$596,17,)=0,0,((VLOOKUP($D375,$C$5:$AJ$596,17,)/VLOOKUP($D375,$C$5:$AJ$596,4,))*$F375))</f>
        <v>0</v>
      </c>
      <c r="T375" s="33">
        <f>IF(VLOOKUP($D375,$C$5:$AJ$596,18,)=0,0,((VLOOKUP($D375,$C$5:$AJ$596,18,)/VLOOKUP($D375,$C$5:$AJ$596,4,))*$F375))</f>
        <v>0</v>
      </c>
      <c r="U375" s="33">
        <f>IF(VLOOKUP($D375,$C$5:$AJ$596,19,)=0,0,((VLOOKUP($D375,$C$5:$AJ$596,19,)/VLOOKUP($D375,$C$5:$AJ$596,4,))*$F375))</f>
        <v>0</v>
      </c>
      <c r="V375" s="33">
        <f>IF(VLOOKUP($D375,$C$5:$AJ$596,20,)=0,0,((VLOOKUP($D375,$C$5:$AJ$596,20,)/VLOOKUP($D375,$C$5:$AJ$596,4,))*$F375))</f>
        <v>0</v>
      </c>
      <c r="W375" s="33">
        <f>IF(VLOOKUP($D375,$C$5:$AJ$596,21,)=0,0,((VLOOKUP($D375,$C$5:$AJ$596,21,)/VLOOKUP($D375,$C$5:$AJ$596,4,))*$F375))</f>
        <v>0</v>
      </c>
      <c r="X375" s="33">
        <f>IF(VLOOKUP($D375,$C$5:$AJ$596,22,)=0,0,((VLOOKUP($D375,$C$5:$AJ$596,22,)/VLOOKUP($D375,$C$5:$AJ$596,4,))*$F375))</f>
        <v>0</v>
      </c>
      <c r="Y375" s="33">
        <f>IF(VLOOKUP($D375,$C$5:$AJ$596,23,)=0,0,((VLOOKUP($D375,$C$5:$AJ$596,23,)/VLOOKUP($D375,$C$5:$AJ$596,4,))*$F375))</f>
        <v>0</v>
      </c>
      <c r="Z375" s="33">
        <f>IF(VLOOKUP($D375,$C$5:$AJ$596,24,)=0,0,((VLOOKUP($D375,$C$5:$AJ$596,24,)/VLOOKUP($D375,$C$5:$AJ$596,4,))*$F375))</f>
        <v>0</v>
      </c>
      <c r="AA375" s="33">
        <f>IF(VLOOKUP($D375,$C$5:$AJ$596,25,)=0,0,((VLOOKUP($D375,$C$5:$AJ$596,25,)/VLOOKUP($D375,$C$5:$AJ$596,4,))*$F375))</f>
        <v>0</v>
      </c>
      <c r="AB375" s="33">
        <f>IF(VLOOKUP($D375,$C$5:$AJ$596,26,)=0,0,((VLOOKUP($D375,$C$5:$AJ$596,26,)/VLOOKUP($D375,$C$5:$AJ$596,4,))*$F375))</f>
        <v>0</v>
      </c>
      <c r="AC375" s="33">
        <f>IF(VLOOKUP($D375,$C$5:$AJ$596,27,)=0,0,((VLOOKUP($D375,$C$5:$AJ$596,27,)/VLOOKUP($D375,$C$5:$AJ$596,4,))*$F375))</f>
        <v>0</v>
      </c>
      <c r="AD375" s="33">
        <f>IF(VLOOKUP($D375,$C$5:$AJ$596,28,)=0,0,((VLOOKUP($D375,$C$5:$AJ$596,28,)/VLOOKUP($D375,$C$5:$AJ$596,4,))*$F375))</f>
        <v>0</v>
      </c>
      <c r="AE375" s="33"/>
      <c r="AF375" s="33">
        <f>IF(VLOOKUP($D375,$C$5:$AJ$596,30,)=0,0,((VLOOKUP($D375,$C$5:$AJ$596,30,)/VLOOKUP($D375,$C$5:$AJ$596,4,))*$F375))</f>
        <v>0</v>
      </c>
      <c r="AG375" s="33"/>
      <c r="AH375" s="33">
        <f>IF(VLOOKUP($D375,$C$5:$AJ$596,32,)=0,0,((VLOOKUP($D375,$C$5:$AJ$596,32,)/VLOOKUP($D375,$C$5:$AJ$596,4,))*$F375))</f>
        <v>0</v>
      </c>
      <c r="AI375" s="33"/>
      <c r="AJ375" s="33">
        <f>IF(VLOOKUP($D375,$C$5:$AJ$596,34,)=0,0,((VLOOKUP($D375,$C$5:$AJ$596,34,)/VLOOKUP($D375,$C$5:$AJ$596,4,))*$F375))</f>
        <v>0</v>
      </c>
      <c r="AK375" s="33">
        <f>SUM(H375:AJ375)</f>
        <v>718.57790043096077</v>
      </c>
      <c r="AL375" s="30" t="str">
        <f>IF(ABS(AK375-F375)&lt;1,"ok","err")</f>
        <v>ok</v>
      </c>
    </row>
    <row r="376" spans="1:38" x14ac:dyDescent="0.25">
      <c r="D376" s="113"/>
      <c r="E376" s="13"/>
      <c r="F376" s="32"/>
      <c r="Y376" s="29"/>
      <c r="AL376" s="30"/>
    </row>
    <row r="377" spans="1:38" x14ac:dyDescent="0.25">
      <c r="B377" s="29" t="s">
        <v>1570</v>
      </c>
      <c r="C377" s="29" t="s">
        <v>687</v>
      </c>
      <c r="D377" s="113"/>
      <c r="E377" s="13"/>
      <c r="F377" s="32">
        <f>SUM(F371:F376)</f>
        <v>249866.75190870956</v>
      </c>
      <c r="H377" s="32">
        <f t="shared" ref="H377:M377" si="411">SUM(H371:H376)</f>
        <v>241017.8413135451</v>
      </c>
      <c r="I377" s="32">
        <f t="shared" si="411"/>
        <v>0</v>
      </c>
      <c r="J377" s="32">
        <f t="shared" si="411"/>
        <v>0</v>
      </c>
      <c r="K377" s="32">
        <f t="shared" si="411"/>
        <v>8848.9105951644524</v>
      </c>
      <c r="L377" s="32">
        <f t="shared" si="411"/>
        <v>0</v>
      </c>
      <c r="M377" s="32">
        <f t="shared" si="411"/>
        <v>0</v>
      </c>
      <c r="O377" s="32">
        <f>SUM(O371:O376)</f>
        <v>0</v>
      </c>
      <c r="P377" s="32">
        <f>SUM(P371:P376)</f>
        <v>0</v>
      </c>
      <c r="Q377" s="32">
        <f>SUM(Q371:Q376)</f>
        <v>0</v>
      </c>
      <c r="S377" s="32">
        <f t="shared" ref="S377:AD377" si="412">SUM(S371:S376)</f>
        <v>0</v>
      </c>
      <c r="T377" s="32">
        <f t="shared" si="412"/>
        <v>0</v>
      </c>
      <c r="U377" s="32">
        <f t="shared" si="412"/>
        <v>0</v>
      </c>
      <c r="V377" s="32">
        <f t="shared" si="412"/>
        <v>0</v>
      </c>
      <c r="W377" s="32">
        <f t="shared" si="412"/>
        <v>0</v>
      </c>
      <c r="X377" s="32">
        <f t="shared" si="412"/>
        <v>0</v>
      </c>
      <c r="Y377" s="32">
        <f t="shared" si="412"/>
        <v>0</v>
      </c>
      <c r="Z377" s="32">
        <f t="shared" si="412"/>
        <v>0</v>
      </c>
      <c r="AA377" s="32">
        <f t="shared" si="412"/>
        <v>0</v>
      </c>
      <c r="AB377" s="32">
        <f t="shared" si="412"/>
        <v>0</v>
      </c>
      <c r="AC377" s="32">
        <f t="shared" si="412"/>
        <v>0</v>
      </c>
      <c r="AD377" s="32">
        <f t="shared" si="412"/>
        <v>0</v>
      </c>
      <c r="AF377" s="32">
        <f>SUM(AF371:AF376)</f>
        <v>0</v>
      </c>
      <c r="AH377" s="32">
        <f>SUM(AH371:AH376)</f>
        <v>0</v>
      </c>
      <c r="AJ377" s="32">
        <f>SUM(AJ371:AJ376)</f>
        <v>0</v>
      </c>
      <c r="AK377" s="33">
        <f>SUM(H377:AJ377)</f>
        <v>249866.75190870956</v>
      </c>
      <c r="AL377" s="30" t="str">
        <f>IF(ABS(AK377-F377)&lt;1,"ok","err")</f>
        <v>ok</v>
      </c>
    </row>
    <row r="378" spans="1:38" x14ac:dyDescent="0.25">
      <c r="D378" s="113"/>
      <c r="E378" s="13"/>
      <c r="F378" s="32"/>
      <c r="H378" s="32"/>
      <c r="I378" s="32"/>
      <c r="J378" s="32"/>
      <c r="K378" s="32"/>
      <c r="L378" s="32"/>
      <c r="M378" s="32"/>
      <c r="O378" s="32"/>
      <c r="P378" s="32"/>
      <c r="Q378" s="32"/>
      <c r="S378" s="32"/>
      <c r="T378" s="32"/>
      <c r="U378" s="32"/>
      <c r="V378" s="32"/>
      <c r="W378" s="32"/>
      <c r="X378" s="32"/>
      <c r="Y378" s="32"/>
      <c r="Z378" s="32"/>
      <c r="AA378" s="32"/>
      <c r="AB378" s="32"/>
      <c r="AC378" s="32"/>
      <c r="AD378" s="32"/>
      <c r="AF378" s="32"/>
      <c r="AH378" s="32"/>
      <c r="AJ378" s="32"/>
      <c r="AK378" s="33"/>
      <c r="AL378" s="30"/>
    </row>
    <row r="379" spans="1:38" x14ac:dyDescent="0.25">
      <c r="B379" s="29" t="s">
        <v>1569</v>
      </c>
      <c r="D379" s="113"/>
      <c r="E379" s="13"/>
      <c r="F379" s="32">
        <f>F368+F377</f>
        <v>249866.75190870956</v>
      </c>
      <c r="H379" s="32">
        <f t="shared" ref="H379:M379" si="413">H368+H377</f>
        <v>241017.8413135451</v>
      </c>
      <c r="I379" s="32">
        <f t="shared" si="413"/>
        <v>0</v>
      </c>
      <c r="J379" s="32">
        <f t="shared" si="413"/>
        <v>0</v>
      </c>
      <c r="K379" s="32">
        <f t="shared" si="413"/>
        <v>8848.9105951644524</v>
      </c>
      <c r="L379" s="32">
        <f t="shared" si="413"/>
        <v>0</v>
      </c>
      <c r="M379" s="32">
        <f t="shared" si="413"/>
        <v>0</v>
      </c>
      <c r="O379" s="32">
        <f>O368+O377</f>
        <v>0</v>
      </c>
      <c r="P379" s="32">
        <f>P368+P377</f>
        <v>0</v>
      </c>
      <c r="Q379" s="32">
        <f>Q368+Q377</f>
        <v>0</v>
      </c>
      <c r="S379" s="32">
        <f t="shared" ref="S379:AD379" si="414">S368+S377</f>
        <v>0</v>
      </c>
      <c r="T379" s="32">
        <f t="shared" si="414"/>
        <v>0</v>
      </c>
      <c r="U379" s="32">
        <f t="shared" si="414"/>
        <v>0</v>
      </c>
      <c r="V379" s="32">
        <f t="shared" si="414"/>
        <v>0</v>
      </c>
      <c r="W379" s="32">
        <f t="shared" si="414"/>
        <v>0</v>
      </c>
      <c r="X379" s="32">
        <f t="shared" si="414"/>
        <v>0</v>
      </c>
      <c r="Y379" s="32">
        <f t="shared" si="414"/>
        <v>0</v>
      </c>
      <c r="Z379" s="32">
        <f t="shared" si="414"/>
        <v>0</v>
      </c>
      <c r="AA379" s="32">
        <f t="shared" si="414"/>
        <v>0</v>
      </c>
      <c r="AB379" s="32">
        <f t="shared" si="414"/>
        <v>0</v>
      </c>
      <c r="AC379" s="32">
        <f t="shared" si="414"/>
        <v>0</v>
      </c>
      <c r="AD379" s="32">
        <f t="shared" si="414"/>
        <v>0</v>
      </c>
      <c r="AF379" s="32">
        <f>AF368+AF377</f>
        <v>0</v>
      </c>
      <c r="AH379" s="32">
        <f>AH368+AH377</f>
        <v>0</v>
      </c>
      <c r="AJ379" s="32">
        <f>AJ368+AJ377</f>
        <v>0</v>
      </c>
      <c r="AK379" s="33">
        <f>SUM(H379:AJ379)</f>
        <v>249866.75190870956</v>
      </c>
      <c r="AL379" s="30" t="str">
        <f>IF(ABS(AK379-F379)&lt;1,"ok","err")</f>
        <v>ok</v>
      </c>
    </row>
    <row r="380" spans="1:38" x14ac:dyDescent="0.25">
      <c r="D380" s="113"/>
      <c r="E380" s="13"/>
      <c r="F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L380" s="30"/>
    </row>
    <row r="381" spans="1:38" x14ac:dyDescent="0.25">
      <c r="A381" s="3" t="s">
        <v>926</v>
      </c>
      <c r="D381" s="113"/>
      <c r="E381" s="13"/>
      <c r="F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L381" s="30"/>
    </row>
    <row r="382" spans="1:38" x14ac:dyDescent="0.25">
      <c r="D382" s="113"/>
      <c r="E382" s="13"/>
      <c r="F382" s="32"/>
      <c r="Y382" s="29"/>
      <c r="AK382" s="33"/>
      <c r="AL382" s="30"/>
    </row>
    <row r="383" spans="1:38" x14ac:dyDescent="0.25">
      <c r="A383" s="4" t="s">
        <v>1476</v>
      </c>
      <c r="D383" s="113"/>
      <c r="E383" s="13"/>
      <c r="F383" s="32"/>
      <c r="Y383" s="29"/>
      <c r="AK383" s="33"/>
      <c r="AL383" s="30"/>
    </row>
    <row r="384" spans="1:38" x14ac:dyDescent="0.25">
      <c r="A384" s="29">
        <v>546</v>
      </c>
      <c r="B384" s="29" t="s">
        <v>1453</v>
      </c>
      <c r="C384" s="29" t="s">
        <v>1533</v>
      </c>
      <c r="D384" s="113" t="s">
        <v>685</v>
      </c>
      <c r="E384" s="13"/>
      <c r="F384" s="32">
        <f>'Jurisdictional Study'!F1340</f>
        <v>1019726.6004447752</v>
      </c>
      <c r="H384" s="33">
        <f>IF(VLOOKUP($D384,$C$5:$AJ$596,6,)=0,0,((VLOOKUP($D384,$C$5:$AJ$596,6,)/VLOOKUP($D384,$C$5:$AJ$596,4,))*$F384))</f>
        <v>1019726.6004447752</v>
      </c>
      <c r="I384" s="33">
        <f>IF(VLOOKUP($D384,$C$5:$AJ$596,7,)=0,0,((VLOOKUP($D384,$C$5:$AJ$596,7,)/VLOOKUP($D384,$C$5:$AJ$596,4,))*$F384))</f>
        <v>0</v>
      </c>
      <c r="J384" s="33">
        <f>IF(VLOOKUP($D384,$C$5:$AJ$596,8,)=0,0,((VLOOKUP($D384,$C$5:$AJ$596,8,)/VLOOKUP($D384,$C$5:$AJ$596,4,))*$F384))</f>
        <v>0</v>
      </c>
      <c r="K384" s="33">
        <f>IF(VLOOKUP($D384,$C$5:$AJ$596,9,)=0,0,((VLOOKUP($D384,$C$5:$AJ$596,9,)/VLOOKUP($D384,$C$5:$AJ$596,4,))*$F384))</f>
        <v>0</v>
      </c>
      <c r="L384" s="33">
        <f>IF(VLOOKUP($D384,$C$5:$AJ$596,10,)=0,0,((VLOOKUP($D384,$C$5:$AJ$596,10,)/VLOOKUP($D384,$C$5:$AJ$596,4,))*$F384))</f>
        <v>0</v>
      </c>
      <c r="M384" s="33">
        <f>IF(VLOOKUP($D384,$C$5:$AJ$596,11,)=0,0,((VLOOKUP($D384,$C$5:$AJ$596,11,)/VLOOKUP($D384,$C$5:$AJ$596,4,))*$F384))</f>
        <v>0</v>
      </c>
      <c r="N384" s="33"/>
      <c r="O384" s="33">
        <f>IF(VLOOKUP($D384,$C$5:$AJ$596,13,)=0,0,((VLOOKUP($D384,$C$5:$AJ$596,13,)/VLOOKUP($D384,$C$5:$AJ$596,4,))*$F384))</f>
        <v>0</v>
      </c>
      <c r="P384" s="33">
        <f>IF(VLOOKUP($D384,$C$5:$AJ$596,14,)=0,0,((VLOOKUP($D384,$C$5:$AJ$596,14,)/VLOOKUP($D384,$C$5:$AJ$596,4,))*$F384))</f>
        <v>0</v>
      </c>
      <c r="Q384" s="33">
        <f>IF(VLOOKUP($D384,$C$5:$AJ$596,15,)=0,0,((VLOOKUP($D384,$C$5:$AJ$596,15,)/VLOOKUP($D384,$C$5:$AJ$596,4,))*$F384))</f>
        <v>0</v>
      </c>
      <c r="R384" s="33"/>
      <c r="S384" s="33">
        <f>IF(VLOOKUP($D384,$C$5:$AJ$596,17,)=0,0,((VLOOKUP($D384,$C$5:$AJ$596,17,)/VLOOKUP($D384,$C$5:$AJ$596,4,))*$F384))</f>
        <v>0</v>
      </c>
      <c r="T384" s="33">
        <f>IF(VLOOKUP($D384,$C$5:$AJ$596,18,)=0,0,((VLOOKUP($D384,$C$5:$AJ$596,18,)/VLOOKUP($D384,$C$5:$AJ$596,4,))*$F384))</f>
        <v>0</v>
      </c>
      <c r="U384" s="33">
        <f>IF(VLOOKUP($D384,$C$5:$AJ$596,19,)=0,0,((VLOOKUP($D384,$C$5:$AJ$596,19,)/VLOOKUP($D384,$C$5:$AJ$596,4,))*$F384))</f>
        <v>0</v>
      </c>
      <c r="V384" s="33">
        <f>IF(VLOOKUP($D384,$C$5:$AJ$596,20,)=0,0,((VLOOKUP($D384,$C$5:$AJ$596,20,)/VLOOKUP($D384,$C$5:$AJ$596,4,))*$F384))</f>
        <v>0</v>
      </c>
      <c r="W384" s="33">
        <f>IF(VLOOKUP($D384,$C$5:$AJ$596,21,)=0,0,((VLOOKUP($D384,$C$5:$AJ$596,21,)/VLOOKUP($D384,$C$5:$AJ$596,4,))*$F384))</f>
        <v>0</v>
      </c>
      <c r="X384" s="33">
        <f>IF(VLOOKUP($D384,$C$5:$AJ$596,22,)=0,0,((VLOOKUP($D384,$C$5:$AJ$596,22,)/VLOOKUP($D384,$C$5:$AJ$596,4,))*$F384))</f>
        <v>0</v>
      </c>
      <c r="Y384" s="33">
        <f>IF(VLOOKUP($D384,$C$5:$AJ$596,23,)=0,0,((VLOOKUP($D384,$C$5:$AJ$596,23,)/VLOOKUP($D384,$C$5:$AJ$596,4,))*$F384))</f>
        <v>0</v>
      </c>
      <c r="Z384" s="33">
        <f>IF(VLOOKUP($D384,$C$5:$AJ$596,24,)=0,0,((VLOOKUP($D384,$C$5:$AJ$596,24,)/VLOOKUP($D384,$C$5:$AJ$596,4,))*$F384))</f>
        <v>0</v>
      </c>
      <c r="AA384" s="33">
        <f>IF(VLOOKUP($D384,$C$5:$AJ$596,25,)=0,0,((VLOOKUP($D384,$C$5:$AJ$596,25,)/VLOOKUP($D384,$C$5:$AJ$596,4,))*$F384))</f>
        <v>0</v>
      </c>
      <c r="AB384" s="33">
        <f>IF(VLOOKUP($D384,$C$5:$AJ$596,26,)=0,0,((VLOOKUP($D384,$C$5:$AJ$596,26,)/VLOOKUP($D384,$C$5:$AJ$596,4,))*$F384))</f>
        <v>0</v>
      </c>
      <c r="AC384" s="33">
        <f>IF(VLOOKUP($D384,$C$5:$AJ$596,27,)=0,0,((VLOOKUP($D384,$C$5:$AJ$596,27,)/VLOOKUP($D384,$C$5:$AJ$596,4,))*$F384))</f>
        <v>0</v>
      </c>
      <c r="AD384" s="33">
        <f>IF(VLOOKUP($D384,$C$5:$AJ$596,28,)=0,0,((VLOOKUP($D384,$C$5:$AJ$596,28,)/VLOOKUP($D384,$C$5:$AJ$596,4,))*$F384))</f>
        <v>0</v>
      </c>
      <c r="AE384" s="33"/>
      <c r="AF384" s="33">
        <f>IF(VLOOKUP($D384,$C$5:$AJ$596,30,)=0,0,((VLOOKUP($D384,$C$5:$AJ$596,30,)/VLOOKUP($D384,$C$5:$AJ$596,4,))*$F384))</f>
        <v>0</v>
      </c>
      <c r="AG384" s="33"/>
      <c r="AH384" s="33">
        <f>IF(VLOOKUP($D384,$C$5:$AJ$596,32,)=0,0,((VLOOKUP($D384,$C$5:$AJ$596,32,)/VLOOKUP($D384,$C$5:$AJ$596,4,))*$F384))</f>
        <v>0</v>
      </c>
      <c r="AI384" s="33"/>
      <c r="AJ384" s="33">
        <f>IF(VLOOKUP($D384,$C$5:$AJ$596,34,)=0,0,((VLOOKUP($D384,$C$5:$AJ$596,34,)/VLOOKUP($D384,$C$5:$AJ$596,4,))*$F384))</f>
        <v>0</v>
      </c>
      <c r="AK384" s="33">
        <f t="shared" ref="AK384:AK390" si="415">SUM(H384:AJ384)</f>
        <v>1019726.6004447752</v>
      </c>
      <c r="AL384" s="30" t="str">
        <f t="shared" ref="AL384:AL390" si="416">IF(ABS(AK384-F384)&lt;1,"ok","err")</f>
        <v>ok</v>
      </c>
    </row>
    <row r="385" spans="1:38" x14ac:dyDescent="0.25">
      <c r="A385" s="29">
        <v>547</v>
      </c>
      <c r="B385" s="29" t="s">
        <v>1455</v>
      </c>
      <c r="C385" s="29" t="s">
        <v>1534</v>
      </c>
      <c r="D385" s="113" t="s">
        <v>104</v>
      </c>
      <c r="E385" s="13"/>
      <c r="F385" s="33">
        <f>'Jurisdictional Study'!F1320</f>
        <v>0</v>
      </c>
      <c r="H385" s="33">
        <f>IF(VLOOKUP($D385,$C$5:$AJ$596,6,)=0,0,((VLOOKUP($D385,$C$5:$AJ$596,6,)/VLOOKUP($D385,$C$5:$AJ$596,4,))*$F385))</f>
        <v>0</v>
      </c>
      <c r="I385" s="33">
        <f>IF(VLOOKUP($D385,$C$5:$AJ$596,7,)=0,0,((VLOOKUP($D385,$C$5:$AJ$596,7,)/VLOOKUP($D385,$C$5:$AJ$596,4,))*$F385))</f>
        <v>0</v>
      </c>
      <c r="J385" s="33">
        <f>IF(VLOOKUP($D385,$C$5:$AJ$596,8,)=0,0,((VLOOKUP($D385,$C$5:$AJ$596,8,)/VLOOKUP($D385,$C$5:$AJ$596,4,))*$F385))</f>
        <v>0</v>
      </c>
      <c r="K385" s="33">
        <f>IF(VLOOKUP($D385,$C$5:$AJ$596,9,)=0,0,((VLOOKUP($D385,$C$5:$AJ$596,9,)/VLOOKUP($D385,$C$5:$AJ$596,4,))*$F385))</f>
        <v>0</v>
      </c>
      <c r="L385" s="33">
        <f>IF(VLOOKUP($D385,$C$5:$AJ$596,10,)=0,0,((VLOOKUP($D385,$C$5:$AJ$596,10,)/VLOOKUP($D385,$C$5:$AJ$596,4,))*$F385))</f>
        <v>0</v>
      </c>
      <c r="M385" s="33">
        <f>IF(VLOOKUP($D385,$C$5:$AJ$596,11,)=0,0,((VLOOKUP($D385,$C$5:$AJ$596,11,)/VLOOKUP($D385,$C$5:$AJ$596,4,))*$F385))</f>
        <v>0</v>
      </c>
      <c r="N385" s="33"/>
      <c r="O385" s="33">
        <f>IF(VLOOKUP($D385,$C$5:$AJ$596,13,)=0,0,((VLOOKUP($D385,$C$5:$AJ$596,13,)/VLOOKUP($D385,$C$5:$AJ$596,4,))*$F385))</f>
        <v>0</v>
      </c>
      <c r="P385" s="33">
        <f>IF(VLOOKUP($D385,$C$5:$AJ$596,14,)=0,0,((VLOOKUP($D385,$C$5:$AJ$596,14,)/VLOOKUP($D385,$C$5:$AJ$596,4,))*$F385))</f>
        <v>0</v>
      </c>
      <c r="Q385" s="33">
        <f>IF(VLOOKUP($D385,$C$5:$AJ$596,15,)=0,0,((VLOOKUP($D385,$C$5:$AJ$596,15,)/VLOOKUP($D385,$C$5:$AJ$596,4,))*$F385))</f>
        <v>0</v>
      </c>
      <c r="R385" s="33"/>
      <c r="S385" s="33">
        <f>IF(VLOOKUP($D385,$C$5:$AJ$596,17,)=0,0,((VLOOKUP($D385,$C$5:$AJ$596,17,)/VLOOKUP($D385,$C$5:$AJ$596,4,))*$F385))</f>
        <v>0</v>
      </c>
      <c r="T385" s="33">
        <f>IF(VLOOKUP($D385,$C$5:$AJ$596,18,)=0,0,((VLOOKUP($D385,$C$5:$AJ$596,18,)/VLOOKUP($D385,$C$5:$AJ$596,4,))*$F385))</f>
        <v>0</v>
      </c>
      <c r="U385" s="33">
        <f>IF(VLOOKUP($D385,$C$5:$AJ$596,19,)=0,0,((VLOOKUP($D385,$C$5:$AJ$596,19,)/VLOOKUP($D385,$C$5:$AJ$596,4,))*$F385))</f>
        <v>0</v>
      </c>
      <c r="V385" s="33">
        <f>IF(VLOOKUP($D385,$C$5:$AJ$596,20,)=0,0,((VLOOKUP($D385,$C$5:$AJ$596,20,)/VLOOKUP($D385,$C$5:$AJ$596,4,))*$F385))</f>
        <v>0</v>
      </c>
      <c r="W385" s="33">
        <f>IF(VLOOKUP($D385,$C$5:$AJ$596,21,)=0,0,((VLOOKUP($D385,$C$5:$AJ$596,21,)/VLOOKUP($D385,$C$5:$AJ$596,4,))*$F385))</f>
        <v>0</v>
      </c>
      <c r="X385" s="33">
        <f>IF(VLOOKUP($D385,$C$5:$AJ$596,22,)=0,0,((VLOOKUP($D385,$C$5:$AJ$596,22,)/VLOOKUP($D385,$C$5:$AJ$596,4,))*$F385))</f>
        <v>0</v>
      </c>
      <c r="Y385" s="33">
        <f>IF(VLOOKUP($D385,$C$5:$AJ$596,23,)=0,0,((VLOOKUP($D385,$C$5:$AJ$596,23,)/VLOOKUP($D385,$C$5:$AJ$596,4,))*$F385))</f>
        <v>0</v>
      </c>
      <c r="Z385" s="33">
        <f>IF(VLOOKUP($D385,$C$5:$AJ$596,24,)=0,0,((VLOOKUP($D385,$C$5:$AJ$596,24,)/VLOOKUP($D385,$C$5:$AJ$596,4,))*$F385))</f>
        <v>0</v>
      </c>
      <c r="AA385" s="33">
        <f>IF(VLOOKUP($D385,$C$5:$AJ$596,25,)=0,0,((VLOOKUP($D385,$C$5:$AJ$596,25,)/VLOOKUP($D385,$C$5:$AJ$596,4,))*$F385))</f>
        <v>0</v>
      </c>
      <c r="AB385" s="33">
        <f>IF(VLOOKUP($D385,$C$5:$AJ$596,26,)=0,0,((VLOOKUP($D385,$C$5:$AJ$596,26,)/VLOOKUP($D385,$C$5:$AJ$596,4,))*$F385))</f>
        <v>0</v>
      </c>
      <c r="AC385" s="33">
        <f>IF(VLOOKUP($D385,$C$5:$AJ$596,27,)=0,0,((VLOOKUP($D385,$C$5:$AJ$596,27,)/VLOOKUP($D385,$C$5:$AJ$596,4,))*$F385))</f>
        <v>0</v>
      </c>
      <c r="AD385" s="33">
        <f>IF(VLOOKUP($D385,$C$5:$AJ$596,28,)=0,0,((VLOOKUP($D385,$C$5:$AJ$596,28,)/VLOOKUP($D385,$C$5:$AJ$596,4,))*$F385))</f>
        <v>0</v>
      </c>
      <c r="AE385" s="33"/>
      <c r="AF385" s="33">
        <f>IF(VLOOKUP($D385,$C$5:$AJ$596,30,)=0,0,((VLOOKUP($D385,$C$5:$AJ$596,30,)/VLOOKUP($D385,$C$5:$AJ$596,4,))*$F385))</f>
        <v>0</v>
      </c>
      <c r="AG385" s="33"/>
      <c r="AH385" s="33">
        <f>IF(VLOOKUP($D385,$C$5:$AJ$596,32,)=0,0,((VLOOKUP($D385,$C$5:$AJ$596,32,)/VLOOKUP($D385,$C$5:$AJ$596,4,))*$F385))</f>
        <v>0</v>
      </c>
      <c r="AI385" s="33"/>
      <c r="AJ385" s="33">
        <f>IF(VLOOKUP($D385,$C$5:$AJ$596,34,)=0,0,((VLOOKUP($D385,$C$5:$AJ$596,34,)/VLOOKUP($D385,$C$5:$AJ$596,4,))*$F385))</f>
        <v>0</v>
      </c>
      <c r="AK385" s="33">
        <f t="shared" si="415"/>
        <v>0</v>
      </c>
      <c r="AL385" s="30" t="str">
        <f t="shared" si="416"/>
        <v>ok</v>
      </c>
    </row>
    <row r="386" spans="1:38" x14ac:dyDescent="0.25">
      <c r="A386" s="29">
        <v>548</v>
      </c>
      <c r="B386" s="29" t="s">
        <v>1479</v>
      </c>
      <c r="C386" s="29" t="s">
        <v>1535</v>
      </c>
      <c r="D386" s="113" t="s">
        <v>685</v>
      </c>
      <c r="E386" s="13"/>
      <c r="F386" s="33">
        <f>'Jurisdictional Study'!F1341</f>
        <v>317719.03154588776</v>
      </c>
      <c r="H386" s="33">
        <f>IF(VLOOKUP($D386,$C$5:$AJ$596,6,)=0,0,((VLOOKUP($D386,$C$5:$AJ$596,6,)/VLOOKUP($D386,$C$5:$AJ$596,4,))*$F386))</f>
        <v>317719.03154588776</v>
      </c>
      <c r="I386" s="33">
        <f>IF(VLOOKUP($D386,$C$5:$AJ$596,7,)=0,0,((VLOOKUP($D386,$C$5:$AJ$596,7,)/VLOOKUP($D386,$C$5:$AJ$596,4,))*$F386))</f>
        <v>0</v>
      </c>
      <c r="J386" s="33">
        <f>IF(VLOOKUP($D386,$C$5:$AJ$596,8,)=0,0,((VLOOKUP($D386,$C$5:$AJ$596,8,)/VLOOKUP($D386,$C$5:$AJ$596,4,))*$F386))</f>
        <v>0</v>
      </c>
      <c r="K386" s="33">
        <f>IF(VLOOKUP($D386,$C$5:$AJ$596,9,)=0,0,((VLOOKUP($D386,$C$5:$AJ$596,9,)/VLOOKUP($D386,$C$5:$AJ$596,4,))*$F386))</f>
        <v>0</v>
      </c>
      <c r="L386" s="33">
        <f>IF(VLOOKUP($D386,$C$5:$AJ$596,10,)=0,0,((VLOOKUP($D386,$C$5:$AJ$596,10,)/VLOOKUP($D386,$C$5:$AJ$596,4,))*$F386))</f>
        <v>0</v>
      </c>
      <c r="M386" s="33">
        <f>IF(VLOOKUP($D386,$C$5:$AJ$596,11,)=0,0,((VLOOKUP($D386,$C$5:$AJ$596,11,)/VLOOKUP($D386,$C$5:$AJ$596,4,))*$F386))</f>
        <v>0</v>
      </c>
      <c r="N386" s="33"/>
      <c r="O386" s="33">
        <f>IF(VLOOKUP($D386,$C$5:$AJ$596,13,)=0,0,((VLOOKUP($D386,$C$5:$AJ$596,13,)/VLOOKUP($D386,$C$5:$AJ$596,4,))*$F386))</f>
        <v>0</v>
      </c>
      <c r="P386" s="33">
        <f>IF(VLOOKUP($D386,$C$5:$AJ$596,14,)=0,0,((VLOOKUP($D386,$C$5:$AJ$596,14,)/VLOOKUP($D386,$C$5:$AJ$596,4,))*$F386))</f>
        <v>0</v>
      </c>
      <c r="Q386" s="33">
        <f>IF(VLOOKUP($D386,$C$5:$AJ$596,15,)=0,0,((VLOOKUP($D386,$C$5:$AJ$596,15,)/VLOOKUP($D386,$C$5:$AJ$596,4,))*$F386))</f>
        <v>0</v>
      </c>
      <c r="R386" s="33"/>
      <c r="S386" s="33">
        <f>IF(VLOOKUP($D386,$C$5:$AJ$596,17,)=0,0,((VLOOKUP($D386,$C$5:$AJ$596,17,)/VLOOKUP($D386,$C$5:$AJ$596,4,))*$F386))</f>
        <v>0</v>
      </c>
      <c r="T386" s="33">
        <f>IF(VLOOKUP($D386,$C$5:$AJ$596,18,)=0,0,((VLOOKUP($D386,$C$5:$AJ$596,18,)/VLOOKUP($D386,$C$5:$AJ$596,4,))*$F386))</f>
        <v>0</v>
      </c>
      <c r="U386" s="33">
        <f>IF(VLOOKUP($D386,$C$5:$AJ$596,19,)=0,0,((VLOOKUP($D386,$C$5:$AJ$596,19,)/VLOOKUP($D386,$C$5:$AJ$596,4,))*$F386))</f>
        <v>0</v>
      </c>
      <c r="V386" s="33">
        <f>IF(VLOOKUP($D386,$C$5:$AJ$596,20,)=0,0,((VLOOKUP($D386,$C$5:$AJ$596,20,)/VLOOKUP($D386,$C$5:$AJ$596,4,))*$F386))</f>
        <v>0</v>
      </c>
      <c r="W386" s="33">
        <f>IF(VLOOKUP($D386,$C$5:$AJ$596,21,)=0,0,((VLOOKUP($D386,$C$5:$AJ$596,21,)/VLOOKUP($D386,$C$5:$AJ$596,4,))*$F386))</f>
        <v>0</v>
      </c>
      <c r="X386" s="33">
        <f>IF(VLOOKUP($D386,$C$5:$AJ$596,22,)=0,0,((VLOOKUP($D386,$C$5:$AJ$596,22,)/VLOOKUP($D386,$C$5:$AJ$596,4,))*$F386))</f>
        <v>0</v>
      </c>
      <c r="Y386" s="33">
        <f>IF(VLOOKUP($D386,$C$5:$AJ$596,23,)=0,0,((VLOOKUP($D386,$C$5:$AJ$596,23,)/VLOOKUP($D386,$C$5:$AJ$596,4,))*$F386))</f>
        <v>0</v>
      </c>
      <c r="Z386" s="33">
        <f>IF(VLOOKUP($D386,$C$5:$AJ$596,24,)=0,0,((VLOOKUP($D386,$C$5:$AJ$596,24,)/VLOOKUP($D386,$C$5:$AJ$596,4,))*$F386))</f>
        <v>0</v>
      </c>
      <c r="AA386" s="33">
        <f>IF(VLOOKUP($D386,$C$5:$AJ$596,25,)=0,0,((VLOOKUP($D386,$C$5:$AJ$596,25,)/VLOOKUP($D386,$C$5:$AJ$596,4,))*$F386))</f>
        <v>0</v>
      </c>
      <c r="AB386" s="33">
        <f>IF(VLOOKUP($D386,$C$5:$AJ$596,26,)=0,0,((VLOOKUP($D386,$C$5:$AJ$596,26,)/VLOOKUP($D386,$C$5:$AJ$596,4,))*$F386))</f>
        <v>0</v>
      </c>
      <c r="AC386" s="33">
        <f>IF(VLOOKUP($D386,$C$5:$AJ$596,27,)=0,0,((VLOOKUP($D386,$C$5:$AJ$596,27,)/VLOOKUP($D386,$C$5:$AJ$596,4,))*$F386))</f>
        <v>0</v>
      </c>
      <c r="AD386" s="33">
        <f>IF(VLOOKUP($D386,$C$5:$AJ$596,28,)=0,0,((VLOOKUP($D386,$C$5:$AJ$596,28,)/VLOOKUP($D386,$C$5:$AJ$596,4,))*$F386))</f>
        <v>0</v>
      </c>
      <c r="AE386" s="33"/>
      <c r="AF386" s="33">
        <f>IF(VLOOKUP($D386,$C$5:$AJ$596,30,)=0,0,((VLOOKUP($D386,$C$5:$AJ$596,30,)/VLOOKUP($D386,$C$5:$AJ$596,4,))*$F386))</f>
        <v>0</v>
      </c>
      <c r="AG386" s="33"/>
      <c r="AH386" s="33">
        <f>IF(VLOOKUP($D386,$C$5:$AJ$596,32,)=0,0,((VLOOKUP($D386,$C$5:$AJ$596,32,)/VLOOKUP($D386,$C$5:$AJ$596,4,))*$F386))</f>
        <v>0</v>
      </c>
      <c r="AI386" s="33"/>
      <c r="AJ386" s="33">
        <f>IF(VLOOKUP($D386,$C$5:$AJ$596,34,)=0,0,((VLOOKUP($D386,$C$5:$AJ$596,34,)/VLOOKUP($D386,$C$5:$AJ$596,4,))*$F386))</f>
        <v>0</v>
      </c>
      <c r="AK386" s="33">
        <f t="shared" si="415"/>
        <v>317719.03154588776</v>
      </c>
      <c r="AL386" s="30" t="str">
        <f t="shared" si="416"/>
        <v>ok</v>
      </c>
    </row>
    <row r="387" spans="1:38" x14ac:dyDescent="0.25">
      <c r="A387" s="29">
        <v>549</v>
      </c>
      <c r="B387" s="29" t="s">
        <v>1481</v>
      </c>
      <c r="C387" s="29" t="s">
        <v>1536</v>
      </c>
      <c r="D387" s="113" t="s">
        <v>685</v>
      </c>
      <c r="E387" s="13"/>
      <c r="F387" s="33">
        <f>'Jurisdictional Study'!F1342</f>
        <v>2021301.6237172058</v>
      </c>
      <c r="H387" s="33">
        <f>IF(VLOOKUP($D387,$C$5:$AJ$596,6,)=0,0,((VLOOKUP($D387,$C$5:$AJ$596,6,)/VLOOKUP($D387,$C$5:$AJ$596,4,))*$F387))</f>
        <v>2021301.6237172058</v>
      </c>
      <c r="I387" s="33">
        <f>IF(VLOOKUP($D387,$C$5:$AJ$596,7,)=0,0,((VLOOKUP($D387,$C$5:$AJ$596,7,)/VLOOKUP($D387,$C$5:$AJ$596,4,))*$F387))</f>
        <v>0</v>
      </c>
      <c r="J387" s="33">
        <f>IF(VLOOKUP($D387,$C$5:$AJ$596,8,)=0,0,((VLOOKUP($D387,$C$5:$AJ$596,8,)/VLOOKUP($D387,$C$5:$AJ$596,4,))*$F387))</f>
        <v>0</v>
      </c>
      <c r="K387" s="33">
        <f>IF(VLOOKUP($D387,$C$5:$AJ$596,9,)=0,0,((VLOOKUP($D387,$C$5:$AJ$596,9,)/VLOOKUP($D387,$C$5:$AJ$596,4,))*$F387))</f>
        <v>0</v>
      </c>
      <c r="L387" s="33">
        <f>IF(VLOOKUP($D387,$C$5:$AJ$596,10,)=0,0,((VLOOKUP($D387,$C$5:$AJ$596,10,)/VLOOKUP($D387,$C$5:$AJ$596,4,))*$F387))</f>
        <v>0</v>
      </c>
      <c r="M387" s="33">
        <f>IF(VLOOKUP($D387,$C$5:$AJ$596,11,)=0,0,((VLOOKUP($D387,$C$5:$AJ$596,11,)/VLOOKUP($D387,$C$5:$AJ$596,4,))*$F387))</f>
        <v>0</v>
      </c>
      <c r="N387" s="33"/>
      <c r="O387" s="33">
        <f>IF(VLOOKUP($D387,$C$5:$AJ$596,13,)=0,0,((VLOOKUP($D387,$C$5:$AJ$596,13,)/VLOOKUP($D387,$C$5:$AJ$596,4,))*$F387))</f>
        <v>0</v>
      </c>
      <c r="P387" s="33">
        <f>IF(VLOOKUP($D387,$C$5:$AJ$596,14,)=0,0,((VLOOKUP($D387,$C$5:$AJ$596,14,)/VLOOKUP($D387,$C$5:$AJ$596,4,))*$F387))</f>
        <v>0</v>
      </c>
      <c r="Q387" s="33">
        <f>IF(VLOOKUP($D387,$C$5:$AJ$596,15,)=0,0,((VLOOKUP($D387,$C$5:$AJ$596,15,)/VLOOKUP($D387,$C$5:$AJ$596,4,))*$F387))</f>
        <v>0</v>
      </c>
      <c r="R387" s="33"/>
      <c r="S387" s="33">
        <f>IF(VLOOKUP($D387,$C$5:$AJ$596,17,)=0,0,((VLOOKUP($D387,$C$5:$AJ$596,17,)/VLOOKUP($D387,$C$5:$AJ$596,4,))*$F387))</f>
        <v>0</v>
      </c>
      <c r="T387" s="33">
        <f>IF(VLOOKUP($D387,$C$5:$AJ$596,18,)=0,0,((VLOOKUP($D387,$C$5:$AJ$596,18,)/VLOOKUP($D387,$C$5:$AJ$596,4,))*$F387))</f>
        <v>0</v>
      </c>
      <c r="U387" s="33">
        <f>IF(VLOOKUP($D387,$C$5:$AJ$596,19,)=0,0,((VLOOKUP($D387,$C$5:$AJ$596,19,)/VLOOKUP($D387,$C$5:$AJ$596,4,))*$F387))</f>
        <v>0</v>
      </c>
      <c r="V387" s="33">
        <f>IF(VLOOKUP($D387,$C$5:$AJ$596,20,)=0,0,((VLOOKUP($D387,$C$5:$AJ$596,20,)/VLOOKUP($D387,$C$5:$AJ$596,4,))*$F387))</f>
        <v>0</v>
      </c>
      <c r="W387" s="33">
        <f>IF(VLOOKUP($D387,$C$5:$AJ$596,21,)=0,0,((VLOOKUP($D387,$C$5:$AJ$596,21,)/VLOOKUP($D387,$C$5:$AJ$596,4,))*$F387))</f>
        <v>0</v>
      </c>
      <c r="X387" s="33">
        <f>IF(VLOOKUP($D387,$C$5:$AJ$596,22,)=0,0,((VLOOKUP($D387,$C$5:$AJ$596,22,)/VLOOKUP($D387,$C$5:$AJ$596,4,))*$F387))</f>
        <v>0</v>
      </c>
      <c r="Y387" s="33">
        <f>IF(VLOOKUP($D387,$C$5:$AJ$596,23,)=0,0,((VLOOKUP($D387,$C$5:$AJ$596,23,)/VLOOKUP($D387,$C$5:$AJ$596,4,))*$F387))</f>
        <v>0</v>
      </c>
      <c r="Z387" s="33">
        <f>IF(VLOOKUP($D387,$C$5:$AJ$596,24,)=0,0,((VLOOKUP($D387,$C$5:$AJ$596,24,)/VLOOKUP($D387,$C$5:$AJ$596,4,))*$F387))</f>
        <v>0</v>
      </c>
      <c r="AA387" s="33">
        <f>IF(VLOOKUP($D387,$C$5:$AJ$596,25,)=0,0,((VLOOKUP($D387,$C$5:$AJ$596,25,)/VLOOKUP($D387,$C$5:$AJ$596,4,))*$F387))</f>
        <v>0</v>
      </c>
      <c r="AB387" s="33">
        <f>IF(VLOOKUP($D387,$C$5:$AJ$596,26,)=0,0,((VLOOKUP($D387,$C$5:$AJ$596,26,)/VLOOKUP($D387,$C$5:$AJ$596,4,))*$F387))</f>
        <v>0</v>
      </c>
      <c r="AC387" s="33">
        <f>IF(VLOOKUP($D387,$C$5:$AJ$596,27,)=0,0,((VLOOKUP($D387,$C$5:$AJ$596,27,)/VLOOKUP($D387,$C$5:$AJ$596,4,))*$F387))</f>
        <v>0</v>
      </c>
      <c r="AD387" s="33">
        <f>IF(VLOOKUP($D387,$C$5:$AJ$596,28,)=0,0,((VLOOKUP($D387,$C$5:$AJ$596,28,)/VLOOKUP($D387,$C$5:$AJ$596,4,))*$F387))</f>
        <v>0</v>
      </c>
      <c r="AE387" s="33"/>
      <c r="AF387" s="33">
        <f>IF(VLOOKUP($D387,$C$5:$AJ$596,30,)=0,0,((VLOOKUP($D387,$C$5:$AJ$596,30,)/VLOOKUP($D387,$C$5:$AJ$596,4,))*$F387))</f>
        <v>0</v>
      </c>
      <c r="AG387" s="33"/>
      <c r="AH387" s="33">
        <f>IF(VLOOKUP($D387,$C$5:$AJ$596,32,)=0,0,((VLOOKUP($D387,$C$5:$AJ$596,32,)/VLOOKUP($D387,$C$5:$AJ$596,4,))*$F387))</f>
        <v>0</v>
      </c>
      <c r="AI387" s="33"/>
      <c r="AJ387" s="33">
        <f>IF(VLOOKUP($D387,$C$5:$AJ$596,34,)=0,0,((VLOOKUP($D387,$C$5:$AJ$596,34,)/VLOOKUP($D387,$C$5:$AJ$596,4,))*$F387))</f>
        <v>0</v>
      </c>
      <c r="AK387" s="33">
        <f t="shared" si="415"/>
        <v>2021301.6237172058</v>
      </c>
      <c r="AL387" s="30" t="str">
        <f t="shared" si="416"/>
        <v>ok</v>
      </c>
    </row>
    <row r="388" spans="1:38" x14ac:dyDescent="0.25">
      <c r="A388" s="29">
        <v>550</v>
      </c>
      <c r="B388" s="29" t="s">
        <v>341</v>
      </c>
      <c r="C388" s="29" t="s">
        <v>1537</v>
      </c>
      <c r="D388" s="113" t="s">
        <v>685</v>
      </c>
      <c r="E388" s="13"/>
      <c r="F388" s="33">
        <f>'Jurisdictional Study'!F1343</f>
        <v>0</v>
      </c>
      <c r="H388" s="33">
        <f>IF(VLOOKUP($D388,$C$5:$AJ$596,6,)=0,0,((VLOOKUP($D388,$C$5:$AJ$596,6,)/VLOOKUP($D388,$C$5:$AJ$596,4,))*$F388))</f>
        <v>0</v>
      </c>
      <c r="I388" s="33">
        <f>IF(VLOOKUP($D388,$C$5:$AJ$596,7,)=0,0,((VLOOKUP($D388,$C$5:$AJ$596,7,)/VLOOKUP($D388,$C$5:$AJ$596,4,))*$F388))</f>
        <v>0</v>
      </c>
      <c r="J388" s="33">
        <f>IF(VLOOKUP($D388,$C$5:$AJ$596,8,)=0,0,((VLOOKUP($D388,$C$5:$AJ$596,8,)/VLOOKUP($D388,$C$5:$AJ$596,4,))*$F388))</f>
        <v>0</v>
      </c>
      <c r="K388" s="33">
        <f>IF(VLOOKUP($D388,$C$5:$AJ$596,9,)=0,0,((VLOOKUP($D388,$C$5:$AJ$596,9,)/VLOOKUP($D388,$C$5:$AJ$596,4,))*$F388))</f>
        <v>0</v>
      </c>
      <c r="L388" s="33">
        <f>IF(VLOOKUP($D388,$C$5:$AJ$596,10,)=0,0,((VLOOKUP($D388,$C$5:$AJ$596,10,)/VLOOKUP($D388,$C$5:$AJ$596,4,))*$F388))</f>
        <v>0</v>
      </c>
      <c r="M388" s="33">
        <f>IF(VLOOKUP($D388,$C$5:$AJ$596,11,)=0,0,((VLOOKUP($D388,$C$5:$AJ$596,11,)/VLOOKUP($D388,$C$5:$AJ$596,4,))*$F388))</f>
        <v>0</v>
      </c>
      <c r="N388" s="33"/>
      <c r="O388" s="33">
        <f>IF(VLOOKUP($D388,$C$5:$AJ$596,13,)=0,0,((VLOOKUP($D388,$C$5:$AJ$596,13,)/VLOOKUP($D388,$C$5:$AJ$596,4,))*$F388))</f>
        <v>0</v>
      </c>
      <c r="P388" s="33">
        <f>IF(VLOOKUP($D388,$C$5:$AJ$596,14,)=0,0,((VLOOKUP($D388,$C$5:$AJ$596,14,)/VLOOKUP($D388,$C$5:$AJ$596,4,))*$F388))</f>
        <v>0</v>
      </c>
      <c r="Q388" s="33">
        <f>IF(VLOOKUP($D388,$C$5:$AJ$596,15,)=0,0,((VLOOKUP($D388,$C$5:$AJ$596,15,)/VLOOKUP($D388,$C$5:$AJ$596,4,))*$F388))</f>
        <v>0</v>
      </c>
      <c r="R388" s="33"/>
      <c r="S388" s="33">
        <f>IF(VLOOKUP($D388,$C$5:$AJ$596,17,)=0,0,((VLOOKUP($D388,$C$5:$AJ$596,17,)/VLOOKUP($D388,$C$5:$AJ$596,4,))*$F388))</f>
        <v>0</v>
      </c>
      <c r="T388" s="33">
        <f>IF(VLOOKUP($D388,$C$5:$AJ$596,18,)=0,0,((VLOOKUP($D388,$C$5:$AJ$596,18,)/VLOOKUP($D388,$C$5:$AJ$596,4,))*$F388))</f>
        <v>0</v>
      </c>
      <c r="U388" s="33">
        <f>IF(VLOOKUP($D388,$C$5:$AJ$596,19,)=0,0,((VLOOKUP($D388,$C$5:$AJ$596,19,)/VLOOKUP($D388,$C$5:$AJ$596,4,))*$F388))</f>
        <v>0</v>
      </c>
      <c r="V388" s="33">
        <f>IF(VLOOKUP($D388,$C$5:$AJ$596,20,)=0,0,((VLOOKUP($D388,$C$5:$AJ$596,20,)/VLOOKUP($D388,$C$5:$AJ$596,4,))*$F388))</f>
        <v>0</v>
      </c>
      <c r="W388" s="33">
        <f>IF(VLOOKUP($D388,$C$5:$AJ$596,21,)=0,0,((VLOOKUP($D388,$C$5:$AJ$596,21,)/VLOOKUP($D388,$C$5:$AJ$596,4,))*$F388))</f>
        <v>0</v>
      </c>
      <c r="X388" s="33">
        <f>IF(VLOOKUP($D388,$C$5:$AJ$596,22,)=0,0,((VLOOKUP($D388,$C$5:$AJ$596,22,)/VLOOKUP($D388,$C$5:$AJ$596,4,))*$F388))</f>
        <v>0</v>
      </c>
      <c r="Y388" s="33">
        <f>IF(VLOOKUP($D388,$C$5:$AJ$596,23,)=0,0,((VLOOKUP($D388,$C$5:$AJ$596,23,)/VLOOKUP($D388,$C$5:$AJ$596,4,))*$F388))</f>
        <v>0</v>
      </c>
      <c r="Z388" s="33">
        <f>IF(VLOOKUP($D388,$C$5:$AJ$596,24,)=0,0,((VLOOKUP($D388,$C$5:$AJ$596,24,)/VLOOKUP($D388,$C$5:$AJ$596,4,))*$F388))</f>
        <v>0</v>
      </c>
      <c r="AA388" s="33">
        <f>IF(VLOOKUP($D388,$C$5:$AJ$596,25,)=0,0,((VLOOKUP($D388,$C$5:$AJ$596,25,)/VLOOKUP($D388,$C$5:$AJ$596,4,))*$F388))</f>
        <v>0</v>
      </c>
      <c r="AB388" s="33">
        <f>IF(VLOOKUP($D388,$C$5:$AJ$596,26,)=0,0,((VLOOKUP($D388,$C$5:$AJ$596,26,)/VLOOKUP($D388,$C$5:$AJ$596,4,))*$F388))</f>
        <v>0</v>
      </c>
      <c r="AC388" s="33">
        <f>IF(VLOOKUP($D388,$C$5:$AJ$596,27,)=0,0,((VLOOKUP($D388,$C$5:$AJ$596,27,)/VLOOKUP($D388,$C$5:$AJ$596,4,))*$F388))</f>
        <v>0</v>
      </c>
      <c r="AD388" s="33">
        <f>IF(VLOOKUP($D388,$C$5:$AJ$596,28,)=0,0,((VLOOKUP($D388,$C$5:$AJ$596,28,)/VLOOKUP($D388,$C$5:$AJ$596,4,))*$F388))</f>
        <v>0</v>
      </c>
      <c r="AE388" s="33"/>
      <c r="AF388" s="33">
        <f>IF(VLOOKUP($D388,$C$5:$AJ$596,30,)=0,0,((VLOOKUP($D388,$C$5:$AJ$596,30,)/VLOOKUP($D388,$C$5:$AJ$596,4,))*$F388))</f>
        <v>0</v>
      </c>
      <c r="AG388" s="33"/>
      <c r="AH388" s="33">
        <f>IF(VLOOKUP($D388,$C$5:$AJ$596,32,)=0,0,((VLOOKUP($D388,$C$5:$AJ$596,32,)/VLOOKUP($D388,$C$5:$AJ$596,4,))*$F388))</f>
        <v>0</v>
      </c>
      <c r="AI388" s="33"/>
      <c r="AJ388" s="33">
        <f>IF(VLOOKUP($D388,$C$5:$AJ$596,34,)=0,0,((VLOOKUP($D388,$C$5:$AJ$596,34,)/VLOOKUP($D388,$C$5:$AJ$596,4,))*$F388))</f>
        <v>0</v>
      </c>
      <c r="AK388" s="33">
        <f t="shared" si="415"/>
        <v>0</v>
      </c>
      <c r="AL388" s="30" t="str">
        <f t="shared" si="416"/>
        <v>ok</v>
      </c>
    </row>
    <row r="389" spans="1:38" x14ac:dyDescent="0.25">
      <c r="D389" s="113"/>
      <c r="E389" s="13"/>
      <c r="F389" s="32"/>
      <c r="Y389" s="29"/>
      <c r="AK389" s="33"/>
      <c r="AL389" s="30"/>
    </row>
    <row r="390" spans="1:38" x14ac:dyDescent="0.25">
      <c r="B390" s="29" t="s">
        <v>1484</v>
      </c>
      <c r="C390" s="29" t="s">
        <v>688</v>
      </c>
      <c r="D390" s="113"/>
      <c r="E390" s="13"/>
      <c r="F390" s="32">
        <f>SUM(F384:F389)</f>
        <v>3358747.2557078688</v>
      </c>
      <c r="H390" s="32">
        <f t="shared" ref="H390:M390" si="417">SUM(H384:H389)</f>
        <v>3358747.2557078688</v>
      </c>
      <c r="I390" s="32">
        <f t="shared" si="417"/>
        <v>0</v>
      </c>
      <c r="J390" s="32">
        <f t="shared" si="417"/>
        <v>0</v>
      </c>
      <c r="K390" s="32">
        <f t="shared" si="417"/>
        <v>0</v>
      </c>
      <c r="L390" s="32">
        <f t="shared" si="417"/>
        <v>0</v>
      </c>
      <c r="M390" s="32">
        <f t="shared" si="417"/>
        <v>0</v>
      </c>
      <c r="O390" s="32">
        <f>SUM(O384:O389)</f>
        <v>0</v>
      </c>
      <c r="P390" s="32">
        <f>SUM(P384:P389)</f>
        <v>0</v>
      </c>
      <c r="Q390" s="32">
        <f>SUM(Q384:Q389)</f>
        <v>0</v>
      </c>
      <c r="S390" s="32">
        <f t="shared" ref="S390:AD390" si="418">SUM(S384:S389)</f>
        <v>0</v>
      </c>
      <c r="T390" s="32">
        <f t="shared" si="418"/>
        <v>0</v>
      </c>
      <c r="U390" s="32">
        <f t="shared" si="418"/>
        <v>0</v>
      </c>
      <c r="V390" s="32">
        <f t="shared" si="418"/>
        <v>0</v>
      </c>
      <c r="W390" s="32">
        <f t="shared" si="418"/>
        <v>0</v>
      </c>
      <c r="X390" s="32">
        <f t="shared" si="418"/>
        <v>0</v>
      </c>
      <c r="Y390" s="32">
        <f t="shared" si="418"/>
        <v>0</v>
      </c>
      <c r="Z390" s="32">
        <f t="shared" si="418"/>
        <v>0</v>
      </c>
      <c r="AA390" s="32">
        <f t="shared" si="418"/>
        <v>0</v>
      </c>
      <c r="AB390" s="32">
        <f t="shared" si="418"/>
        <v>0</v>
      </c>
      <c r="AC390" s="32">
        <f t="shared" si="418"/>
        <v>0</v>
      </c>
      <c r="AD390" s="32">
        <f t="shared" si="418"/>
        <v>0</v>
      </c>
      <c r="AF390" s="32">
        <f>SUM(AF384:AF389)</f>
        <v>0</v>
      </c>
      <c r="AH390" s="32">
        <f>SUM(AH384:AH389)</f>
        <v>0</v>
      </c>
      <c r="AJ390" s="32">
        <f>SUM(AJ384:AJ389)</f>
        <v>0</v>
      </c>
      <c r="AK390" s="33">
        <f t="shared" si="415"/>
        <v>3358747.2557078688</v>
      </c>
      <c r="AL390" s="30" t="str">
        <f t="shared" si="416"/>
        <v>ok</v>
      </c>
    </row>
    <row r="391" spans="1:38" x14ac:dyDescent="0.25">
      <c r="D391" s="113"/>
      <c r="E391" s="13"/>
      <c r="F391" s="32"/>
      <c r="Y391" s="29"/>
      <c r="AK391" s="33"/>
      <c r="AL391" s="30"/>
    </row>
    <row r="392" spans="1:38" x14ac:dyDescent="0.25">
      <c r="A392" s="4" t="s">
        <v>1485</v>
      </c>
      <c r="D392" s="113"/>
      <c r="E392" s="13"/>
      <c r="F392" s="32"/>
      <c r="Y392" s="29"/>
      <c r="AK392" s="33"/>
      <c r="AL392" s="30"/>
    </row>
    <row r="393" spans="1:38" x14ac:dyDescent="0.25">
      <c r="A393" s="29">
        <v>551</v>
      </c>
      <c r="B393" s="29" t="s">
        <v>541</v>
      </c>
      <c r="C393" s="29" t="s">
        <v>1538</v>
      </c>
      <c r="D393" s="113" t="s">
        <v>685</v>
      </c>
      <c r="E393" s="13"/>
      <c r="F393" s="32">
        <f>'Jurisdictional Study'!F1344</f>
        <v>281447.68924366555</v>
      </c>
      <c r="H393" s="33">
        <f>IF(VLOOKUP($D393,$C$5:$AJ$596,6,)=0,0,((VLOOKUP($D393,$C$5:$AJ$596,6,)/VLOOKUP($D393,$C$5:$AJ$596,4,))*$F393))</f>
        <v>281447.68924366555</v>
      </c>
      <c r="I393" s="33">
        <f>IF(VLOOKUP($D393,$C$5:$AJ$596,7,)=0,0,((VLOOKUP($D393,$C$5:$AJ$596,7,)/VLOOKUP($D393,$C$5:$AJ$596,4,))*$F393))</f>
        <v>0</v>
      </c>
      <c r="J393" s="33">
        <f>IF(VLOOKUP($D393,$C$5:$AJ$596,8,)=0,0,((VLOOKUP($D393,$C$5:$AJ$596,8,)/VLOOKUP($D393,$C$5:$AJ$596,4,))*$F393))</f>
        <v>0</v>
      </c>
      <c r="K393" s="33">
        <f>IF(VLOOKUP($D393,$C$5:$AJ$596,9,)=0,0,((VLOOKUP($D393,$C$5:$AJ$596,9,)/VLOOKUP($D393,$C$5:$AJ$596,4,))*$F393))</f>
        <v>0</v>
      </c>
      <c r="L393" s="33">
        <f>IF(VLOOKUP($D393,$C$5:$AJ$596,10,)=0,0,((VLOOKUP($D393,$C$5:$AJ$596,10,)/VLOOKUP($D393,$C$5:$AJ$596,4,))*$F393))</f>
        <v>0</v>
      </c>
      <c r="M393" s="33">
        <f>IF(VLOOKUP($D393,$C$5:$AJ$596,11,)=0,0,((VLOOKUP($D393,$C$5:$AJ$596,11,)/VLOOKUP($D393,$C$5:$AJ$596,4,))*$F393))</f>
        <v>0</v>
      </c>
      <c r="N393" s="33"/>
      <c r="O393" s="33">
        <f>IF(VLOOKUP($D393,$C$5:$AJ$596,13,)=0,0,((VLOOKUP($D393,$C$5:$AJ$596,13,)/VLOOKUP($D393,$C$5:$AJ$596,4,))*$F393))</f>
        <v>0</v>
      </c>
      <c r="P393" s="33">
        <f>IF(VLOOKUP($D393,$C$5:$AJ$596,14,)=0,0,((VLOOKUP($D393,$C$5:$AJ$596,14,)/VLOOKUP($D393,$C$5:$AJ$596,4,))*$F393))</f>
        <v>0</v>
      </c>
      <c r="Q393" s="33">
        <f>IF(VLOOKUP($D393,$C$5:$AJ$596,15,)=0,0,((VLOOKUP($D393,$C$5:$AJ$596,15,)/VLOOKUP($D393,$C$5:$AJ$596,4,))*$F393))</f>
        <v>0</v>
      </c>
      <c r="R393" s="33"/>
      <c r="S393" s="33">
        <f>IF(VLOOKUP($D393,$C$5:$AJ$596,17,)=0,0,((VLOOKUP($D393,$C$5:$AJ$596,17,)/VLOOKUP($D393,$C$5:$AJ$596,4,))*$F393))</f>
        <v>0</v>
      </c>
      <c r="T393" s="33">
        <f>IF(VLOOKUP($D393,$C$5:$AJ$596,18,)=0,0,((VLOOKUP($D393,$C$5:$AJ$596,18,)/VLOOKUP($D393,$C$5:$AJ$596,4,))*$F393))</f>
        <v>0</v>
      </c>
      <c r="U393" s="33">
        <f>IF(VLOOKUP($D393,$C$5:$AJ$596,19,)=0,0,((VLOOKUP($D393,$C$5:$AJ$596,19,)/VLOOKUP($D393,$C$5:$AJ$596,4,))*$F393))</f>
        <v>0</v>
      </c>
      <c r="V393" s="33">
        <f>IF(VLOOKUP($D393,$C$5:$AJ$596,20,)=0,0,((VLOOKUP($D393,$C$5:$AJ$596,20,)/VLOOKUP($D393,$C$5:$AJ$596,4,))*$F393))</f>
        <v>0</v>
      </c>
      <c r="W393" s="33">
        <f>IF(VLOOKUP($D393,$C$5:$AJ$596,21,)=0,0,((VLOOKUP($D393,$C$5:$AJ$596,21,)/VLOOKUP($D393,$C$5:$AJ$596,4,))*$F393))</f>
        <v>0</v>
      </c>
      <c r="X393" s="33">
        <f>IF(VLOOKUP($D393,$C$5:$AJ$596,22,)=0,0,((VLOOKUP($D393,$C$5:$AJ$596,22,)/VLOOKUP($D393,$C$5:$AJ$596,4,))*$F393))</f>
        <v>0</v>
      </c>
      <c r="Y393" s="33">
        <f>IF(VLOOKUP($D393,$C$5:$AJ$596,23,)=0,0,((VLOOKUP($D393,$C$5:$AJ$596,23,)/VLOOKUP($D393,$C$5:$AJ$596,4,))*$F393))</f>
        <v>0</v>
      </c>
      <c r="Z393" s="33">
        <f>IF(VLOOKUP($D393,$C$5:$AJ$596,24,)=0,0,((VLOOKUP($D393,$C$5:$AJ$596,24,)/VLOOKUP($D393,$C$5:$AJ$596,4,))*$F393))</f>
        <v>0</v>
      </c>
      <c r="AA393" s="33">
        <f>IF(VLOOKUP($D393,$C$5:$AJ$596,25,)=0,0,((VLOOKUP($D393,$C$5:$AJ$596,25,)/VLOOKUP($D393,$C$5:$AJ$596,4,))*$F393))</f>
        <v>0</v>
      </c>
      <c r="AB393" s="33">
        <f>IF(VLOOKUP($D393,$C$5:$AJ$596,26,)=0,0,((VLOOKUP($D393,$C$5:$AJ$596,26,)/VLOOKUP($D393,$C$5:$AJ$596,4,))*$F393))</f>
        <v>0</v>
      </c>
      <c r="AC393" s="33">
        <f>IF(VLOOKUP($D393,$C$5:$AJ$596,27,)=0,0,((VLOOKUP($D393,$C$5:$AJ$596,27,)/VLOOKUP($D393,$C$5:$AJ$596,4,))*$F393))</f>
        <v>0</v>
      </c>
      <c r="AD393" s="33">
        <f>IF(VLOOKUP($D393,$C$5:$AJ$596,28,)=0,0,((VLOOKUP($D393,$C$5:$AJ$596,28,)/VLOOKUP($D393,$C$5:$AJ$596,4,))*$F393))</f>
        <v>0</v>
      </c>
      <c r="AE393" s="33"/>
      <c r="AF393" s="33">
        <f>IF(VLOOKUP($D393,$C$5:$AJ$596,30,)=0,0,((VLOOKUP($D393,$C$5:$AJ$596,30,)/VLOOKUP($D393,$C$5:$AJ$596,4,))*$F393))</f>
        <v>0</v>
      </c>
      <c r="AG393" s="33"/>
      <c r="AH393" s="33">
        <f>IF(VLOOKUP($D393,$C$5:$AJ$596,32,)=0,0,((VLOOKUP($D393,$C$5:$AJ$596,32,)/VLOOKUP($D393,$C$5:$AJ$596,4,))*$F393))</f>
        <v>0</v>
      </c>
      <c r="AI393" s="33"/>
      <c r="AJ393" s="33">
        <f>IF(VLOOKUP($D393,$C$5:$AJ$596,34,)=0,0,((VLOOKUP($D393,$C$5:$AJ$596,34,)/VLOOKUP($D393,$C$5:$AJ$596,4,))*$F393))</f>
        <v>0</v>
      </c>
      <c r="AK393" s="33">
        <f t="shared" ref="AK393:AK400" si="419">SUM(H393:AJ393)</f>
        <v>281447.68924366555</v>
      </c>
      <c r="AL393" s="30" t="str">
        <f t="shared" ref="AL393:AL400" si="420">IF(ABS(AK393-F393)&lt;1,"ok","err")</f>
        <v>ok</v>
      </c>
    </row>
    <row r="394" spans="1:38" x14ac:dyDescent="0.25">
      <c r="A394" s="29">
        <v>552</v>
      </c>
      <c r="B394" s="29" t="s">
        <v>540</v>
      </c>
      <c r="C394" s="29" t="s">
        <v>1539</v>
      </c>
      <c r="D394" s="113" t="s">
        <v>685</v>
      </c>
      <c r="E394" s="13"/>
      <c r="F394" s="33">
        <f>'Jurisdictional Study'!F1345</f>
        <v>233022.27542243534</v>
      </c>
      <c r="H394" s="33">
        <f>IF(VLOOKUP($D394,$C$5:$AJ$596,6,)=0,0,((VLOOKUP($D394,$C$5:$AJ$596,6,)/VLOOKUP($D394,$C$5:$AJ$596,4,))*$F394))</f>
        <v>233022.27542243534</v>
      </c>
      <c r="I394" s="33">
        <f>IF(VLOOKUP($D394,$C$5:$AJ$596,7,)=0,0,((VLOOKUP($D394,$C$5:$AJ$596,7,)/VLOOKUP($D394,$C$5:$AJ$596,4,))*$F394))</f>
        <v>0</v>
      </c>
      <c r="J394" s="33">
        <f>IF(VLOOKUP($D394,$C$5:$AJ$596,8,)=0,0,((VLOOKUP($D394,$C$5:$AJ$596,8,)/VLOOKUP($D394,$C$5:$AJ$596,4,))*$F394))</f>
        <v>0</v>
      </c>
      <c r="K394" s="33">
        <f>IF(VLOOKUP($D394,$C$5:$AJ$596,9,)=0,0,((VLOOKUP($D394,$C$5:$AJ$596,9,)/VLOOKUP($D394,$C$5:$AJ$596,4,))*$F394))</f>
        <v>0</v>
      </c>
      <c r="L394" s="33">
        <f>IF(VLOOKUP($D394,$C$5:$AJ$596,10,)=0,0,((VLOOKUP($D394,$C$5:$AJ$596,10,)/VLOOKUP($D394,$C$5:$AJ$596,4,))*$F394))</f>
        <v>0</v>
      </c>
      <c r="M394" s="33">
        <f>IF(VLOOKUP($D394,$C$5:$AJ$596,11,)=0,0,((VLOOKUP($D394,$C$5:$AJ$596,11,)/VLOOKUP($D394,$C$5:$AJ$596,4,))*$F394))</f>
        <v>0</v>
      </c>
      <c r="N394" s="33"/>
      <c r="O394" s="33">
        <f>IF(VLOOKUP($D394,$C$5:$AJ$596,13,)=0,0,((VLOOKUP($D394,$C$5:$AJ$596,13,)/VLOOKUP($D394,$C$5:$AJ$596,4,))*$F394))</f>
        <v>0</v>
      </c>
      <c r="P394" s="33">
        <f>IF(VLOOKUP($D394,$C$5:$AJ$596,14,)=0,0,((VLOOKUP($D394,$C$5:$AJ$596,14,)/VLOOKUP($D394,$C$5:$AJ$596,4,))*$F394))</f>
        <v>0</v>
      </c>
      <c r="Q394" s="33">
        <f>IF(VLOOKUP($D394,$C$5:$AJ$596,15,)=0,0,((VLOOKUP($D394,$C$5:$AJ$596,15,)/VLOOKUP($D394,$C$5:$AJ$596,4,))*$F394))</f>
        <v>0</v>
      </c>
      <c r="R394" s="33"/>
      <c r="S394" s="33">
        <f>IF(VLOOKUP($D394,$C$5:$AJ$596,17,)=0,0,((VLOOKUP($D394,$C$5:$AJ$596,17,)/VLOOKUP($D394,$C$5:$AJ$596,4,))*$F394))</f>
        <v>0</v>
      </c>
      <c r="T394" s="33">
        <f>IF(VLOOKUP($D394,$C$5:$AJ$596,18,)=0,0,((VLOOKUP($D394,$C$5:$AJ$596,18,)/VLOOKUP($D394,$C$5:$AJ$596,4,))*$F394))</f>
        <v>0</v>
      </c>
      <c r="U394" s="33">
        <f>IF(VLOOKUP($D394,$C$5:$AJ$596,19,)=0,0,((VLOOKUP($D394,$C$5:$AJ$596,19,)/VLOOKUP($D394,$C$5:$AJ$596,4,))*$F394))</f>
        <v>0</v>
      </c>
      <c r="V394" s="33">
        <f>IF(VLOOKUP($D394,$C$5:$AJ$596,20,)=0,0,((VLOOKUP($D394,$C$5:$AJ$596,20,)/VLOOKUP($D394,$C$5:$AJ$596,4,))*$F394))</f>
        <v>0</v>
      </c>
      <c r="W394" s="33">
        <f>IF(VLOOKUP($D394,$C$5:$AJ$596,21,)=0,0,((VLOOKUP($D394,$C$5:$AJ$596,21,)/VLOOKUP($D394,$C$5:$AJ$596,4,))*$F394))</f>
        <v>0</v>
      </c>
      <c r="X394" s="33">
        <f>IF(VLOOKUP($D394,$C$5:$AJ$596,22,)=0,0,((VLOOKUP($D394,$C$5:$AJ$596,22,)/VLOOKUP($D394,$C$5:$AJ$596,4,))*$F394))</f>
        <v>0</v>
      </c>
      <c r="Y394" s="33">
        <f>IF(VLOOKUP($D394,$C$5:$AJ$596,23,)=0,0,((VLOOKUP($D394,$C$5:$AJ$596,23,)/VLOOKUP($D394,$C$5:$AJ$596,4,))*$F394))</f>
        <v>0</v>
      </c>
      <c r="Z394" s="33">
        <f>IF(VLOOKUP($D394,$C$5:$AJ$596,24,)=0,0,((VLOOKUP($D394,$C$5:$AJ$596,24,)/VLOOKUP($D394,$C$5:$AJ$596,4,))*$F394))</f>
        <v>0</v>
      </c>
      <c r="AA394" s="33">
        <f>IF(VLOOKUP($D394,$C$5:$AJ$596,25,)=0,0,((VLOOKUP($D394,$C$5:$AJ$596,25,)/VLOOKUP($D394,$C$5:$AJ$596,4,))*$F394))</f>
        <v>0</v>
      </c>
      <c r="AB394" s="33">
        <f>IF(VLOOKUP($D394,$C$5:$AJ$596,26,)=0,0,((VLOOKUP($D394,$C$5:$AJ$596,26,)/VLOOKUP($D394,$C$5:$AJ$596,4,))*$F394))</f>
        <v>0</v>
      </c>
      <c r="AC394" s="33">
        <f>IF(VLOOKUP($D394,$C$5:$AJ$596,27,)=0,0,((VLOOKUP($D394,$C$5:$AJ$596,27,)/VLOOKUP($D394,$C$5:$AJ$596,4,))*$F394))</f>
        <v>0</v>
      </c>
      <c r="AD394" s="33">
        <f>IF(VLOOKUP($D394,$C$5:$AJ$596,28,)=0,0,((VLOOKUP($D394,$C$5:$AJ$596,28,)/VLOOKUP($D394,$C$5:$AJ$596,4,))*$F394))</f>
        <v>0</v>
      </c>
      <c r="AE394" s="33"/>
      <c r="AF394" s="33">
        <f>IF(VLOOKUP($D394,$C$5:$AJ$596,30,)=0,0,((VLOOKUP($D394,$C$5:$AJ$596,30,)/VLOOKUP($D394,$C$5:$AJ$596,4,))*$F394))</f>
        <v>0</v>
      </c>
      <c r="AG394" s="33"/>
      <c r="AH394" s="33">
        <f>IF(VLOOKUP($D394,$C$5:$AJ$596,32,)=0,0,((VLOOKUP($D394,$C$5:$AJ$596,32,)/VLOOKUP($D394,$C$5:$AJ$596,4,))*$F394))</f>
        <v>0</v>
      </c>
      <c r="AI394" s="33"/>
      <c r="AJ394" s="33">
        <f>IF(VLOOKUP($D394,$C$5:$AJ$596,34,)=0,0,((VLOOKUP($D394,$C$5:$AJ$596,34,)/VLOOKUP($D394,$C$5:$AJ$596,4,))*$F394))</f>
        <v>0</v>
      </c>
      <c r="AK394" s="33">
        <f t="shared" si="419"/>
        <v>233022.27542243534</v>
      </c>
      <c r="AL394" s="30" t="str">
        <f t="shared" si="420"/>
        <v>ok</v>
      </c>
    </row>
    <row r="395" spans="1:38" x14ac:dyDescent="0.25">
      <c r="A395" s="29">
        <v>553</v>
      </c>
      <c r="B395" s="29" t="s">
        <v>1488</v>
      </c>
      <c r="C395" s="29" t="s">
        <v>1540</v>
      </c>
      <c r="D395" s="113" t="s">
        <v>685</v>
      </c>
      <c r="E395" s="13"/>
      <c r="F395" s="33">
        <f>'Jurisdictional Study'!F1346</f>
        <v>1602568.1295589125</v>
      </c>
      <c r="H395" s="33">
        <f>IF(VLOOKUP($D395,$C$5:$AJ$596,6,)=0,0,((VLOOKUP($D395,$C$5:$AJ$596,6,)/VLOOKUP($D395,$C$5:$AJ$596,4,))*$F395))</f>
        <v>1602568.1295589125</v>
      </c>
      <c r="I395" s="33">
        <f>IF(VLOOKUP($D395,$C$5:$AJ$596,7,)=0,0,((VLOOKUP($D395,$C$5:$AJ$596,7,)/VLOOKUP($D395,$C$5:$AJ$596,4,))*$F395))</f>
        <v>0</v>
      </c>
      <c r="J395" s="33">
        <f>IF(VLOOKUP($D395,$C$5:$AJ$596,8,)=0,0,((VLOOKUP($D395,$C$5:$AJ$596,8,)/VLOOKUP($D395,$C$5:$AJ$596,4,))*$F395))</f>
        <v>0</v>
      </c>
      <c r="K395" s="33">
        <f>IF(VLOOKUP($D395,$C$5:$AJ$596,9,)=0,0,((VLOOKUP($D395,$C$5:$AJ$596,9,)/VLOOKUP($D395,$C$5:$AJ$596,4,))*$F395))</f>
        <v>0</v>
      </c>
      <c r="L395" s="33">
        <f>IF(VLOOKUP($D395,$C$5:$AJ$596,10,)=0,0,((VLOOKUP($D395,$C$5:$AJ$596,10,)/VLOOKUP($D395,$C$5:$AJ$596,4,))*$F395))</f>
        <v>0</v>
      </c>
      <c r="M395" s="33">
        <f>IF(VLOOKUP($D395,$C$5:$AJ$596,11,)=0,0,((VLOOKUP($D395,$C$5:$AJ$596,11,)/VLOOKUP($D395,$C$5:$AJ$596,4,))*$F395))</f>
        <v>0</v>
      </c>
      <c r="N395" s="33"/>
      <c r="O395" s="33">
        <f>IF(VLOOKUP($D395,$C$5:$AJ$596,13,)=0,0,((VLOOKUP($D395,$C$5:$AJ$596,13,)/VLOOKUP($D395,$C$5:$AJ$596,4,))*$F395))</f>
        <v>0</v>
      </c>
      <c r="P395" s="33">
        <f>IF(VLOOKUP($D395,$C$5:$AJ$596,14,)=0,0,((VLOOKUP($D395,$C$5:$AJ$596,14,)/VLOOKUP($D395,$C$5:$AJ$596,4,))*$F395))</f>
        <v>0</v>
      </c>
      <c r="Q395" s="33">
        <f>IF(VLOOKUP($D395,$C$5:$AJ$596,15,)=0,0,((VLOOKUP($D395,$C$5:$AJ$596,15,)/VLOOKUP($D395,$C$5:$AJ$596,4,))*$F395))</f>
        <v>0</v>
      </c>
      <c r="R395" s="33"/>
      <c r="S395" s="33">
        <f>IF(VLOOKUP($D395,$C$5:$AJ$596,17,)=0,0,((VLOOKUP($D395,$C$5:$AJ$596,17,)/VLOOKUP($D395,$C$5:$AJ$596,4,))*$F395))</f>
        <v>0</v>
      </c>
      <c r="T395" s="33">
        <f>IF(VLOOKUP($D395,$C$5:$AJ$596,18,)=0,0,((VLOOKUP($D395,$C$5:$AJ$596,18,)/VLOOKUP($D395,$C$5:$AJ$596,4,))*$F395))</f>
        <v>0</v>
      </c>
      <c r="U395" s="33">
        <f>IF(VLOOKUP($D395,$C$5:$AJ$596,19,)=0,0,((VLOOKUP($D395,$C$5:$AJ$596,19,)/VLOOKUP($D395,$C$5:$AJ$596,4,))*$F395))</f>
        <v>0</v>
      </c>
      <c r="V395" s="33">
        <f>IF(VLOOKUP($D395,$C$5:$AJ$596,20,)=0,0,((VLOOKUP($D395,$C$5:$AJ$596,20,)/VLOOKUP($D395,$C$5:$AJ$596,4,))*$F395))</f>
        <v>0</v>
      </c>
      <c r="W395" s="33">
        <f>IF(VLOOKUP($D395,$C$5:$AJ$596,21,)=0,0,((VLOOKUP($D395,$C$5:$AJ$596,21,)/VLOOKUP($D395,$C$5:$AJ$596,4,))*$F395))</f>
        <v>0</v>
      </c>
      <c r="X395" s="33">
        <f>IF(VLOOKUP($D395,$C$5:$AJ$596,22,)=0,0,((VLOOKUP($D395,$C$5:$AJ$596,22,)/VLOOKUP($D395,$C$5:$AJ$596,4,))*$F395))</f>
        <v>0</v>
      </c>
      <c r="Y395" s="33">
        <f>IF(VLOOKUP($D395,$C$5:$AJ$596,23,)=0,0,((VLOOKUP($D395,$C$5:$AJ$596,23,)/VLOOKUP($D395,$C$5:$AJ$596,4,))*$F395))</f>
        <v>0</v>
      </c>
      <c r="Z395" s="33">
        <f>IF(VLOOKUP($D395,$C$5:$AJ$596,24,)=0,0,((VLOOKUP($D395,$C$5:$AJ$596,24,)/VLOOKUP($D395,$C$5:$AJ$596,4,))*$F395))</f>
        <v>0</v>
      </c>
      <c r="AA395" s="33">
        <f>IF(VLOOKUP($D395,$C$5:$AJ$596,25,)=0,0,((VLOOKUP($D395,$C$5:$AJ$596,25,)/VLOOKUP($D395,$C$5:$AJ$596,4,))*$F395))</f>
        <v>0</v>
      </c>
      <c r="AB395" s="33">
        <f>IF(VLOOKUP($D395,$C$5:$AJ$596,26,)=0,0,((VLOOKUP($D395,$C$5:$AJ$596,26,)/VLOOKUP($D395,$C$5:$AJ$596,4,))*$F395))</f>
        <v>0</v>
      </c>
      <c r="AC395" s="33">
        <f>IF(VLOOKUP($D395,$C$5:$AJ$596,27,)=0,0,((VLOOKUP($D395,$C$5:$AJ$596,27,)/VLOOKUP($D395,$C$5:$AJ$596,4,))*$F395))</f>
        <v>0</v>
      </c>
      <c r="AD395" s="33">
        <f>IF(VLOOKUP($D395,$C$5:$AJ$596,28,)=0,0,((VLOOKUP($D395,$C$5:$AJ$596,28,)/VLOOKUP($D395,$C$5:$AJ$596,4,))*$F395))</f>
        <v>0</v>
      </c>
      <c r="AE395" s="33"/>
      <c r="AF395" s="33">
        <f>IF(VLOOKUP($D395,$C$5:$AJ$596,30,)=0,0,((VLOOKUP($D395,$C$5:$AJ$596,30,)/VLOOKUP($D395,$C$5:$AJ$596,4,))*$F395))</f>
        <v>0</v>
      </c>
      <c r="AG395" s="33"/>
      <c r="AH395" s="33">
        <f>IF(VLOOKUP($D395,$C$5:$AJ$596,32,)=0,0,((VLOOKUP($D395,$C$5:$AJ$596,32,)/VLOOKUP($D395,$C$5:$AJ$596,4,))*$F395))</f>
        <v>0</v>
      </c>
      <c r="AI395" s="33"/>
      <c r="AJ395" s="33">
        <f>IF(VLOOKUP($D395,$C$5:$AJ$596,34,)=0,0,((VLOOKUP($D395,$C$5:$AJ$596,34,)/VLOOKUP($D395,$C$5:$AJ$596,4,))*$F395))</f>
        <v>0</v>
      </c>
      <c r="AK395" s="33">
        <f t="shared" si="419"/>
        <v>1602568.1295589125</v>
      </c>
      <c r="AL395" s="30" t="str">
        <f t="shared" si="420"/>
        <v>ok</v>
      </c>
    </row>
    <row r="396" spans="1:38" x14ac:dyDescent="0.25">
      <c r="A396" s="29">
        <v>554</v>
      </c>
      <c r="B396" s="29" t="s">
        <v>1490</v>
      </c>
      <c r="C396" s="29" t="s">
        <v>1541</v>
      </c>
      <c r="D396" s="113" t="s">
        <v>685</v>
      </c>
      <c r="E396" s="13"/>
      <c r="F396" s="33">
        <f>'Jurisdictional Study'!F1347</f>
        <v>1433584.4312708473</v>
      </c>
      <c r="H396" s="33">
        <f>IF(VLOOKUP($D396,$C$5:$AJ$596,6,)=0,0,((VLOOKUP($D396,$C$5:$AJ$596,6,)/VLOOKUP($D396,$C$5:$AJ$596,4,))*$F396))</f>
        <v>1433584.4312708473</v>
      </c>
      <c r="I396" s="33">
        <f>IF(VLOOKUP($D396,$C$5:$AJ$596,7,)=0,0,((VLOOKUP($D396,$C$5:$AJ$596,7,)/VLOOKUP($D396,$C$5:$AJ$596,4,))*$F396))</f>
        <v>0</v>
      </c>
      <c r="J396" s="33">
        <f>IF(VLOOKUP($D396,$C$5:$AJ$596,8,)=0,0,((VLOOKUP($D396,$C$5:$AJ$596,8,)/VLOOKUP($D396,$C$5:$AJ$596,4,))*$F396))</f>
        <v>0</v>
      </c>
      <c r="K396" s="33">
        <f>IF(VLOOKUP($D396,$C$5:$AJ$596,9,)=0,0,((VLOOKUP($D396,$C$5:$AJ$596,9,)/VLOOKUP($D396,$C$5:$AJ$596,4,))*$F396))</f>
        <v>0</v>
      </c>
      <c r="L396" s="33">
        <f>IF(VLOOKUP($D396,$C$5:$AJ$596,10,)=0,0,((VLOOKUP($D396,$C$5:$AJ$596,10,)/VLOOKUP($D396,$C$5:$AJ$596,4,))*$F396))</f>
        <v>0</v>
      </c>
      <c r="M396" s="33">
        <f>IF(VLOOKUP($D396,$C$5:$AJ$596,11,)=0,0,((VLOOKUP($D396,$C$5:$AJ$596,11,)/VLOOKUP($D396,$C$5:$AJ$596,4,))*$F396))</f>
        <v>0</v>
      </c>
      <c r="N396" s="33"/>
      <c r="O396" s="33">
        <f>IF(VLOOKUP($D396,$C$5:$AJ$596,13,)=0,0,((VLOOKUP($D396,$C$5:$AJ$596,13,)/VLOOKUP($D396,$C$5:$AJ$596,4,))*$F396))</f>
        <v>0</v>
      </c>
      <c r="P396" s="33">
        <f>IF(VLOOKUP($D396,$C$5:$AJ$596,14,)=0,0,((VLOOKUP($D396,$C$5:$AJ$596,14,)/VLOOKUP($D396,$C$5:$AJ$596,4,))*$F396))</f>
        <v>0</v>
      </c>
      <c r="Q396" s="33">
        <f>IF(VLOOKUP($D396,$C$5:$AJ$596,15,)=0,0,((VLOOKUP($D396,$C$5:$AJ$596,15,)/VLOOKUP($D396,$C$5:$AJ$596,4,))*$F396))</f>
        <v>0</v>
      </c>
      <c r="R396" s="33"/>
      <c r="S396" s="33">
        <f>IF(VLOOKUP($D396,$C$5:$AJ$596,17,)=0,0,((VLOOKUP($D396,$C$5:$AJ$596,17,)/VLOOKUP($D396,$C$5:$AJ$596,4,))*$F396))</f>
        <v>0</v>
      </c>
      <c r="T396" s="33">
        <f>IF(VLOOKUP($D396,$C$5:$AJ$596,18,)=0,0,((VLOOKUP($D396,$C$5:$AJ$596,18,)/VLOOKUP($D396,$C$5:$AJ$596,4,))*$F396))</f>
        <v>0</v>
      </c>
      <c r="U396" s="33">
        <f>IF(VLOOKUP($D396,$C$5:$AJ$596,19,)=0,0,((VLOOKUP($D396,$C$5:$AJ$596,19,)/VLOOKUP($D396,$C$5:$AJ$596,4,))*$F396))</f>
        <v>0</v>
      </c>
      <c r="V396" s="33">
        <f>IF(VLOOKUP($D396,$C$5:$AJ$596,20,)=0,0,((VLOOKUP($D396,$C$5:$AJ$596,20,)/VLOOKUP($D396,$C$5:$AJ$596,4,))*$F396))</f>
        <v>0</v>
      </c>
      <c r="W396" s="33">
        <f>IF(VLOOKUP($D396,$C$5:$AJ$596,21,)=0,0,((VLOOKUP($D396,$C$5:$AJ$596,21,)/VLOOKUP($D396,$C$5:$AJ$596,4,))*$F396))</f>
        <v>0</v>
      </c>
      <c r="X396" s="33">
        <f>IF(VLOOKUP($D396,$C$5:$AJ$596,22,)=0,0,((VLOOKUP($D396,$C$5:$AJ$596,22,)/VLOOKUP($D396,$C$5:$AJ$596,4,))*$F396))</f>
        <v>0</v>
      </c>
      <c r="Y396" s="33">
        <f>IF(VLOOKUP($D396,$C$5:$AJ$596,23,)=0,0,((VLOOKUP($D396,$C$5:$AJ$596,23,)/VLOOKUP($D396,$C$5:$AJ$596,4,))*$F396))</f>
        <v>0</v>
      </c>
      <c r="Z396" s="33">
        <f>IF(VLOOKUP($D396,$C$5:$AJ$596,24,)=0,0,((VLOOKUP($D396,$C$5:$AJ$596,24,)/VLOOKUP($D396,$C$5:$AJ$596,4,))*$F396))</f>
        <v>0</v>
      </c>
      <c r="AA396" s="33">
        <f>IF(VLOOKUP($D396,$C$5:$AJ$596,25,)=0,0,((VLOOKUP($D396,$C$5:$AJ$596,25,)/VLOOKUP($D396,$C$5:$AJ$596,4,))*$F396))</f>
        <v>0</v>
      </c>
      <c r="AB396" s="33">
        <f>IF(VLOOKUP($D396,$C$5:$AJ$596,26,)=0,0,((VLOOKUP($D396,$C$5:$AJ$596,26,)/VLOOKUP($D396,$C$5:$AJ$596,4,))*$F396))</f>
        <v>0</v>
      </c>
      <c r="AC396" s="33">
        <f>IF(VLOOKUP($D396,$C$5:$AJ$596,27,)=0,0,((VLOOKUP($D396,$C$5:$AJ$596,27,)/VLOOKUP($D396,$C$5:$AJ$596,4,))*$F396))</f>
        <v>0</v>
      </c>
      <c r="AD396" s="33">
        <f>IF(VLOOKUP($D396,$C$5:$AJ$596,28,)=0,0,((VLOOKUP($D396,$C$5:$AJ$596,28,)/VLOOKUP($D396,$C$5:$AJ$596,4,))*$F396))</f>
        <v>0</v>
      </c>
      <c r="AE396" s="33"/>
      <c r="AF396" s="33">
        <f>IF(VLOOKUP($D396,$C$5:$AJ$596,30,)=0,0,((VLOOKUP($D396,$C$5:$AJ$596,30,)/VLOOKUP($D396,$C$5:$AJ$596,4,))*$F396))</f>
        <v>0</v>
      </c>
      <c r="AG396" s="33"/>
      <c r="AH396" s="33">
        <f>IF(VLOOKUP($D396,$C$5:$AJ$596,32,)=0,0,((VLOOKUP($D396,$C$5:$AJ$596,32,)/VLOOKUP($D396,$C$5:$AJ$596,4,))*$F396))</f>
        <v>0</v>
      </c>
      <c r="AI396" s="33"/>
      <c r="AJ396" s="33">
        <f>IF(VLOOKUP($D396,$C$5:$AJ$596,34,)=0,0,((VLOOKUP($D396,$C$5:$AJ$596,34,)/VLOOKUP($D396,$C$5:$AJ$596,4,))*$F396))</f>
        <v>0</v>
      </c>
      <c r="AK396" s="33">
        <f t="shared" si="419"/>
        <v>1433584.4312708473</v>
      </c>
      <c r="AL396" s="30" t="str">
        <f t="shared" si="420"/>
        <v>ok</v>
      </c>
    </row>
    <row r="397" spans="1:38" x14ac:dyDescent="0.25">
      <c r="D397" s="13"/>
      <c r="E397" s="13"/>
      <c r="F397" s="32"/>
      <c r="Y397" s="29"/>
      <c r="AK397" s="33"/>
      <c r="AL397" s="30"/>
    </row>
    <row r="398" spans="1:38" x14ac:dyDescent="0.25">
      <c r="B398" s="29" t="s">
        <v>1493</v>
      </c>
      <c r="C398" s="29" t="s">
        <v>197</v>
      </c>
      <c r="D398" s="13"/>
      <c r="E398" s="13"/>
      <c r="F398" s="32">
        <f>SUM(F393:F397)</f>
        <v>3550622.5254958607</v>
      </c>
      <c r="H398" s="32">
        <f t="shared" ref="H398:M398" si="421">SUM(H393:H397)</f>
        <v>3550622.5254958607</v>
      </c>
      <c r="I398" s="32">
        <f t="shared" si="421"/>
        <v>0</v>
      </c>
      <c r="J398" s="32">
        <f t="shared" si="421"/>
        <v>0</v>
      </c>
      <c r="K398" s="32">
        <f t="shared" si="421"/>
        <v>0</v>
      </c>
      <c r="L398" s="32">
        <f t="shared" si="421"/>
        <v>0</v>
      </c>
      <c r="M398" s="32">
        <f t="shared" si="421"/>
        <v>0</v>
      </c>
      <c r="O398" s="32">
        <f>SUM(O393:O397)</f>
        <v>0</v>
      </c>
      <c r="P398" s="32">
        <f>SUM(P393:P397)</f>
        <v>0</v>
      </c>
      <c r="Q398" s="32">
        <f>SUM(Q393:Q397)</f>
        <v>0</v>
      </c>
      <c r="S398" s="32">
        <f t="shared" ref="S398:AD398" si="422">SUM(S393:S397)</f>
        <v>0</v>
      </c>
      <c r="T398" s="32">
        <f t="shared" si="422"/>
        <v>0</v>
      </c>
      <c r="U398" s="32">
        <f t="shared" si="422"/>
        <v>0</v>
      </c>
      <c r="V398" s="32">
        <f t="shared" si="422"/>
        <v>0</v>
      </c>
      <c r="W398" s="32">
        <f t="shared" si="422"/>
        <v>0</v>
      </c>
      <c r="X398" s="32">
        <f t="shared" si="422"/>
        <v>0</v>
      </c>
      <c r="Y398" s="32">
        <f t="shared" si="422"/>
        <v>0</v>
      </c>
      <c r="Z398" s="32">
        <f t="shared" si="422"/>
        <v>0</v>
      </c>
      <c r="AA398" s="32">
        <f t="shared" si="422"/>
        <v>0</v>
      </c>
      <c r="AB398" s="32">
        <f t="shared" si="422"/>
        <v>0</v>
      </c>
      <c r="AC398" s="32">
        <f t="shared" si="422"/>
        <v>0</v>
      </c>
      <c r="AD398" s="32">
        <f t="shared" si="422"/>
        <v>0</v>
      </c>
      <c r="AF398" s="32">
        <f>SUM(AF393:AF397)</f>
        <v>0</v>
      </c>
      <c r="AH398" s="32">
        <f>SUM(AH393:AH397)</f>
        <v>0</v>
      </c>
      <c r="AJ398" s="32">
        <f>SUM(AJ393:AJ397)</f>
        <v>0</v>
      </c>
      <c r="AK398" s="33">
        <f t="shared" si="419"/>
        <v>3550622.5254958607</v>
      </c>
      <c r="AL398" s="30" t="str">
        <f t="shared" si="420"/>
        <v>ok</v>
      </c>
    </row>
    <row r="399" spans="1:38" x14ac:dyDescent="0.25">
      <c r="D399" s="13"/>
      <c r="E399" s="13"/>
      <c r="F399" s="32"/>
      <c r="H399" s="32"/>
      <c r="I399" s="32"/>
      <c r="J399" s="32"/>
      <c r="K399" s="32"/>
      <c r="L399" s="32"/>
      <c r="M399" s="32"/>
      <c r="O399" s="32"/>
      <c r="P399" s="32"/>
      <c r="Q399" s="32"/>
      <c r="S399" s="32"/>
      <c r="T399" s="32"/>
      <c r="U399" s="32"/>
      <c r="V399" s="32"/>
      <c r="W399" s="32"/>
      <c r="X399" s="32"/>
      <c r="Y399" s="32"/>
      <c r="Z399" s="32"/>
      <c r="AA399" s="32"/>
      <c r="AB399" s="32"/>
      <c r="AC399" s="32"/>
      <c r="AD399" s="32"/>
      <c r="AF399" s="32"/>
      <c r="AH399" s="32"/>
      <c r="AJ399" s="32"/>
      <c r="AK399" s="33"/>
      <c r="AL399" s="30"/>
    </row>
    <row r="400" spans="1:38" x14ac:dyDescent="0.25">
      <c r="B400" s="29" t="s">
        <v>1492</v>
      </c>
      <c r="D400" s="113"/>
      <c r="E400" s="13"/>
      <c r="F400" s="32">
        <f>F390+F398</f>
        <v>6909369.78120373</v>
      </c>
      <c r="H400" s="32">
        <f t="shared" ref="H400:M400" si="423">H390+H398</f>
        <v>6909369.78120373</v>
      </c>
      <c r="I400" s="32">
        <f t="shared" si="423"/>
        <v>0</v>
      </c>
      <c r="J400" s="32">
        <f t="shared" si="423"/>
        <v>0</v>
      </c>
      <c r="K400" s="32">
        <f t="shared" si="423"/>
        <v>0</v>
      </c>
      <c r="L400" s="32">
        <f t="shared" si="423"/>
        <v>0</v>
      </c>
      <c r="M400" s="32">
        <f t="shared" si="423"/>
        <v>0</v>
      </c>
      <c r="O400" s="32">
        <f>O390+O398</f>
        <v>0</v>
      </c>
      <c r="P400" s="32">
        <f>P390+P398</f>
        <v>0</v>
      </c>
      <c r="Q400" s="32">
        <f>Q390+Q398</f>
        <v>0</v>
      </c>
      <c r="S400" s="32">
        <f t="shared" ref="S400:AD400" si="424">S390+S398</f>
        <v>0</v>
      </c>
      <c r="T400" s="32">
        <f t="shared" si="424"/>
        <v>0</v>
      </c>
      <c r="U400" s="32">
        <f t="shared" si="424"/>
        <v>0</v>
      </c>
      <c r="V400" s="32">
        <f t="shared" si="424"/>
        <v>0</v>
      </c>
      <c r="W400" s="32">
        <f t="shared" si="424"/>
        <v>0</v>
      </c>
      <c r="X400" s="32">
        <f t="shared" si="424"/>
        <v>0</v>
      </c>
      <c r="Y400" s="32">
        <f t="shared" si="424"/>
        <v>0</v>
      </c>
      <c r="Z400" s="32">
        <f t="shared" si="424"/>
        <v>0</v>
      </c>
      <c r="AA400" s="32">
        <f t="shared" si="424"/>
        <v>0</v>
      </c>
      <c r="AB400" s="32">
        <f t="shared" si="424"/>
        <v>0</v>
      </c>
      <c r="AC400" s="32">
        <f t="shared" si="424"/>
        <v>0</v>
      </c>
      <c r="AD400" s="32">
        <f t="shared" si="424"/>
        <v>0</v>
      </c>
      <c r="AF400" s="32">
        <f>AF390+AF398</f>
        <v>0</v>
      </c>
      <c r="AH400" s="32">
        <f>AH390+AH398</f>
        <v>0</v>
      </c>
      <c r="AJ400" s="32">
        <f>AJ390+AJ398</f>
        <v>0</v>
      </c>
      <c r="AK400" s="33">
        <f t="shared" si="419"/>
        <v>6909369.78120373</v>
      </c>
      <c r="AL400" s="30" t="str">
        <f t="shared" si="420"/>
        <v>ok</v>
      </c>
    </row>
    <row r="401" spans="1:38" x14ac:dyDescent="0.25">
      <c r="D401" s="113"/>
      <c r="E401" s="13"/>
      <c r="F401" s="32"/>
      <c r="Y401" s="29"/>
      <c r="AK401" s="33"/>
      <c r="AL401" s="30"/>
    </row>
    <row r="402" spans="1:38" x14ac:dyDescent="0.25">
      <c r="B402" s="29" t="s">
        <v>1585</v>
      </c>
      <c r="C402" s="29" t="s">
        <v>1587</v>
      </c>
      <c r="D402" s="113"/>
      <c r="E402" s="13"/>
      <c r="F402" s="32">
        <f>F400+F358+F379</f>
        <v>57154253.252554469</v>
      </c>
      <c r="H402" s="32">
        <f t="shared" ref="H402:M402" si="425">H400+H358+H379</f>
        <v>32984612.131508779</v>
      </c>
      <c r="I402" s="32">
        <f t="shared" si="425"/>
        <v>0</v>
      </c>
      <c r="J402" s="32">
        <f t="shared" si="425"/>
        <v>0</v>
      </c>
      <c r="K402" s="32">
        <f t="shared" si="425"/>
        <v>24169641.121045694</v>
      </c>
      <c r="L402" s="32">
        <f t="shared" si="425"/>
        <v>0</v>
      </c>
      <c r="M402" s="32">
        <f t="shared" si="425"/>
        <v>0</v>
      </c>
      <c r="N402" s="33"/>
      <c r="O402" s="32">
        <f>O400+O358+O379</f>
        <v>0</v>
      </c>
      <c r="P402" s="32">
        <f>P400+P358+P379</f>
        <v>0</v>
      </c>
      <c r="Q402" s="32">
        <f>Q400+Q358+Q379</f>
        <v>0</v>
      </c>
      <c r="R402" s="33"/>
      <c r="S402" s="32">
        <f t="shared" ref="S402:AD402" si="426">S400+S358+S379</f>
        <v>0</v>
      </c>
      <c r="T402" s="32">
        <f t="shared" si="426"/>
        <v>0</v>
      </c>
      <c r="U402" s="32">
        <f t="shared" si="426"/>
        <v>0</v>
      </c>
      <c r="V402" s="32">
        <f t="shared" si="426"/>
        <v>0</v>
      </c>
      <c r="W402" s="32">
        <f t="shared" si="426"/>
        <v>0</v>
      </c>
      <c r="X402" s="32">
        <f t="shared" si="426"/>
        <v>0</v>
      </c>
      <c r="Y402" s="32">
        <f t="shared" si="426"/>
        <v>0</v>
      </c>
      <c r="Z402" s="32">
        <f t="shared" si="426"/>
        <v>0</v>
      </c>
      <c r="AA402" s="32">
        <f t="shared" si="426"/>
        <v>0</v>
      </c>
      <c r="AB402" s="32">
        <f t="shared" si="426"/>
        <v>0</v>
      </c>
      <c r="AC402" s="32">
        <f t="shared" si="426"/>
        <v>0</v>
      </c>
      <c r="AD402" s="32">
        <f t="shared" si="426"/>
        <v>0</v>
      </c>
      <c r="AE402" s="33"/>
      <c r="AF402" s="32">
        <f>AF400+AF358+AF379</f>
        <v>0</v>
      </c>
      <c r="AG402" s="33"/>
      <c r="AH402" s="32">
        <f>AH400+AH358+AH379</f>
        <v>0</v>
      </c>
      <c r="AI402" s="33"/>
      <c r="AJ402" s="32">
        <f>AJ400+AJ358+AJ379</f>
        <v>0</v>
      </c>
      <c r="AK402" s="33">
        <f>SUM(H402:AJ402)</f>
        <v>57154253.252554476</v>
      </c>
      <c r="AL402" s="30" t="str">
        <f>IF(ABS(AK402-F402)&lt;1,"ok","err")</f>
        <v>ok</v>
      </c>
    </row>
    <row r="403" spans="1:38" x14ac:dyDescent="0.25">
      <c r="A403" s="3"/>
      <c r="D403" s="113"/>
      <c r="E403" s="13"/>
      <c r="Y403" s="29"/>
      <c r="AL403" s="30"/>
    </row>
    <row r="404" spans="1:38" x14ac:dyDescent="0.25">
      <c r="A404" s="4" t="s">
        <v>754</v>
      </c>
      <c r="D404" s="113"/>
      <c r="E404" s="13"/>
      <c r="Y404" s="29"/>
      <c r="AL404" s="30"/>
    </row>
    <row r="405" spans="1:38" x14ac:dyDescent="0.25">
      <c r="A405" s="29">
        <v>555</v>
      </c>
      <c r="B405" s="29" t="s">
        <v>444</v>
      </c>
      <c r="C405" s="29" t="s">
        <v>983</v>
      </c>
      <c r="D405" s="113" t="s">
        <v>755</v>
      </c>
      <c r="E405" s="13"/>
      <c r="F405" s="32">
        <f>'Jurisdictional Study'!F1348</f>
        <v>0</v>
      </c>
      <c r="G405" s="32"/>
      <c r="H405" s="33">
        <f>IF(VLOOKUP($D405,$C$5:$AJ$596,6,)=0,0,((VLOOKUP($D405,$C$5:$AJ$596,6,)/VLOOKUP($D405,$C$5:$AJ$596,4,))*$F405))</f>
        <v>0</v>
      </c>
      <c r="I405" s="33">
        <f>IF(VLOOKUP($D405,$C$5:$AJ$596,7,)=0,0,((VLOOKUP($D405,$C$5:$AJ$596,7,)/VLOOKUP($D405,$C$5:$AJ$596,4,))*$F405))</f>
        <v>0</v>
      </c>
      <c r="J405" s="33">
        <f>IF(VLOOKUP($D405,$C$5:$AJ$596,8,)=0,0,((VLOOKUP($D405,$C$5:$AJ$596,8,)/VLOOKUP($D405,$C$5:$AJ$596,4,))*$F405))</f>
        <v>0</v>
      </c>
      <c r="K405" s="33">
        <f>IF(VLOOKUP($D405,$C$5:$AJ$596,9,)=0,0,((VLOOKUP($D405,$C$5:$AJ$596,9,)/VLOOKUP($D405,$C$5:$AJ$596,4,))*$F405))</f>
        <v>0</v>
      </c>
      <c r="L405" s="33">
        <f>IF(VLOOKUP($D405,$C$5:$AJ$596,10,)=0,0,((VLOOKUP($D405,$C$5:$AJ$596,10,)/VLOOKUP($D405,$C$5:$AJ$596,4,))*$F405))</f>
        <v>0</v>
      </c>
      <c r="M405" s="33">
        <f>IF(VLOOKUP($D405,$C$5:$AJ$596,11,)=0,0,((VLOOKUP($D405,$C$5:$AJ$596,11,)/VLOOKUP($D405,$C$5:$AJ$596,4,))*$F405))</f>
        <v>0</v>
      </c>
      <c r="N405" s="33"/>
      <c r="O405" s="33">
        <f>IF(VLOOKUP($D405,$C$5:$AJ$596,13,)=0,0,((VLOOKUP($D405,$C$5:$AJ$596,13,)/VLOOKUP($D405,$C$5:$AJ$596,4,))*$F405))</f>
        <v>0</v>
      </c>
      <c r="P405" s="33">
        <f>IF(VLOOKUP($D405,$C$5:$AJ$596,14,)=0,0,((VLOOKUP($D405,$C$5:$AJ$596,14,)/VLOOKUP($D405,$C$5:$AJ$596,4,))*$F405))</f>
        <v>0</v>
      </c>
      <c r="Q405" s="33">
        <f>IF(VLOOKUP($D405,$C$5:$AJ$596,15,)=0,0,((VLOOKUP($D405,$C$5:$AJ$596,15,)/VLOOKUP($D405,$C$5:$AJ$596,4,))*$F405))</f>
        <v>0</v>
      </c>
      <c r="R405" s="33"/>
      <c r="S405" s="33">
        <f>IF(VLOOKUP($D405,$C$5:$AJ$596,17,)=0,0,((VLOOKUP($D405,$C$5:$AJ$596,17,)/VLOOKUP($D405,$C$5:$AJ$596,4,))*$F405))</f>
        <v>0</v>
      </c>
      <c r="T405" s="33">
        <f>IF(VLOOKUP($D405,$C$5:$AJ$596,18,)=0,0,((VLOOKUP($D405,$C$5:$AJ$596,18,)/VLOOKUP($D405,$C$5:$AJ$596,4,))*$F405))</f>
        <v>0</v>
      </c>
      <c r="U405" s="33">
        <f>IF(VLOOKUP($D405,$C$5:$AJ$596,19,)=0,0,((VLOOKUP($D405,$C$5:$AJ$596,19,)/VLOOKUP($D405,$C$5:$AJ$596,4,))*$F405))</f>
        <v>0</v>
      </c>
      <c r="V405" s="33">
        <f>IF(VLOOKUP($D405,$C$5:$AJ$596,20,)=0,0,((VLOOKUP($D405,$C$5:$AJ$596,20,)/VLOOKUP($D405,$C$5:$AJ$596,4,))*$F405))</f>
        <v>0</v>
      </c>
      <c r="W405" s="33">
        <f>IF(VLOOKUP($D405,$C$5:$AJ$596,21,)=0,0,((VLOOKUP($D405,$C$5:$AJ$596,21,)/VLOOKUP($D405,$C$5:$AJ$596,4,))*$F405))</f>
        <v>0</v>
      </c>
      <c r="X405" s="33">
        <f>IF(VLOOKUP($D405,$C$5:$AJ$596,22,)=0,0,((VLOOKUP($D405,$C$5:$AJ$596,22,)/VLOOKUP($D405,$C$5:$AJ$596,4,))*$F405))</f>
        <v>0</v>
      </c>
      <c r="Y405" s="33">
        <f>IF(VLOOKUP($D405,$C$5:$AJ$596,23,)=0,0,((VLOOKUP($D405,$C$5:$AJ$596,23,)/VLOOKUP($D405,$C$5:$AJ$596,4,))*$F405))</f>
        <v>0</v>
      </c>
      <c r="Z405" s="33">
        <f>IF(VLOOKUP($D405,$C$5:$AJ$596,24,)=0,0,((VLOOKUP($D405,$C$5:$AJ$596,24,)/VLOOKUP($D405,$C$5:$AJ$596,4,))*$F405))</f>
        <v>0</v>
      </c>
      <c r="AA405" s="33">
        <f>IF(VLOOKUP($D405,$C$5:$AJ$596,25,)=0,0,((VLOOKUP($D405,$C$5:$AJ$596,25,)/VLOOKUP($D405,$C$5:$AJ$596,4,))*$F405))</f>
        <v>0</v>
      </c>
      <c r="AB405" s="33">
        <f>IF(VLOOKUP($D405,$C$5:$AJ$596,26,)=0,0,((VLOOKUP($D405,$C$5:$AJ$596,26,)/VLOOKUP($D405,$C$5:$AJ$596,4,))*$F405))</f>
        <v>0</v>
      </c>
      <c r="AC405" s="33">
        <f>IF(VLOOKUP($D405,$C$5:$AJ$596,27,)=0,0,((VLOOKUP($D405,$C$5:$AJ$596,27,)/VLOOKUP($D405,$C$5:$AJ$596,4,))*$F405))</f>
        <v>0</v>
      </c>
      <c r="AD405" s="33">
        <f>IF(VLOOKUP($D405,$C$5:$AJ$596,28,)=0,0,((VLOOKUP($D405,$C$5:$AJ$596,28,)/VLOOKUP($D405,$C$5:$AJ$596,4,))*$F405))</f>
        <v>0</v>
      </c>
      <c r="AE405" s="33"/>
      <c r="AF405" s="33">
        <f>IF(VLOOKUP($D405,$C$5:$AJ$596,30,)=0,0,((VLOOKUP($D405,$C$5:$AJ$596,30,)/VLOOKUP($D405,$C$5:$AJ$596,4,))*$F405))</f>
        <v>0</v>
      </c>
      <c r="AG405" s="33"/>
      <c r="AH405" s="33">
        <f>IF(VLOOKUP($D405,$C$5:$AJ$596,32,)=0,0,((VLOOKUP($D405,$C$5:$AJ$596,32,)/VLOOKUP($D405,$C$5:$AJ$596,4,))*$F405))</f>
        <v>0</v>
      </c>
      <c r="AI405" s="33"/>
      <c r="AJ405" s="33">
        <f>IF(VLOOKUP($D405,$C$5:$AJ$596,34,)=0,0,((VLOOKUP($D405,$C$5:$AJ$596,34,)/VLOOKUP($D405,$C$5:$AJ$596,4,))*$F405))</f>
        <v>0</v>
      </c>
      <c r="AK405" s="33">
        <f>SUM(H405:AJ405)</f>
        <v>0</v>
      </c>
      <c r="AL405" s="30" t="str">
        <f>IF(ABS(AK405-F405)&lt;1,"ok","err")</f>
        <v>ok</v>
      </c>
    </row>
    <row r="406" spans="1:38" x14ac:dyDescent="0.25">
      <c r="A406" s="29">
        <v>556</v>
      </c>
      <c r="B406" s="29" t="s">
        <v>1502</v>
      </c>
      <c r="C406" s="29" t="s">
        <v>1708</v>
      </c>
      <c r="D406" s="113" t="s">
        <v>685</v>
      </c>
      <c r="E406" s="13"/>
      <c r="F406" s="32">
        <f>'Jurisdictional Study'!F1349</f>
        <v>1691612.8433689571</v>
      </c>
      <c r="G406" s="32"/>
      <c r="H406" s="33">
        <f>IF(VLOOKUP($D406,$C$5:$AJ$596,6,)=0,0,((VLOOKUP($D406,$C$5:$AJ$596,6,)/VLOOKUP($D406,$C$5:$AJ$596,4,))*$F406))</f>
        <v>1691612.8433689571</v>
      </c>
      <c r="I406" s="33">
        <f>IF(VLOOKUP($D406,$C$5:$AJ$596,7,)=0,0,((VLOOKUP($D406,$C$5:$AJ$596,7,)/VLOOKUP($D406,$C$5:$AJ$596,4,))*$F406))</f>
        <v>0</v>
      </c>
      <c r="J406" s="33">
        <f>IF(VLOOKUP($D406,$C$5:$AJ$596,8,)=0,0,((VLOOKUP($D406,$C$5:$AJ$596,8,)/VLOOKUP($D406,$C$5:$AJ$596,4,))*$F406))</f>
        <v>0</v>
      </c>
      <c r="K406" s="33">
        <f>IF(VLOOKUP($D406,$C$5:$AJ$596,9,)=0,0,((VLOOKUP($D406,$C$5:$AJ$596,9,)/VLOOKUP($D406,$C$5:$AJ$596,4,))*$F406))</f>
        <v>0</v>
      </c>
      <c r="L406" s="33">
        <f>IF(VLOOKUP($D406,$C$5:$AJ$596,10,)=0,0,((VLOOKUP($D406,$C$5:$AJ$596,10,)/VLOOKUP($D406,$C$5:$AJ$596,4,))*$F406))</f>
        <v>0</v>
      </c>
      <c r="M406" s="33">
        <f>IF(VLOOKUP($D406,$C$5:$AJ$596,11,)=0,0,((VLOOKUP($D406,$C$5:$AJ$596,11,)/VLOOKUP($D406,$C$5:$AJ$596,4,))*$F406))</f>
        <v>0</v>
      </c>
      <c r="N406" s="33"/>
      <c r="O406" s="33">
        <f>IF(VLOOKUP($D406,$C$5:$AJ$596,13,)=0,0,((VLOOKUP($D406,$C$5:$AJ$596,13,)/VLOOKUP($D406,$C$5:$AJ$596,4,))*$F406))</f>
        <v>0</v>
      </c>
      <c r="P406" s="33">
        <f>IF(VLOOKUP($D406,$C$5:$AJ$596,14,)=0,0,((VLOOKUP($D406,$C$5:$AJ$596,14,)/VLOOKUP($D406,$C$5:$AJ$596,4,))*$F406))</f>
        <v>0</v>
      </c>
      <c r="Q406" s="33">
        <f>IF(VLOOKUP($D406,$C$5:$AJ$596,15,)=0,0,((VLOOKUP($D406,$C$5:$AJ$596,15,)/VLOOKUP($D406,$C$5:$AJ$596,4,))*$F406))</f>
        <v>0</v>
      </c>
      <c r="R406" s="33"/>
      <c r="S406" s="33">
        <f>IF(VLOOKUP($D406,$C$5:$AJ$596,17,)=0,0,((VLOOKUP($D406,$C$5:$AJ$596,17,)/VLOOKUP($D406,$C$5:$AJ$596,4,))*$F406))</f>
        <v>0</v>
      </c>
      <c r="T406" s="33">
        <f>IF(VLOOKUP($D406,$C$5:$AJ$596,18,)=0,0,((VLOOKUP($D406,$C$5:$AJ$596,18,)/VLOOKUP($D406,$C$5:$AJ$596,4,))*$F406))</f>
        <v>0</v>
      </c>
      <c r="U406" s="33">
        <f>IF(VLOOKUP($D406,$C$5:$AJ$596,19,)=0,0,((VLOOKUP($D406,$C$5:$AJ$596,19,)/VLOOKUP($D406,$C$5:$AJ$596,4,))*$F406))</f>
        <v>0</v>
      </c>
      <c r="V406" s="33">
        <f>IF(VLOOKUP($D406,$C$5:$AJ$596,20,)=0,0,((VLOOKUP($D406,$C$5:$AJ$596,20,)/VLOOKUP($D406,$C$5:$AJ$596,4,))*$F406))</f>
        <v>0</v>
      </c>
      <c r="W406" s="33">
        <f>IF(VLOOKUP($D406,$C$5:$AJ$596,21,)=0,0,((VLOOKUP($D406,$C$5:$AJ$596,21,)/VLOOKUP($D406,$C$5:$AJ$596,4,))*$F406))</f>
        <v>0</v>
      </c>
      <c r="X406" s="33">
        <f>IF(VLOOKUP($D406,$C$5:$AJ$596,22,)=0,0,((VLOOKUP($D406,$C$5:$AJ$596,22,)/VLOOKUP($D406,$C$5:$AJ$596,4,))*$F406))</f>
        <v>0</v>
      </c>
      <c r="Y406" s="33">
        <f>IF(VLOOKUP($D406,$C$5:$AJ$596,23,)=0,0,((VLOOKUP($D406,$C$5:$AJ$596,23,)/VLOOKUP($D406,$C$5:$AJ$596,4,))*$F406))</f>
        <v>0</v>
      </c>
      <c r="Z406" s="33">
        <f>IF(VLOOKUP($D406,$C$5:$AJ$596,24,)=0,0,((VLOOKUP($D406,$C$5:$AJ$596,24,)/VLOOKUP($D406,$C$5:$AJ$596,4,))*$F406))</f>
        <v>0</v>
      </c>
      <c r="AA406" s="33">
        <f>IF(VLOOKUP($D406,$C$5:$AJ$596,25,)=0,0,((VLOOKUP($D406,$C$5:$AJ$596,25,)/VLOOKUP($D406,$C$5:$AJ$596,4,))*$F406))</f>
        <v>0</v>
      </c>
      <c r="AB406" s="33">
        <f>IF(VLOOKUP($D406,$C$5:$AJ$596,26,)=0,0,((VLOOKUP($D406,$C$5:$AJ$596,26,)/VLOOKUP($D406,$C$5:$AJ$596,4,))*$F406))</f>
        <v>0</v>
      </c>
      <c r="AC406" s="33">
        <f>IF(VLOOKUP($D406,$C$5:$AJ$596,27,)=0,0,((VLOOKUP($D406,$C$5:$AJ$596,27,)/VLOOKUP($D406,$C$5:$AJ$596,4,))*$F406))</f>
        <v>0</v>
      </c>
      <c r="AD406" s="33">
        <f>IF(VLOOKUP($D406,$C$5:$AJ$596,28,)=0,0,((VLOOKUP($D406,$C$5:$AJ$596,28,)/VLOOKUP($D406,$C$5:$AJ$596,4,))*$F406))</f>
        <v>0</v>
      </c>
      <c r="AE406" s="33"/>
      <c r="AF406" s="33">
        <f>IF(VLOOKUP($D406,$C$5:$AJ$596,30,)=0,0,((VLOOKUP($D406,$C$5:$AJ$596,30,)/VLOOKUP($D406,$C$5:$AJ$596,4,))*$F406))</f>
        <v>0</v>
      </c>
      <c r="AG406" s="33"/>
      <c r="AH406" s="33">
        <f>IF(VLOOKUP($D406,$C$5:$AJ$596,32,)=0,0,((VLOOKUP($D406,$C$5:$AJ$596,32,)/VLOOKUP($D406,$C$5:$AJ$596,4,))*$F406))</f>
        <v>0</v>
      </c>
      <c r="AI406" s="33"/>
      <c r="AJ406" s="33">
        <f>IF(VLOOKUP($D406,$C$5:$AJ$596,34,)=0,0,((VLOOKUP($D406,$C$5:$AJ$596,34,)/VLOOKUP($D406,$C$5:$AJ$596,4,))*$F406))</f>
        <v>0</v>
      </c>
      <c r="AK406" s="33">
        <f>SUM(H406:AJ406)</f>
        <v>1691612.8433689571</v>
      </c>
      <c r="AL406" s="30" t="str">
        <f>IF(ABS(AK406-F406)&lt;1,"ok","err")</f>
        <v>ok</v>
      </c>
    </row>
    <row r="407" spans="1:38" x14ac:dyDescent="0.25">
      <c r="A407" s="29">
        <v>557</v>
      </c>
      <c r="B407" s="29" t="s">
        <v>462</v>
      </c>
      <c r="C407" s="29" t="s">
        <v>928</v>
      </c>
      <c r="D407" s="113" t="s">
        <v>685</v>
      </c>
      <c r="E407" s="13"/>
      <c r="F407" s="32">
        <f>'Jurisdictional Study'!F1350</f>
        <v>0</v>
      </c>
      <c r="G407" s="32"/>
      <c r="H407" s="33">
        <f>IF(VLOOKUP($D407,$C$5:$AJ$596,6,)=0,0,((VLOOKUP($D407,$C$5:$AJ$596,6,)/VLOOKUP($D407,$C$5:$AJ$596,4,))*$F407))</f>
        <v>0</v>
      </c>
      <c r="I407" s="33">
        <f>IF(VLOOKUP($D407,$C$5:$AJ$596,7,)=0,0,((VLOOKUP($D407,$C$5:$AJ$596,7,)/VLOOKUP($D407,$C$5:$AJ$596,4,))*$F407))</f>
        <v>0</v>
      </c>
      <c r="J407" s="33">
        <f>IF(VLOOKUP($D407,$C$5:$AJ$596,8,)=0,0,((VLOOKUP($D407,$C$5:$AJ$596,8,)/VLOOKUP($D407,$C$5:$AJ$596,4,))*$F407))</f>
        <v>0</v>
      </c>
      <c r="K407" s="33">
        <f>IF(VLOOKUP($D407,$C$5:$AJ$596,9,)=0,0,((VLOOKUP($D407,$C$5:$AJ$596,9,)/VLOOKUP($D407,$C$5:$AJ$596,4,))*$F407))</f>
        <v>0</v>
      </c>
      <c r="L407" s="33">
        <f>IF(VLOOKUP($D407,$C$5:$AJ$596,10,)=0,0,((VLOOKUP($D407,$C$5:$AJ$596,10,)/VLOOKUP($D407,$C$5:$AJ$596,4,))*$F407))</f>
        <v>0</v>
      </c>
      <c r="M407" s="33">
        <f>IF(VLOOKUP($D407,$C$5:$AJ$596,11,)=0,0,((VLOOKUP($D407,$C$5:$AJ$596,11,)/VLOOKUP($D407,$C$5:$AJ$596,4,))*$F407))</f>
        <v>0</v>
      </c>
      <c r="N407" s="33"/>
      <c r="O407" s="33">
        <f>IF(VLOOKUP($D407,$C$5:$AJ$596,13,)=0,0,((VLOOKUP($D407,$C$5:$AJ$596,13,)/VLOOKUP($D407,$C$5:$AJ$596,4,))*$F407))</f>
        <v>0</v>
      </c>
      <c r="P407" s="33">
        <f>IF(VLOOKUP($D407,$C$5:$AJ$596,14,)=0,0,((VLOOKUP($D407,$C$5:$AJ$596,14,)/VLOOKUP($D407,$C$5:$AJ$596,4,))*$F407))</f>
        <v>0</v>
      </c>
      <c r="Q407" s="33">
        <f>IF(VLOOKUP($D407,$C$5:$AJ$596,15,)=0,0,((VLOOKUP($D407,$C$5:$AJ$596,15,)/VLOOKUP($D407,$C$5:$AJ$596,4,))*$F407))</f>
        <v>0</v>
      </c>
      <c r="R407" s="33"/>
      <c r="S407" s="33">
        <f>IF(VLOOKUP($D407,$C$5:$AJ$596,17,)=0,0,((VLOOKUP($D407,$C$5:$AJ$596,17,)/VLOOKUP($D407,$C$5:$AJ$596,4,))*$F407))</f>
        <v>0</v>
      </c>
      <c r="T407" s="33">
        <f>IF(VLOOKUP($D407,$C$5:$AJ$596,18,)=0,0,((VLOOKUP($D407,$C$5:$AJ$596,18,)/VLOOKUP($D407,$C$5:$AJ$596,4,))*$F407))</f>
        <v>0</v>
      </c>
      <c r="U407" s="33">
        <f>IF(VLOOKUP($D407,$C$5:$AJ$596,19,)=0,0,((VLOOKUP($D407,$C$5:$AJ$596,19,)/VLOOKUP($D407,$C$5:$AJ$596,4,))*$F407))</f>
        <v>0</v>
      </c>
      <c r="V407" s="33">
        <f>IF(VLOOKUP($D407,$C$5:$AJ$596,20,)=0,0,((VLOOKUP($D407,$C$5:$AJ$596,20,)/VLOOKUP($D407,$C$5:$AJ$596,4,))*$F407))</f>
        <v>0</v>
      </c>
      <c r="W407" s="33">
        <f>IF(VLOOKUP($D407,$C$5:$AJ$596,21,)=0,0,((VLOOKUP($D407,$C$5:$AJ$596,21,)/VLOOKUP($D407,$C$5:$AJ$596,4,))*$F407))</f>
        <v>0</v>
      </c>
      <c r="X407" s="33">
        <f>IF(VLOOKUP($D407,$C$5:$AJ$596,22,)=0,0,((VLOOKUP($D407,$C$5:$AJ$596,22,)/VLOOKUP($D407,$C$5:$AJ$596,4,))*$F407))</f>
        <v>0</v>
      </c>
      <c r="Y407" s="33">
        <f>IF(VLOOKUP($D407,$C$5:$AJ$596,23,)=0,0,((VLOOKUP($D407,$C$5:$AJ$596,23,)/VLOOKUP($D407,$C$5:$AJ$596,4,))*$F407))</f>
        <v>0</v>
      </c>
      <c r="Z407" s="33">
        <f>IF(VLOOKUP($D407,$C$5:$AJ$596,24,)=0,0,((VLOOKUP($D407,$C$5:$AJ$596,24,)/VLOOKUP($D407,$C$5:$AJ$596,4,))*$F407))</f>
        <v>0</v>
      </c>
      <c r="AA407" s="33">
        <f>IF(VLOOKUP($D407,$C$5:$AJ$596,25,)=0,0,((VLOOKUP($D407,$C$5:$AJ$596,25,)/VLOOKUP($D407,$C$5:$AJ$596,4,))*$F407))</f>
        <v>0</v>
      </c>
      <c r="AB407" s="33">
        <f>IF(VLOOKUP($D407,$C$5:$AJ$596,26,)=0,0,((VLOOKUP($D407,$C$5:$AJ$596,26,)/VLOOKUP($D407,$C$5:$AJ$596,4,))*$F407))</f>
        <v>0</v>
      </c>
      <c r="AC407" s="33">
        <f>IF(VLOOKUP($D407,$C$5:$AJ$596,27,)=0,0,((VLOOKUP($D407,$C$5:$AJ$596,27,)/VLOOKUP($D407,$C$5:$AJ$596,4,))*$F407))</f>
        <v>0</v>
      </c>
      <c r="AD407" s="33">
        <f>IF(VLOOKUP($D407,$C$5:$AJ$596,28,)=0,0,((VLOOKUP($D407,$C$5:$AJ$596,28,)/VLOOKUP($D407,$C$5:$AJ$596,4,))*$F407))</f>
        <v>0</v>
      </c>
      <c r="AE407" s="33"/>
      <c r="AF407" s="33">
        <f>IF(VLOOKUP($D407,$C$5:$AJ$596,30,)=0,0,((VLOOKUP($D407,$C$5:$AJ$596,30,)/VLOOKUP($D407,$C$5:$AJ$596,4,))*$F407))</f>
        <v>0</v>
      </c>
      <c r="AG407" s="33"/>
      <c r="AH407" s="33">
        <f>IF(VLOOKUP($D407,$C$5:$AJ$596,32,)=0,0,((VLOOKUP($D407,$C$5:$AJ$596,32,)/VLOOKUP($D407,$C$5:$AJ$596,4,))*$F407))</f>
        <v>0</v>
      </c>
      <c r="AI407" s="33"/>
      <c r="AJ407" s="33">
        <f>IF(VLOOKUP($D407,$C$5:$AJ$596,34,)=0,0,((VLOOKUP($D407,$C$5:$AJ$596,34,)/VLOOKUP($D407,$C$5:$AJ$596,4,))*$F407))</f>
        <v>0</v>
      </c>
      <c r="AK407" s="33">
        <f>SUM(H407:AJ407)</f>
        <v>0</v>
      </c>
      <c r="AL407" s="30" t="str">
        <f>IF(ABS(AK407-F407)&lt;1,"ok","err")</f>
        <v>ok</v>
      </c>
    </row>
    <row r="408" spans="1:38" x14ac:dyDescent="0.25">
      <c r="D408" s="113"/>
      <c r="E408" s="13"/>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0"/>
    </row>
    <row r="409" spans="1:38" x14ac:dyDescent="0.25">
      <c r="B409" s="29" t="s">
        <v>985</v>
      </c>
      <c r="C409" s="29" t="s">
        <v>927</v>
      </c>
      <c r="D409" s="113"/>
      <c r="E409" s="13"/>
      <c r="F409" s="32">
        <f>SUM(F405:F407)</f>
        <v>1691612.8433689571</v>
      </c>
      <c r="G409" s="32"/>
      <c r="H409" s="32">
        <f t="shared" ref="H409:M409" si="427">SUM(H405:H407)</f>
        <v>1691612.8433689571</v>
      </c>
      <c r="I409" s="32">
        <f t="shared" si="427"/>
        <v>0</v>
      </c>
      <c r="J409" s="32">
        <f t="shared" si="427"/>
        <v>0</v>
      </c>
      <c r="K409" s="32">
        <f t="shared" si="427"/>
        <v>0</v>
      </c>
      <c r="L409" s="32">
        <f t="shared" si="427"/>
        <v>0</v>
      </c>
      <c r="M409" s="32">
        <f t="shared" si="427"/>
        <v>0</v>
      </c>
      <c r="N409" s="32"/>
      <c r="O409" s="32">
        <f>SUM(O405:O407)</f>
        <v>0</v>
      </c>
      <c r="P409" s="32">
        <f>SUM(P405:P407)</f>
        <v>0</v>
      </c>
      <c r="Q409" s="32">
        <f>SUM(Q405:Q407)</f>
        <v>0</v>
      </c>
      <c r="R409" s="32"/>
      <c r="S409" s="32">
        <f t="shared" ref="S409:AD409" si="428">SUM(S405:S407)</f>
        <v>0</v>
      </c>
      <c r="T409" s="32">
        <f t="shared" si="428"/>
        <v>0</v>
      </c>
      <c r="U409" s="32">
        <f t="shared" si="428"/>
        <v>0</v>
      </c>
      <c r="V409" s="32">
        <f t="shared" si="428"/>
        <v>0</v>
      </c>
      <c r="W409" s="32">
        <f t="shared" si="428"/>
        <v>0</v>
      </c>
      <c r="X409" s="32">
        <f t="shared" si="428"/>
        <v>0</v>
      </c>
      <c r="Y409" s="32">
        <f t="shared" si="428"/>
        <v>0</v>
      </c>
      <c r="Z409" s="32">
        <f t="shared" si="428"/>
        <v>0</v>
      </c>
      <c r="AA409" s="32">
        <f t="shared" si="428"/>
        <v>0</v>
      </c>
      <c r="AB409" s="32">
        <f t="shared" si="428"/>
        <v>0</v>
      </c>
      <c r="AC409" s="32">
        <f t="shared" si="428"/>
        <v>0</v>
      </c>
      <c r="AD409" s="32">
        <f t="shared" si="428"/>
        <v>0</v>
      </c>
      <c r="AE409" s="32"/>
      <c r="AF409" s="32">
        <f>SUM(AF405:AF407)</f>
        <v>0</v>
      </c>
      <c r="AG409" s="32"/>
      <c r="AH409" s="32">
        <f>SUM(AH405:AH407)</f>
        <v>0</v>
      </c>
      <c r="AI409" s="32"/>
      <c r="AJ409" s="32">
        <f>SUM(AJ405:AJ407)</f>
        <v>0</v>
      </c>
      <c r="AK409" s="33">
        <f>SUM(H409:AJ409)</f>
        <v>1691612.8433689571</v>
      </c>
      <c r="AL409" s="30" t="str">
        <f>IF(ABS(AK409-F409)&lt;1,"ok","err")</f>
        <v>ok</v>
      </c>
    </row>
    <row r="410" spans="1:38" x14ac:dyDescent="0.25">
      <c r="D410" s="113"/>
      <c r="E410" s="13"/>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0"/>
    </row>
    <row r="411" spans="1:38" x14ac:dyDescent="0.25">
      <c r="A411" s="3" t="s">
        <v>926</v>
      </c>
      <c r="D411" s="113"/>
      <c r="E411" s="13"/>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0"/>
    </row>
    <row r="412" spans="1:38" x14ac:dyDescent="0.25">
      <c r="D412" s="113"/>
      <c r="E412" s="13"/>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0"/>
    </row>
    <row r="413" spans="1:38" x14ac:dyDescent="0.25">
      <c r="A413" s="4" t="s">
        <v>987</v>
      </c>
      <c r="D413" s="113"/>
      <c r="E413" s="13"/>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0"/>
    </row>
    <row r="414" spans="1:38" x14ac:dyDescent="0.25">
      <c r="A414" s="29">
        <v>560</v>
      </c>
      <c r="B414" s="29" t="s">
        <v>439</v>
      </c>
      <c r="C414" s="29" t="s">
        <v>984</v>
      </c>
      <c r="D414" s="113" t="s">
        <v>454</v>
      </c>
      <c r="E414" s="13"/>
      <c r="F414" s="32">
        <f>'Jurisdictional Study'!F1360</f>
        <v>1514486.9253856032</v>
      </c>
      <c r="G414" s="32"/>
      <c r="H414" s="33">
        <f t="shared" ref="H414:H423" si="429">IF(VLOOKUP($D414,$C$5:$AJ$596,6,)=0,0,((VLOOKUP($D414,$C$5:$AJ$596,6,)/VLOOKUP($D414,$C$5:$AJ$596,4,))*$F414))</f>
        <v>0</v>
      </c>
      <c r="I414" s="33">
        <f t="shared" ref="I414:I423" si="430">IF(VLOOKUP($D414,$C$5:$AJ$596,7,)=0,0,((VLOOKUP($D414,$C$5:$AJ$596,7,)/VLOOKUP($D414,$C$5:$AJ$596,4,))*$F414))</f>
        <v>0</v>
      </c>
      <c r="J414" s="33">
        <f t="shared" ref="J414:J423" si="431">IF(VLOOKUP($D414,$C$5:$AJ$596,8,)=0,0,((VLOOKUP($D414,$C$5:$AJ$596,8,)/VLOOKUP($D414,$C$5:$AJ$596,4,))*$F414))</f>
        <v>0</v>
      </c>
      <c r="K414" s="33">
        <f t="shared" ref="K414:K423" si="432">IF(VLOOKUP($D414,$C$5:$AJ$596,9,)=0,0,((VLOOKUP($D414,$C$5:$AJ$596,9,)/VLOOKUP($D414,$C$5:$AJ$596,4,))*$F414))</f>
        <v>0</v>
      </c>
      <c r="L414" s="33">
        <f t="shared" ref="L414:L423" si="433">IF(VLOOKUP($D414,$C$5:$AJ$596,10,)=0,0,((VLOOKUP($D414,$C$5:$AJ$596,10,)/VLOOKUP($D414,$C$5:$AJ$596,4,))*$F414))</f>
        <v>0</v>
      </c>
      <c r="M414" s="33">
        <f t="shared" ref="M414:M423" si="434">IF(VLOOKUP($D414,$C$5:$AJ$596,11,)=0,0,((VLOOKUP($D414,$C$5:$AJ$596,11,)/VLOOKUP($D414,$C$5:$AJ$596,4,))*$F414))</f>
        <v>0</v>
      </c>
      <c r="N414" s="33"/>
      <c r="O414" s="33">
        <f t="shared" ref="O414:O423" si="435">IF(VLOOKUP($D414,$C$5:$AJ$596,13,)=0,0,((VLOOKUP($D414,$C$5:$AJ$596,13,)/VLOOKUP($D414,$C$5:$AJ$596,4,))*$F414))</f>
        <v>1514486.9253856032</v>
      </c>
      <c r="P414" s="33">
        <f t="shared" ref="P414:P423" si="436">IF(VLOOKUP($D414,$C$5:$AJ$596,14,)=0,0,((VLOOKUP($D414,$C$5:$AJ$596,14,)/VLOOKUP($D414,$C$5:$AJ$596,4,))*$F414))</f>
        <v>0</v>
      </c>
      <c r="Q414" s="33">
        <f t="shared" ref="Q414:Q423" si="437">IF(VLOOKUP($D414,$C$5:$AJ$596,15,)=0,0,((VLOOKUP($D414,$C$5:$AJ$596,15,)/VLOOKUP($D414,$C$5:$AJ$596,4,))*$F414))</f>
        <v>0</v>
      </c>
      <c r="R414" s="33"/>
      <c r="S414" s="33">
        <f t="shared" ref="S414:S423" si="438">IF(VLOOKUP($D414,$C$5:$AJ$596,17,)=0,0,((VLOOKUP($D414,$C$5:$AJ$596,17,)/VLOOKUP($D414,$C$5:$AJ$596,4,))*$F414))</f>
        <v>0</v>
      </c>
      <c r="T414" s="33">
        <f t="shared" ref="T414:T423" si="439">IF(VLOOKUP($D414,$C$5:$AJ$596,18,)=0,0,((VLOOKUP($D414,$C$5:$AJ$596,18,)/VLOOKUP($D414,$C$5:$AJ$596,4,))*$F414))</f>
        <v>0</v>
      </c>
      <c r="U414" s="33">
        <f t="shared" ref="U414:U423" si="440">IF(VLOOKUP($D414,$C$5:$AJ$596,19,)=0,0,((VLOOKUP($D414,$C$5:$AJ$596,19,)/VLOOKUP($D414,$C$5:$AJ$596,4,))*$F414))</f>
        <v>0</v>
      </c>
      <c r="V414" s="33">
        <f t="shared" ref="V414:V423" si="441">IF(VLOOKUP($D414,$C$5:$AJ$596,20,)=0,0,((VLOOKUP($D414,$C$5:$AJ$596,20,)/VLOOKUP($D414,$C$5:$AJ$596,4,))*$F414))</f>
        <v>0</v>
      </c>
      <c r="W414" s="33">
        <f t="shared" ref="W414:W423" si="442">IF(VLOOKUP($D414,$C$5:$AJ$596,21,)=0,0,((VLOOKUP($D414,$C$5:$AJ$596,21,)/VLOOKUP($D414,$C$5:$AJ$596,4,))*$F414))</f>
        <v>0</v>
      </c>
      <c r="X414" s="33">
        <f t="shared" ref="X414:X423" si="443">IF(VLOOKUP($D414,$C$5:$AJ$596,22,)=0,0,((VLOOKUP($D414,$C$5:$AJ$596,22,)/VLOOKUP($D414,$C$5:$AJ$596,4,))*$F414))</f>
        <v>0</v>
      </c>
      <c r="Y414" s="33">
        <f t="shared" ref="Y414:Y423" si="444">IF(VLOOKUP($D414,$C$5:$AJ$596,23,)=0,0,((VLOOKUP($D414,$C$5:$AJ$596,23,)/VLOOKUP($D414,$C$5:$AJ$596,4,))*$F414))</f>
        <v>0</v>
      </c>
      <c r="Z414" s="33">
        <f t="shared" ref="Z414:Z423" si="445">IF(VLOOKUP($D414,$C$5:$AJ$596,24,)=0,0,((VLOOKUP($D414,$C$5:$AJ$596,24,)/VLOOKUP($D414,$C$5:$AJ$596,4,))*$F414))</f>
        <v>0</v>
      </c>
      <c r="AA414" s="33">
        <f t="shared" ref="AA414:AA423" si="446">IF(VLOOKUP($D414,$C$5:$AJ$596,25,)=0,0,((VLOOKUP($D414,$C$5:$AJ$596,25,)/VLOOKUP($D414,$C$5:$AJ$596,4,))*$F414))</f>
        <v>0</v>
      </c>
      <c r="AB414" s="33">
        <f t="shared" ref="AB414:AB423" si="447">IF(VLOOKUP($D414,$C$5:$AJ$596,26,)=0,0,((VLOOKUP($D414,$C$5:$AJ$596,26,)/VLOOKUP($D414,$C$5:$AJ$596,4,))*$F414))</f>
        <v>0</v>
      </c>
      <c r="AC414" s="33">
        <f t="shared" ref="AC414:AC423" si="448">IF(VLOOKUP($D414,$C$5:$AJ$596,27,)=0,0,((VLOOKUP($D414,$C$5:$AJ$596,27,)/VLOOKUP($D414,$C$5:$AJ$596,4,))*$F414))</f>
        <v>0</v>
      </c>
      <c r="AD414" s="33">
        <f t="shared" ref="AD414:AD423" si="449">IF(VLOOKUP($D414,$C$5:$AJ$596,28,)=0,0,((VLOOKUP($D414,$C$5:$AJ$596,28,)/VLOOKUP($D414,$C$5:$AJ$596,4,))*$F414))</f>
        <v>0</v>
      </c>
      <c r="AE414" s="33"/>
      <c r="AF414" s="33">
        <f t="shared" ref="AF414:AF423" si="450">IF(VLOOKUP($D414,$C$5:$AJ$596,30,)=0,0,((VLOOKUP($D414,$C$5:$AJ$596,30,)/VLOOKUP($D414,$C$5:$AJ$596,4,))*$F414))</f>
        <v>0</v>
      </c>
      <c r="AG414" s="33"/>
      <c r="AH414" s="33">
        <f t="shared" ref="AH414:AH423" si="451">IF(VLOOKUP($D414,$C$5:$AJ$596,32,)=0,0,((VLOOKUP($D414,$C$5:$AJ$596,32,)/VLOOKUP($D414,$C$5:$AJ$596,4,))*$F414))</f>
        <v>0</v>
      </c>
      <c r="AI414" s="33"/>
      <c r="AJ414" s="33">
        <f t="shared" ref="AJ414:AJ423" si="452">IF(VLOOKUP($D414,$C$5:$AJ$596,34,)=0,0,((VLOOKUP($D414,$C$5:$AJ$596,34,)/VLOOKUP($D414,$C$5:$AJ$596,4,))*$F414))</f>
        <v>0</v>
      </c>
      <c r="AK414" s="33">
        <f t="shared" ref="AK414:AK423" si="453">SUM(H414:AJ414)</f>
        <v>1514486.9253856032</v>
      </c>
      <c r="AL414" s="30" t="str">
        <f t="shared" ref="AL414:AL423" si="454">IF(ABS(AK414-F414)&lt;1,"ok","err")</f>
        <v>ok</v>
      </c>
    </row>
    <row r="415" spans="1:38" x14ac:dyDescent="0.25">
      <c r="A415" s="29">
        <v>561</v>
      </c>
      <c r="B415" s="29" t="s">
        <v>759</v>
      </c>
      <c r="C415" s="29" t="s">
        <v>929</v>
      </c>
      <c r="D415" s="113" t="s">
        <v>454</v>
      </c>
      <c r="E415" s="13"/>
      <c r="F415" s="33">
        <f>'Jurisdictional Study'!F1361</f>
        <v>3113529.3723780783</v>
      </c>
      <c r="G415" s="32"/>
      <c r="H415" s="33">
        <f t="shared" si="429"/>
        <v>0</v>
      </c>
      <c r="I415" s="33">
        <f t="shared" si="430"/>
        <v>0</v>
      </c>
      <c r="J415" s="33">
        <f t="shared" si="431"/>
        <v>0</v>
      </c>
      <c r="K415" s="33">
        <f t="shared" si="432"/>
        <v>0</v>
      </c>
      <c r="L415" s="33">
        <f t="shared" si="433"/>
        <v>0</v>
      </c>
      <c r="M415" s="33">
        <f t="shared" si="434"/>
        <v>0</v>
      </c>
      <c r="N415" s="33"/>
      <c r="O415" s="33">
        <f t="shared" si="435"/>
        <v>3113529.3723780783</v>
      </c>
      <c r="P415" s="33">
        <f t="shared" si="436"/>
        <v>0</v>
      </c>
      <c r="Q415" s="33">
        <f t="shared" si="437"/>
        <v>0</v>
      </c>
      <c r="R415" s="33"/>
      <c r="S415" s="33">
        <f t="shared" si="438"/>
        <v>0</v>
      </c>
      <c r="T415" s="33">
        <f t="shared" si="439"/>
        <v>0</v>
      </c>
      <c r="U415" s="33">
        <f t="shared" si="440"/>
        <v>0</v>
      </c>
      <c r="V415" s="33">
        <f t="shared" si="441"/>
        <v>0</v>
      </c>
      <c r="W415" s="33">
        <f t="shared" si="442"/>
        <v>0</v>
      </c>
      <c r="X415" s="33">
        <f t="shared" si="443"/>
        <v>0</v>
      </c>
      <c r="Y415" s="33">
        <f t="shared" si="444"/>
        <v>0</v>
      </c>
      <c r="Z415" s="33">
        <f t="shared" si="445"/>
        <v>0</v>
      </c>
      <c r="AA415" s="33">
        <f t="shared" si="446"/>
        <v>0</v>
      </c>
      <c r="AB415" s="33">
        <f t="shared" si="447"/>
        <v>0</v>
      </c>
      <c r="AC415" s="33">
        <f t="shared" si="448"/>
        <v>0</v>
      </c>
      <c r="AD415" s="33">
        <f t="shared" si="449"/>
        <v>0</v>
      </c>
      <c r="AE415" s="33"/>
      <c r="AF415" s="33">
        <f t="shared" si="450"/>
        <v>0</v>
      </c>
      <c r="AG415" s="33"/>
      <c r="AH415" s="33">
        <f t="shared" si="451"/>
        <v>0</v>
      </c>
      <c r="AI415" s="33"/>
      <c r="AJ415" s="33">
        <f t="shared" si="452"/>
        <v>0</v>
      </c>
      <c r="AK415" s="33">
        <f t="shared" si="453"/>
        <v>3113529.3723780783</v>
      </c>
      <c r="AL415" s="30" t="str">
        <f t="shared" si="454"/>
        <v>ok</v>
      </c>
    </row>
    <row r="416" spans="1:38" x14ac:dyDescent="0.25">
      <c r="A416" s="29">
        <v>562</v>
      </c>
      <c r="B416" s="29" t="s">
        <v>437</v>
      </c>
      <c r="C416" s="29" t="s">
        <v>930</v>
      </c>
      <c r="D416" s="113" t="s">
        <v>454</v>
      </c>
      <c r="E416" s="13"/>
      <c r="F416" s="33">
        <f>'Jurisdictional Study'!F1362</f>
        <v>477877.46117504296</v>
      </c>
      <c r="G416" s="32"/>
      <c r="H416" s="33">
        <f t="shared" si="429"/>
        <v>0</v>
      </c>
      <c r="I416" s="33">
        <f t="shared" si="430"/>
        <v>0</v>
      </c>
      <c r="J416" s="33">
        <f t="shared" si="431"/>
        <v>0</v>
      </c>
      <c r="K416" s="33">
        <f t="shared" si="432"/>
        <v>0</v>
      </c>
      <c r="L416" s="33">
        <f t="shared" si="433"/>
        <v>0</v>
      </c>
      <c r="M416" s="33">
        <f t="shared" si="434"/>
        <v>0</v>
      </c>
      <c r="N416" s="33"/>
      <c r="O416" s="33">
        <f t="shared" si="435"/>
        <v>477877.46117504296</v>
      </c>
      <c r="P416" s="33">
        <f t="shared" si="436"/>
        <v>0</v>
      </c>
      <c r="Q416" s="33">
        <f t="shared" si="437"/>
        <v>0</v>
      </c>
      <c r="R416" s="33"/>
      <c r="S416" s="33">
        <f t="shared" si="438"/>
        <v>0</v>
      </c>
      <c r="T416" s="33">
        <f t="shared" si="439"/>
        <v>0</v>
      </c>
      <c r="U416" s="33">
        <f t="shared" si="440"/>
        <v>0</v>
      </c>
      <c r="V416" s="33">
        <f t="shared" si="441"/>
        <v>0</v>
      </c>
      <c r="W416" s="33">
        <f t="shared" si="442"/>
        <v>0</v>
      </c>
      <c r="X416" s="33">
        <f t="shared" si="443"/>
        <v>0</v>
      </c>
      <c r="Y416" s="33">
        <f t="shared" si="444"/>
        <v>0</v>
      </c>
      <c r="Z416" s="33">
        <f t="shared" si="445"/>
        <v>0</v>
      </c>
      <c r="AA416" s="33">
        <f t="shared" si="446"/>
        <v>0</v>
      </c>
      <c r="AB416" s="33">
        <f t="shared" si="447"/>
        <v>0</v>
      </c>
      <c r="AC416" s="33">
        <f t="shared" si="448"/>
        <v>0</v>
      </c>
      <c r="AD416" s="33">
        <f t="shared" si="449"/>
        <v>0</v>
      </c>
      <c r="AE416" s="33"/>
      <c r="AF416" s="33">
        <f t="shared" si="450"/>
        <v>0</v>
      </c>
      <c r="AG416" s="33"/>
      <c r="AH416" s="33">
        <f t="shared" si="451"/>
        <v>0</v>
      </c>
      <c r="AI416" s="33"/>
      <c r="AJ416" s="33">
        <f t="shared" si="452"/>
        <v>0</v>
      </c>
      <c r="AK416" s="33">
        <f t="shared" si="453"/>
        <v>477877.46117504296</v>
      </c>
      <c r="AL416" s="30" t="str">
        <f t="shared" si="454"/>
        <v>ok</v>
      </c>
    </row>
    <row r="417" spans="1:38" x14ac:dyDescent="0.25">
      <c r="A417" s="29">
        <v>563</v>
      </c>
      <c r="B417" s="29" t="s">
        <v>761</v>
      </c>
      <c r="C417" s="29" t="s">
        <v>931</v>
      </c>
      <c r="D417" s="113" t="s">
        <v>454</v>
      </c>
      <c r="E417" s="13"/>
      <c r="F417" s="33">
        <f>'Jurisdictional Study'!F1363</f>
        <v>41375.613023844111</v>
      </c>
      <c r="G417" s="32"/>
      <c r="H417" s="33">
        <f t="shared" si="429"/>
        <v>0</v>
      </c>
      <c r="I417" s="33">
        <f t="shared" si="430"/>
        <v>0</v>
      </c>
      <c r="J417" s="33">
        <f t="shared" si="431"/>
        <v>0</v>
      </c>
      <c r="K417" s="33">
        <f t="shared" si="432"/>
        <v>0</v>
      </c>
      <c r="L417" s="33">
        <f t="shared" si="433"/>
        <v>0</v>
      </c>
      <c r="M417" s="33">
        <f t="shared" si="434"/>
        <v>0</v>
      </c>
      <c r="N417" s="33"/>
      <c r="O417" s="33">
        <f t="shared" si="435"/>
        <v>41375.613023844111</v>
      </c>
      <c r="P417" s="33">
        <f t="shared" si="436"/>
        <v>0</v>
      </c>
      <c r="Q417" s="33">
        <f t="shared" si="437"/>
        <v>0</v>
      </c>
      <c r="R417" s="33"/>
      <c r="S417" s="33">
        <f t="shared" si="438"/>
        <v>0</v>
      </c>
      <c r="T417" s="33">
        <f t="shared" si="439"/>
        <v>0</v>
      </c>
      <c r="U417" s="33">
        <f t="shared" si="440"/>
        <v>0</v>
      </c>
      <c r="V417" s="33">
        <f t="shared" si="441"/>
        <v>0</v>
      </c>
      <c r="W417" s="33">
        <f t="shared" si="442"/>
        <v>0</v>
      </c>
      <c r="X417" s="33">
        <f t="shared" si="443"/>
        <v>0</v>
      </c>
      <c r="Y417" s="33">
        <f t="shared" si="444"/>
        <v>0</v>
      </c>
      <c r="Z417" s="33">
        <f t="shared" si="445"/>
        <v>0</v>
      </c>
      <c r="AA417" s="33">
        <f t="shared" si="446"/>
        <v>0</v>
      </c>
      <c r="AB417" s="33">
        <f t="shared" si="447"/>
        <v>0</v>
      </c>
      <c r="AC417" s="33">
        <f t="shared" si="448"/>
        <v>0</v>
      </c>
      <c r="AD417" s="33">
        <f t="shared" si="449"/>
        <v>0</v>
      </c>
      <c r="AE417" s="33"/>
      <c r="AF417" s="33">
        <f t="shared" si="450"/>
        <v>0</v>
      </c>
      <c r="AG417" s="33"/>
      <c r="AH417" s="33">
        <f t="shared" si="451"/>
        <v>0</v>
      </c>
      <c r="AI417" s="33"/>
      <c r="AJ417" s="33">
        <f t="shared" si="452"/>
        <v>0</v>
      </c>
      <c r="AK417" s="33">
        <f t="shared" si="453"/>
        <v>41375.613023844111</v>
      </c>
      <c r="AL417" s="30" t="str">
        <f t="shared" si="454"/>
        <v>ok</v>
      </c>
    </row>
    <row r="418" spans="1:38" x14ac:dyDescent="0.25">
      <c r="A418" s="29">
        <v>566</v>
      </c>
      <c r="B418" s="29" t="s">
        <v>811</v>
      </c>
      <c r="C418" s="29" t="s">
        <v>815</v>
      </c>
      <c r="D418" s="113" t="s">
        <v>454</v>
      </c>
      <c r="E418" s="13"/>
      <c r="F418" s="33">
        <f>'Jurisdictional Study'!F1364</f>
        <v>0</v>
      </c>
      <c r="G418" s="32"/>
      <c r="H418" s="33">
        <f t="shared" si="429"/>
        <v>0</v>
      </c>
      <c r="I418" s="33">
        <f t="shared" si="430"/>
        <v>0</v>
      </c>
      <c r="J418" s="33">
        <f t="shared" si="431"/>
        <v>0</v>
      </c>
      <c r="K418" s="33">
        <f t="shared" si="432"/>
        <v>0</v>
      </c>
      <c r="L418" s="33">
        <f t="shared" si="433"/>
        <v>0</v>
      </c>
      <c r="M418" s="33">
        <f t="shared" si="434"/>
        <v>0</v>
      </c>
      <c r="N418" s="33"/>
      <c r="O418" s="33">
        <f t="shared" si="435"/>
        <v>0</v>
      </c>
      <c r="P418" s="33">
        <f t="shared" si="436"/>
        <v>0</v>
      </c>
      <c r="Q418" s="33">
        <f t="shared" si="437"/>
        <v>0</v>
      </c>
      <c r="R418" s="33"/>
      <c r="S418" s="33">
        <f t="shared" si="438"/>
        <v>0</v>
      </c>
      <c r="T418" s="33">
        <f t="shared" si="439"/>
        <v>0</v>
      </c>
      <c r="U418" s="33">
        <f t="shared" si="440"/>
        <v>0</v>
      </c>
      <c r="V418" s="33">
        <f t="shared" si="441"/>
        <v>0</v>
      </c>
      <c r="W418" s="33">
        <f t="shared" si="442"/>
        <v>0</v>
      </c>
      <c r="X418" s="33">
        <f t="shared" si="443"/>
        <v>0</v>
      </c>
      <c r="Y418" s="33">
        <f t="shared" si="444"/>
        <v>0</v>
      </c>
      <c r="Z418" s="33">
        <f t="shared" si="445"/>
        <v>0</v>
      </c>
      <c r="AA418" s="33">
        <f t="shared" si="446"/>
        <v>0</v>
      </c>
      <c r="AB418" s="33">
        <f t="shared" si="447"/>
        <v>0</v>
      </c>
      <c r="AC418" s="33">
        <f t="shared" si="448"/>
        <v>0</v>
      </c>
      <c r="AD418" s="33">
        <f t="shared" si="449"/>
        <v>0</v>
      </c>
      <c r="AE418" s="33"/>
      <c r="AF418" s="33">
        <f t="shared" si="450"/>
        <v>0</v>
      </c>
      <c r="AG418" s="33"/>
      <c r="AH418" s="33">
        <f t="shared" si="451"/>
        <v>0</v>
      </c>
      <c r="AI418" s="33"/>
      <c r="AJ418" s="33">
        <f t="shared" si="452"/>
        <v>0</v>
      </c>
      <c r="AK418" s="33">
        <f t="shared" si="453"/>
        <v>0</v>
      </c>
      <c r="AL418" s="30" t="str">
        <f t="shared" si="454"/>
        <v>ok</v>
      </c>
    </row>
    <row r="419" spans="1:38" x14ac:dyDescent="0.25">
      <c r="A419" s="29">
        <v>568</v>
      </c>
      <c r="B419" s="29" t="s">
        <v>438</v>
      </c>
      <c r="C419" s="29" t="s">
        <v>932</v>
      </c>
      <c r="D419" s="113" t="s">
        <v>454</v>
      </c>
      <c r="E419" s="13"/>
      <c r="F419" s="33">
        <f>'Jurisdictional Study'!F1365</f>
        <v>232080.23361255327</v>
      </c>
      <c r="G419" s="32"/>
      <c r="H419" s="33">
        <f t="shared" si="429"/>
        <v>0</v>
      </c>
      <c r="I419" s="33">
        <f t="shared" si="430"/>
        <v>0</v>
      </c>
      <c r="J419" s="33">
        <f t="shared" si="431"/>
        <v>0</v>
      </c>
      <c r="K419" s="33">
        <f t="shared" si="432"/>
        <v>0</v>
      </c>
      <c r="L419" s="33">
        <f t="shared" si="433"/>
        <v>0</v>
      </c>
      <c r="M419" s="33">
        <f t="shared" si="434"/>
        <v>0</v>
      </c>
      <c r="N419" s="33"/>
      <c r="O419" s="33">
        <f t="shared" si="435"/>
        <v>232080.23361255327</v>
      </c>
      <c r="P419" s="33">
        <f t="shared" si="436"/>
        <v>0</v>
      </c>
      <c r="Q419" s="33">
        <f t="shared" si="437"/>
        <v>0</v>
      </c>
      <c r="R419" s="33"/>
      <c r="S419" s="33">
        <f t="shared" si="438"/>
        <v>0</v>
      </c>
      <c r="T419" s="33">
        <f t="shared" si="439"/>
        <v>0</v>
      </c>
      <c r="U419" s="33">
        <f t="shared" si="440"/>
        <v>0</v>
      </c>
      <c r="V419" s="33">
        <f t="shared" si="441"/>
        <v>0</v>
      </c>
      <c r="W419" s="33">
        <f t="shared" si="442"/>
        <v>0</v>
      </c>
      <c r="X419" s="33">
        <f t="shared" si="443"/>
        <v>0</v>
      </c>
      <c r="Y419" s="33">
        <f t="shared" si="444"/>
        <v>0</v>
      </c>
      <c r="Z419" s="33">
        <f t="shared" si="445"/>
        <v>0</v>
      </c>
      <c r="AA419" s="33">
        <f t="shared" si="446"/>
        <v>0</v>
      </c>
      <c r="AB419" s="33">
        <f t="shared" si="447"/>
        <v>0</v>
      </c>
      <c r="AC419" s="33">
        <f t="shared" si="448"/>
        <v>0</v>
      </c>
      <c r="AD419" s="33">
        <f t="shared" si="449"/>
        <v>0</v>
      </c>
      <c r="AE419" s="33"/>
      <c r="AF419" s="33">
        <f t="shared" si="450"/>
        <v>0</v>
      </c>
      <c r="AG419" s="33"/>
      <c r="AH419" s="33">
        <f t="shared" si="451"/>
        <v>0</v>
      </c>
      <c r="AI419" s="33"/>
      <c r="AJ419" s="33">
        <f t="shared" si="452"/>
        <v>0</v>
      </c>
      <c r="AK419" s="33">
        <f t="shared" si="453"/>
        <v>232080.23361255327</v>
      </c>
      <c r="AL419" s="30" t="str">
        <f t="shared" si="454"/>
        <v>ok</v>
      </c>
    </row>
    <row r="420" spans="1:38" x14ac:dyDescent="0.25">
      <c r="A420" s="29">
        <v>570</v>
      </c>
      <c r="B420" s="29" t="s">
        <v>440</v>
      </c>
      <c r="C420" s="29" t="s">
        <v>933</v>
      </c>
      <c r="D420" s="113" t="s">
        <v>454</v>
      </c>
      <c r="E420" s="13"/>
      <c r="F420" s="33">
        <f>'Jurisdictional Study'!F1366</f>
        <v>0</v>
      </c>
      <c r="G420" s="32"/>
      <c r="H420" s="33">
        <f t="shared" si="429"/>
        <v>0</v>
      </c>
      <c r="I420" s="33">
        <f t="shared" si="430"/>
        <v>0</v>
      </c>
      <c r="J420" s="33">
        <f t="shared" si="431"/>
        <v>0</v>
      </c>
      <c r="K420" s="33">
        <f t="shared" si="432"/>
        <v>0</v>
      </c>
      <c r="L420" s="33">
        <f t="shared" si="433"/>
        <v>0</v>
      </c>
      <c r="M420" s="33">
        <f t="shared" si="434"/>
        <v>0</v>
      </c>
      <c r="N420" s="33"/>
      <c r="O420" s="33">
        <f t="shared" si="435"/>
        <v>0</v>
      </c>
      <c r="P420" s="33">
        <f t="shared" si="436"/>
        <v>0</v>
      </c>
      <c r="Q420" s="33">
        <f t="shared" si="437"/>
        <v>0</v>
      </c>
      <c r="R420" s="33"/>
      <c r="S420" s="33">
        <f t="shared" si="438"/>
        <v>0</v>
      </c>
      <c r="T420" s="33">
        <f t="shared" si="439"/>
        <v>0</v>
      </c>
      <c r="U420" s="33">
        <f t="shared" si="440"/>
        <v>0</v>
      </c>
      <c r="V420" s="33">
        <f t="shared" si="441"/>
        <v>0</v>
      </c>
      <c r="W420" s="33">
        <f t="shared" si="442"/>
        <v>0</v>
      </c>
      <c r="X420" s="33">
        <f t="shared" si="443"/>
        <v>0</v>
      </c>
      <c r="Y420" s="33">
        <f t="shared" si="444"/>
        <v>0</v>
      </c>
      <c r="Z420" s="33">
        <f t="shared" si="445"/>
        <v>0</v>
      </c>
      <c r="AA420" s="33">
        <f t="shared" si="446"/>
        <v>0</v>
      </c>
      <c r="AB420" s="33">
        <f t="shared" si="447"/>
        <v>0</v>
      </c>
      <c r="AC420" s="33">
        <f t="shared" si="448"/>
        <v>0</v>
      </c>
      <c r="AD420" s="33">
        <f t="shared" si="449"/>
        <v>0</v>
      </c>
      <c r="AE420" s="33"/>
      <c r="AF420" s="33">
        <f t="shared" si="450"/>
        <v>0</v>
      </c>
      <c r="AG420" s="33"/>
      <c r="AH420" s="33">
        <f t="shared" si="451"/>
        <v>0</v>
      </c>
      <c r="AI420" s="33"/>
      <c r="AJ420" s="33">
        <f t="shared" si="452"/>
        <v>0</v>
      </c>
      <c r="AK420" s="33">
        <f t="shared" si="453"/>
        <v>0</v>
      </c>
      <c r="AL420" s="30" t="str">
        <f t="shared" si="454"/>
        <v>ok</v>
      </c>
    </row>
    <row r="421" spans="1:38" x14ac:dyDescent="0.25">
      <c r="A421" s="29">
        <v>571</v>
      </c>
      <c r="B421" s="29" t="s">
        <v>441</v>
      </c>
      <c r="C421" s="29" t="s">
        <v>934</v>
      </c>
      <c r="D421" s="113" t="s">
        <v>454</v>
      </c>
      <c r="E421" s="13"/>
      <c r="F421" s="33">
        <f>'Jurisdictional Study'!F1367</f>
        <v>0</v>
      </c>
      <c r="G421" s="32"/>
      <c r="H421" s="33">
        <f t="shared" si="429"/>
        <v>0</v>
      </c>
      <c r="I421" s="33">
        <f t="shared" si="430"/>
        <v>0</v>
      </c>
      <c r="J421" s="33">
        <f t="shared" si="431"/>
        <v>0</v>
      </c>
      <c r="K421" s="33">
        <f t="shared" si="432"/>
        <v>0</v>
      </c>
      <c r="L421" s="33">
        <f t="shared" si="433"/>
        <v>0</v>
      </c>
      <c r="M421" s="33">
        <f t="shared" si="434"/>
        <v>0</v>
      </c>
      <c r="N421" s="33"/>
      <c r="O421" s="33">
        <f t="shared" si="435"/>
        <v>0</v>
      </c>
      <c r="P421" s="33">
        <f t="shared" si="436"/>
        <v>0</v>
      </c>
      <c r="Q421" s="33">
        <f t="shared" si="437"/>
        <v>0</v>
      </c>
      <c r="R421" s="33"/>
      <c r="S421" s="33">
        <f t="shared" si="438"/>
        <v>0</v>
      </c>
      <c r="T421" s="33">
        <f t="shared" si="439"/>
        <v>0</v>
      </c>
      <c r="U421" s="33">
        <f t="shared" si="440"/>
        <v>0</v>
      </c>
      <c r="V421" s="33">
        <f t="shared" si="441"/>
        <v>0</v>
      </c>
      <c r="W421" s="33">
        <f t="shared" si="442"/>
        <v>0</v>
      </c>
      <c r="X421" s="33">
        <f t="shared" si="443"/>
        <v>0</v>
      </c>
      <c r="Y421" s="33">
        <f t="shared" si="444"/>
        <v>0</v>
      </c>
      <c r="Z421" s="33">
        <f t="shared" si="445"/>
        <v>0</v>
      </c>
      <c r="AA421" s="33">
        <f t="shared" si="446"/>
        <v>0</v>
      </c>
      <c r="AB421" s="33">
        <f t="shared" si="447"/>
        <v>0</v>
      </c>
      <c r="AC421" s="33">
        <f t="shared" si="448"/>
        <v>0</v>
      </c>
      <c r="AD421" s="33">
        <f t="shared" si="449"/>
        <v>0</v>
      </c>
      <c r="AE421" s="33"/>
      <c r="AF421" s="33">
        <f t="shared" si="450"/>
        <v>0</v>
      </c>
      <c r="AG421" s="33"/>
      <c r="AH421" s="33">
        <f t="shared" si="451"/>
        <v>0</v>
      </c>
      <c r="AI421" s="33"/>
      <c r="AJ421" s="33">
        <f t="shared" si="452"/>
        <v>0</v>
      </c>
      <c r="AK421" s="33">
        <f>SUM(H421:AJ421)</f>
        <v>0</v>
      </c>
      <c r="AL421" s="30" t="str">
        <f>IF(ABS(AK421-F421)&lt;1,"ok","err")</f>
        <v>ok</v>
      </c>
    </row>
    <row r="422" spans="1:38" x14ac:dyDescent="0.25">
      <c r="A422" s="29">
        <v>572</v>
      </c>
      <c r="B422" s="29" t="s">
        <v>1510</v>
      </c>
      <c r="C422" s="29" t="s">
        <v>1722</v>
      </c>
      <c r="D422" s="113" t="s">
        <v>454</v>
      </c>
      <c r="E422" s="13"/>
      <c r="F422" s="33">
        <f>'Jurisdictional Study'!F1368</f>
        <v>1040940.8604776361</v>
      </c>
      <c r="G422" s="32"/>
      <c r="H422" s="33">
        <f t="shared" si="429"/>
        <v>0</v>
      </c>
      <c r="I422" s="33">
        <f t="shared" si="430"/>
        <v>0</v>
      </c>
      <c r="J422" s="33">
        <f t="shared" si="431"/>
        <v>0</v>
      </c>
      <c r="K422" s="33">
        <f t="shared" si="432"/>
        <v>0</v>
      </c>
      <c r="L422" s="33">
        <f t="shared" si="433"/>
        <v>0</v>
      </c>
      <c r="M422" s="33">
        <f t="shared" si="434"/>
        <v>0</v>
      </c>
      <c r="N422" s="33"/>
      <c r="O422" s="33">
        <f t="shared" si="435"/>
        <v>1040940.8604776361</v>
      </c>
      <c r="P422" s="33">
        <f t="shared" si="436"/>
        <v>0</v>
      </c>
      <c r="Q422" s="33">
        <f t="shared" si="437"/>
        <v>0</v>
      </c>
      <c r="R422" s="33"/>
      <c r="S422" s="33">
        <f t="shared" si="438"/>
        <v>0</v>
      </c>
      <c r="T422" s="33">
        <f t="shared" si="439"/>
        <v>0</v>
      </c>
      <c r="U422" s="33">
        <f t="shared" si="440"/>
        <v>0</v>
      </c>
      <c r="V422" s="33">
        <f t="shared" si="441"/>
        <v>0</v>
      </c>
      <c r="W422" s="33">
        <f t="shared" si="442"/>
        <v>0</v>
      </c>
      <c r="X422" s="33">
        <f t="shared" si="443"/>
        <v>0</v>
      </c>
      <c r="Y422" s="33">
        <f t="shared" si="444"/>
        <v>0</v>
      </c>
      <c r="Z422" s="33">
        <f t="shared" si="445"/>
        <v>0</v>
      </c>
      <c r="AA422" s="33">
        <f t="shared" si="446"/>
        <v>0</v>
      </c>
      <c r="AB422" s="33">
        <f t="shared" si="447"/>
        <v>0</v>
      </c>
      <c r="AC422" s="33">
        <f t="shared" si="448"/>
        <v>0</v>
      </c>
      <c r="AD422" s="33">
        <f t="shared" si="449"/>
        <v>0</v>
      </c>
      <c r="AE422" s="33"/>
      <c r="AF422" s="33">
        <f t="shared" si="450"/>
        <v>0</v>
      </c>
      <c r="AG422" s="33"/>
      <c r="AH422" s="33">
        <f t="shared" si="451"/>
        <v>0</v>
      </c>
      <c r="AI422" s="33"/>
      <c r="AJ422" s="33">
        <f t="shared" si="452"/>
        <v>0</v>
      </c>
      <c r="AK422" s="33">
        <f>SUM(H422:AJ422)</f>
        <v>1040940.8604776361</v>
      </c>
      <c r="AL422" s="30" t="str">
        <f>IF(ABS(AK422-F422)&lt;1,"ok","err")</f>
        <v>ok</v>
      </c>
    </row>
    <row r="423" spans="1:38" x14ac:dyDescent="0.25">
      <c r="A423" s="29">
        <v>573</v>
      </c>
      <c r="B423" s="29" t="s">
        <v>1512</v>
      </c>
      <c r="C423" s="29" t="s">
        <v>1723</v>
      </c>
      <c r="D423" s="113" t="s">
        <v>454</v>
      </c>
      <c r="E423" s="13"/>
      <c r="F423" s="33">
        <f>'Jurisdictional Study'!F1369</f>
        <v>291255.14986607252</v>
      </c>
      <c r="G423" s="32"/>
      <c r="H423" s="33">
        <f t="shared" si="429"/>
        <v>0</v>
      </c>
      <c r="I423" s="33">
        <f t="shared" si="430"/>
        <v>0</v>
      </c>
      <c r="J423" s="33">
        <f t="shared" si="431"/>
        <v>0</v>
      </c>
      <c r="K423" s="33">
        <f t="shared" si="432"/>
        <v>0</v>
      </c>
      <c r="L423" s="33">
        <f t="shared" si="433"/>
        <v>0</v>
      </c>
      <c r="M423" s="33">
        <f t="shared" si="434"/>
        <v>0</v>
      </c>
      <c r="N423" s="33"/>
      <c r="O423" s="33">
        <f t="shared" si="435"/>
        <v>291255.14986607252</v>
      </c>
      <c r="P423" s="33">
        <f t="shared" si="436"/>
        <v>0</v>
      </c>
      <c r="Q423" s="33">
        <f t="shared" si="437"/>
        <v>0</v>
      </c>
      <c r="R423" s="33"/>
      <c r="S423" s="33">
        <f t="shared" si="438"/>
        <v>0</v>
      </c>
      <c r="T423" s="33">
        <f t="shared" si="439"/>
        <v>0</v>
      </c>
      <c r="U423" s="33">
        <f t="shared" si="440"/>
        <v>0</v>
      </c>
      <c r="V423" s="33">
        <f t="shared" si="441"/>
        <v>0</v>
      </c>
      <c r="W423" s="33">
        <f t="shared" si="442"/>
        <v>0</v>
      </c>
      <c r="X423" s="33">
        <f t="shared" si="443"/>
        <v>0</v>
      </c>
      <c r="Y423" s="33">
        <f t="shared" si="444"/>
        <v>0</v>
      </c>
      <c r="Z423" s="33">
        <f t="shared" si="445"/>
        <v>0</v>
      </c>
      <c r="AA423" s="33">
        <f t="shared" si="446"/>
        <v>0</v>
      </c>
      <c r="AB423" s="33">
        <f t="shared" si="447"/>
        <v>0</v>
      </c>
      <c r="AC423" s="33">
        <f t="shared" si="448"/>
        <v>0</v>
      </c>
      <c r="AD423" s="33">
        <f t="shared" si="449"/>
        <v>0</v>
      </c>
      <c r="AE423" s="33"/>
      <c r="AF423" s="33">
        <f t="shared" si="450"/>
        <v>0</v>
      </c>
      <c r="AG423" s="33"/>
      <c r="AH423" s="33">
        <f t="shared" si="451"/>
        <v>0</v>
      </c>
      <c r="AI423" s="33"/>
      <c r="AJ423" s="33">
        <f t="shared" si="452"/>
        <v>0</v>
      </c>
      <c r="AK423" s="33">
        <f t="shared" si="453"/>
        <v>291255.14986607252</v>
      </c>
      <c r="AL423" s="30" t="str">
        <f t="shared" si="454"/>
        <v>ok</v>
      </c>
    </row>
    <row r="424" spans="1:38" x14ac:dyDescent="0.25">
      <c r="D424" s="113"/>
      <c r="E424" s="13"/>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0"/>
    </row>
    <row r="425" spans="1:38" x14ac:dyDescent="0.25">
      <c r="A425" s="29" t="s">
        <v>986</v>
      </c>
      <c r="C425" s="29" t="s">
        <v>689</v>
      </c>
      <c r="D425" s="113"/>
      <c r="E425" s="13"/>
      <c r="F425" s="34">
        <f>SUM(F414:F424)</f>
        <v>6711545.61591883</v>
      </c>
      <c r="G425" s="34">
        <f>SUM(G414:G423)</f>
        <v>0</v>
      </c>
      <c r="H425" s="34">
        <f t="shared" ref="H425:M425" si="455">SUM(H414:H424)</f>
        <v>0</v>
      </c>
      <c r="I425" s="34">
        <f t="shared" si="455"/>
        <v>0</v>
      </c>
      <c r="J425" s="34">
        <f t="shared" si="455"/>
        <v>0</v>
      </c>
      <c r="K425" s="34">
        <f t="shared" si="455"/>
        <v>0</v>
      </c>
      <c r="L425" s="34">
        <f t="shared" si="455"/>
        <v>0</v>
      </c>
      <c r="M425" s="34">
        <f t="shared" si="455"/>
        <v>0</v>
      </c>
      <c r="N425" s="33"/>
      <c r="O425" s="34">
        <f>SUM(O414:O424)</f>
        <v>6711545.61591883</v>
      </c>
      <c r="P425" s="34">
        <f>SUM(P414:P424)</f>
        <v>0</v>
      </c>
      <c r="Q425" s="34">
        <f>SUM(Q414:Q424)</f>
        <v>0</v>
      </c>
      <c r="R425" s="33"/>
      <c r="S425" s="34">
        <f t="shared" ref="S425:AD425" si="456">SUM(S414:S424)</f>
        <v>0</v>
      </c>
      <c r="T425" s="34">
        <f t="shared" si="456"/>
        <v>0</v>
      </c>
      <c r="U425" s="34">
        <f t="shared" si="456"/>
        <v>0</v>
      </c>
      <c r="V425" s="34">
        <f t="shared" si="456"/>
        <v>0</v>
      </c>
      <c r="W425" s="34">
        <f t="shared" si="456"/>
        <v>0</v>
      </c>
      <c r="X425" s="34">
        <f t="shared" si="456"/>
        <v>0</v>
      </c>
      <c r="Y425" s="34">
        <f t="shared" si="456"/>
        <v>0</v>
      </c>
      <c r="Z425" s="34">
        <f t="shared" si="456"/>
        <v>0</v>
      </c>
      <c r="AA425" s="34">
        <f t="shared" si="456"/>
        <v>0</v>
      </c>
      <c r="AB425" s="34">
        <f t="shared" si="456"/>
        <v>0</v>
      </c>
      <c r="AC425" s="34">
        <f t="shared" si="456"/>
        <v>0</v>
      </c>
      <c r="AD425" s="34">
        <f t="shared" si="456"/>
        <v>0</v>
      </c>
      <c r="AE425" s="33"/>
      <c r="AF425" s="34">
        <f>SUM(AF414:AF424)</f>
        <v>0</v>
      </c>
      <c r="AG425" s="33"/>
      <c r="AH425" s="34">
        <f>SUM(AH414:AH424)</f>
        <v>0</v>
      </c>
      <c r="AI425" s="33"/>
      <c r="AJ425" s="34">
        <f>SUM(AJ414:AJ424)</f>
        <v>0</v>
      </c>
      <c r="AK425" s="32">
        <f>SUM(H425:AJ425)</f>
        <v>6711545.61591883</v>
      </c>
      <c r="AL425" s="30" t="str">
        <f>IF(ABS(AK425-F425)&lt;1,"ok","err")</f>
        <v>ok</v>
      </c>
    </row>
    <row r="426" spans="1:38" x14ac:dyDescent="0.25">
      <c r="D426" s="113"/>
      <c r="E426" s="13"/>
      <c r="Y426" s="29"/>
      <c r="AL426" s="30"/>
    </row>
    <row r="427" spans="1:38" x14ac:dyDescent="0.25">
      <c r="A427" s="4" t="s">
        <v>988</v>
      </c>
      <c r="D427" s="113"/>
      <c r="E427" s="13"/>
      <c r="Y427" s="29"/>
      <c r="AL427" s="30"/>
    </row>
    <row r="428" spans="1:38" x14ac:dyDescent="0.25">
      <c r="A428" s="29">
        <v>580</v>
      </c>
      <c r="B428" s="29" t="s">
        <v>757</v>
      </c>
      <c r="C428" s="29" t="s">
        <v>935</v>
      </c>
      <c r="D428" s="113" t="s">
        <v>697</v>
      </c>
      <c r="E428" s="13"/>
      <c r="F428" s="32">
        <f>'Jurisdictional Study'!F1376</f>
        <v>1359013.242070257</v>
      </c>
      <c r="H428" s="33">
        <f t="shared" ref="H428:H438" si="457">IF(VLOOKUP($D428,$C$5:$AJ$596,6,)=0,0,((VLOOKUP($D428,$C$5:$AJ$596,6,)/VLOOKUP($D428,$C$5:$AJ$596,4,))*$F428))</f>
        <v>0</v>
      </c>
      <c r="I428" s="33">
        <f t="shared" ref="I428:I438" si="458">IF(VLOOKUP($D428,$C$5:$AJ$596,7,)=0,0,((VLOOKUP($D428,$C$5:$AJ$596,7,)/VLOOKUP($D428,$C$5:$AJ$596,4,))*$F428))</f>
        <v>0</v>
      </c>
      <c r="J428" s="33">
        <f t="shared" ref="J428:J438" si="459">IF(VLOOKUP($D428,$C$5:$AJ$596,8,)=0,0,((VLOOKUP($D428,$C$5:$AJ$596,8,)/VLOOKUP($D428,$C$5:$AJ$596,4,))*$F428))</f>
        <v>0</v>
      </c>
      <c r="K428" s="33">
        <f t="shared" ref="K428:K438" si="460">IF(VLOOKUP($D428,$C$5:$AJ$596,9,)=0,0,((VLOOKUP($D428,$C$5:$AJ$596,9,)/VLOOKUP($D428,$C$5:$AJ$596,4,))*$F428))</f>
        <v>0</v>
      </c>
      <c r="L428" s="33">
        <f t="shared" ref="L428:L438" si="461">IF(VLOOKUP($D428,$C$5:$AJ$596,10,)=0,0,((VLOOKUP($D428,$C$5:$AJ$596,10,)/VLOOKUP($D428,$C$5:$AJ$596,4,))*$F428))</f>
        <v>0</v>
      </c>
      <c r="M428" s="33">
        <f t="shared" ref="M428:M438" si="462">IF(VLOOKUP($D428,$C$5:$AJ$596,11,)=0,0,((VLOOKUP($D428,$C$5:$AJ$596,11,)/VLOOKUP($D428,$C$5:$AJ$596,4,))*$F428))</f>
        <v>0</v>
      </c>
      <c r="N428" s="33"/>
      <c r="O428" s="33">
        <f t="shared" ref="O428:O438" si="463">IF(VLOOKUP($D428,$C$5:$AJ$596,13,)=0,0,((VLOOKUP($D428,$C$5:$AJ$596,13,)/VLOOKUP($D428,$C$5:$AJ$596,4,))*$F428))</f>
        <v>0</v>
      </c>
      <c r="P428" s="33">
        <f t="shared" ref="P428:P438" si="464">IF(VLOOKUP($D428,$C$5:$AJ$596,14,)=0,0,((VLOOKUP($D428,$C$5:$AJ$596,14,)/VLOOKUP($D428,$C$5:$AJ$596,4,))*$F428))</f>
        <v>0</v>
      </c>
      <c r="Q428" s="33">
        <f t="shared" ref="Q428:Q438" si="465">IF(VLOOKUP($D428,$C$5:$AJ$596,15,)=0,0,((VLOOKUP($D428,$C$5:$AJ$596,15,)/VLOOKUP($D428,$C$5:$AJ$596,4,))*$F428))</f>
        <v>0</v>
      </c>
      <c r="R428" s="33"/>
      <c r="S428" s="33">
        <f t="shared" ref="S428:S438" si="466">IF(VLOOKUP($D428,$C$5:$AJ$596,17,)=0,0,((VLOOKUP($D428,$C$5:$AJ$596,17,)/VLOOKUP($D428,$C$5:$AJ$596,4,))*$F428))</f>
        <v>0</v>
      </c>
      <c r="T428" s="33">
        <f t="shared" ref="T428:T438" si="467">IF(VLOOKUP($D428,$C$5:$AJ$596,18,)=0,0,((VLOOKUP($D428,$C$5:$AJ$596,18,)/VLOOKUP($D428,$C$5:$AJ$596,4,))*$F428))</f>
        <v>211747.41730221521</v>
      </c>
      <c r="U428" s="33">
        <f t="shared" ref="U428:U438" si="468">IF(VLOOKUP($D428,$C$5:$AJ$596,19,)=0,0,((VLOOKUP($D428,$C$5:$AJ$596,19,)/VLOOKUP($D428,$C$5:$AJ$596,4,))*$F428))</f>
        <v>0</v>
      </c>
      <c r="V428" s="33">
        <f t="shared" ref="V428:V438" si="469">IF(VLOOKUP($D428,$C$5:$AJ$596,20,)=0,0,((VLOOKUP($D428,$C$5:$AJ$596,20,)/VLOOKUP($D428,$C$5:$AJ$596,4,))*$F428))</f>
        <v>112210.15469411471</v>
      </c>
      <c r="W428" s="33">
        <f t="shared" ref="W428:W438" si="470">IF(VLOOKUP($D428,$C$5:$AJ$596,21,)=0,0,((VLOOKUP($D428,$C$5:$AJ$596,21,)/VLOOKUP($D428,$C$5:$AJ$596,4,))*$F428))</f>
        <v>192458.68233192459</v>
      </c>
      <c r="X428" s="33">
        <f t="shared" ref="X428:X438" si="471">IF(VLOOKUP($D428,$C$5:$AJ$596,22,)=0,0,((VLOOKUP($D428,$C$5:$AJ$596,22,)/VLOOKUP($D428,$C$5:$AJ$596,4,))*$F428))</f>
        <v>61798.750572815923</v>
      </c>
      <c r="Y428" s="33">
        <f t="shared" ref="Y428:Y438" si="472">IF(VLOOKUP($D428,$C$5:$AJ$596,23,)=0,0,((VLOOKUP($D428,$C$5:$AJ$596,23,)/VLOOKUP($D428,$C$5:$AJ$596,4,))*$F428))</f>
        <v>105239.01177022382</v>
      </c>
      <c r="Z428" s="33">
        <f t="shared" ref="Z428:Z438" si="473">IF(VLOOKUP($D428,$C$5:$AJ$596,24,)=0,0,((VLOOKUP($D428,$C$5:$AJ$596,24,)/VLOOKUP($D428,$C$5:$AJ$596,4,))*$F428))</f>
        <v>31730.495717498543</v>
      </c>
      <c r="AA428" s="33">
        <f t="shared" ref="AA428:AA438" si="474">IF(VLOOKUP($D428,$C$5:$AJ$596,25,)=0,0,((VLOOKUP($D428,$C$5:$AJ$596,25,)/VLOOKUP($D428,$C$5:$AJ$596,4,))*$F428))</f>
        <v>27518.334015654011</v>
      </c>
      <c r="AB428" s="33">
        <f t="shared" ref="AB428:AB438" si="475">IF(VLOOKUP($D428,$C$5:$AJ$596,26,)=0,0,((VLOOKUP($D428,$C$5:$AJ$596,26,)/VLOOKUP($D428,$C$5:$AJ$596,4,))*$F428))</f>
        <v>20377.270175418205</v>
      </c>
      <c r="AC428" s="33">
        <f t="shared" ref="AC428:AC438" si="476">IF(VLOOKUP($D428,$C$5:$AJ$596,27,)=0,0,((VLOOKUP($D428,$C$5:$AJ$596,27,)/VLOOKUP($D428,$C$5:$AJ$596,4,))*$F428))</f>
        <v>572073.98825098993</v>
      </c>
      <c r="AD428" s="33">
        <f t="shared" ref="AD428:AD438" si="477">IF(VLOOKUP($D428,$C$5:$AJ$596,28,)=0,0,((VLOOKUP($D428,$C$5:$AJ$596,28,)/VLOOKUP($D428,$C$5:$AJ$596,4,))*$F428))</f>
        <v>23859.137239402029</v>
      </c>
      <c r="AE428" s="33"/>
      <c r="AF428" s="33">
        <f t="shared" ref="AF428:AF438" si="478">IF(VLOOKUP($D428,$C$5:$AJ$596,30,)=0,0,((VLOOKUP($D428,$C$5:$AJ$596,30,)/VLOOKUP($D428,$C$5:$AJ$596,4,))*$F428))</f>
        <v>0</v>
      </c>
      <c r="AG428" s="33"/>
      <c r="AH428" s="33">
        <f t="shared" ref="AH428:AH438" si="479">IF(VLOOKUP($D428,$C$5:$AJ$596,32,)=0,0,((VLOOKUP($D428,$C$5:$AJ$596,32,)/VLOOKUP($D428,$C$5:$AJ$596,4,))*$F428))</f>
        <v>0</v>
      </c>
      <c r="AI428" s="33"/>
      <c r="AJ428" s="33">
        <f t="shared" ref="AJ428:AJ438" si="480">IF(VLOOKUP($D428,$C$5:$AJ$596,34,)=0,0,((VLOOKUP($D428,$C$5:$AJ$596,34,)/VLOOKUP($D428,$C$5:$AJ$596,4,))*$F428))</f>
        <v>0</v>
      </c>
      <c r="AK428" s="33">
        <f t="shared" ref="AK428:AK438" si="481">SUM(H428:AJ428)</f>
        <v>1359013.242070257</v>
      </c>
      <c r="AL428" s="30" t="str">
        <f t="shared" ref="AL428:AL438" si="482">IF(ABS(AK428-F428)&lt;1,"ok","err")</f>
        <v>ok</v>
      </c>
    </row>
    <row r="429" spans="1:38" x14ac:dyDescent="0.25">
      <c r="A429" s="29">
        <v>581</v>
      </c>
      <c r="B429" s="29" t="s">
        <v>759</v>
      </c>
      <c r="C429" s="29" t="s">
        <v>936</v>
      </c>
      <c r="D429" s="113" t="s">
        <v>113</v>
      </c>
      <c r="E429" s="13"/>
      <c r="F429" s="33">
        <f>'Jurisdictional Study'!F1377</f>
        <v>334335.42108350917</v>
      </c>
      <c r="H429" s="33">
        <f t="shared" si="457"/>
        <v>0</v>
      </c>
      <c r="I429" s="33">
        <f t="shared" si="458"/>
        <v>0</v>
      </c>
      <c r="J429" s="33">
        <f t="shared" si="459"/>
        <v>0</v>
      </c>
      <c r="K429" s="33">
        <f t="shared" si="460"/>
        <v>0</v>
      </c>
      <c r="L429" s="33">
        <f t="shared" si="461"/>
        <v>0</v>
      </c>
      <c r="M429" s="33">
        <f t="shared" si="462"/>
        <v>0</v>
      </c>
      <c r="N429" s="33"/>
      <c r="O429" s="33">
        <f t="shared" si="463"/>
        <v>0</v>
      </c>
      <c r="P429" s="33">
        <f t="shared" si="464"/>
        <v>0</v>
      </c>
      <c r="Q429" s="33">
        <f t="shared" si="465"/>
        <v>0</v>
      </c>
      <c r="R429" s="33"/>
      <c r="S429" s="33">
        <f t="shared" si="466"/>
        <v>0</v>
      </c>
      <c r="T429" s="33">
        <f t="shared" si="467"/>
        <v>334335.42108350917</v>
      </c>
      <c r="U429" s="33">
        <f t="shared" si="468"/>
        <v>0</v>
      </c>
      <c r="V429" s="33">
        <f t="shared" si="469"/>
        <v>0</v>
      </c>
      <c r="W429" s="33">
        <f t="shared" si="470"/>
        <v>0</v>
      </c>
      <c r="X429" s="33">
        <f t="shared" si="471"/>
        <v>0</v>
      </c>
      <c r="Y429" s="33">
        <f t="shared" si="472"/>
        <v>0</v>
      </c>
      <c r="Z429" s="33">
        <f t="shared" si="473"/>
        <v>0</v>
      </c>
      <c r="AA429" s="33">
        <f t="shared" si="474"/>
        <v>0</v>
      </c>
      <c r="AB429" s="33">
        <f t="shared" si="475"/>
        <v>0</v>
      </c>
      <c r="AC429" s="33">
        <f t="shared" si="476"/>
        <v>0</v>
      </c>
      <c r="AD429" s="33">
        <f t="shared" si="477"/>
        <v>0</v>
      </c>
      <c r="AE429" s="33"/>
      <c r="AF429" s="33">
        <f t="shared" si="478"/>
        <v>0</v>
      </c>
      <c r="AG429" s="33"/>
      <c r="AH429" s="33">
        <f t="shared" si="479"/>
        <v>0</v>
      </c>
      <c r="AI429" s="33"/>
      <c r="AJ429" s="33">
        <f t="shared" si="480"/>
        <v>0</v>
      </c>
      <c r="AK429" s="33">
        <f t="shared" si="481"/>
        <v>334335.42108350917</v>
      </c>
      <c r="AL429" s="30" t="str">
        <f t="shared" si="482"/>
        <v>ok</v>
      </c>
    </row>
    <row r="430" spans="1:38" x14ac:dyDescent="0.25">
      <c r="A430" s="29">
        <v>582</v>
      </c>
      <c r="B430" s="29" t="s">
        <v>437</v>
      </c>
      <c r="C430" s="29" t="s">
        <v>937</v>
      </c>
      <c r="D430" s="113" t="s">
        <v>113</v>
      </c>
      <c r="E430" s="13"/>
      <c r="F430" s="33">
        <f>'Jurisdictional Study'!F1378</f>
        <v>1097042.5483232059</v>
      </c>
      <c r="H430" s="33">
        <f t="shared" si="457"/>
        <v>0</v>
      </c>
      <c r="I430" s="33">
        <f t="shared" si="458"/>
        <v>0</v>
      </c>
      <c r="J430" s="33">
        <f t="shared" si="459"/>
        <v>0</v>
      </c>
      <c r="K430" s="33">
        <f t="shared" si="460"/>
        <v>0</v>
      </c>
      <c r="L430" s="33">
        <f t="shared" si="461"/>
        <v>0</v>
      </c>
      <c r="M430" s="33">
        <f t="shared" si="462"/>
        <v>0</v>
      </c>
      <c r="N430" s="33"/>
      <c r="O430" s="33">
        <f t="shared" si="463"/>
        <v>0</v>
      </c>
      <c r="P430" s="33">
        <f t="shared" si="464"/>
        <v>0</v>
      </c>
      <c r="Q430" s="33">
        <f t="shared" si="465"/>
        <v>0</v>
      </c>
      <c r="R430" s="33"/>
      <c r="S430" s="33">
        <f t="shared" si="466"/>
        <v>0</v>
      </c>
      <c r="T430" s="33">
        <f t="shared" si="467"/>
        <v>1097042.5483232059</v>
      </c>
      <c r="U430" s="33">
        <f t="shared" si="468"/>
        <v>0</v>
      </c>
      <c r="V430" s="33">
        <f t="shared" si="469"/>
        <v>0</v>
      </c>
      <c r="W430" s="33">
        <f t="shared" si="470"/>
        <v>0</v>
      </c>
      <c r="X430" s="33">
        <f t="shared" si="471"/>
        <v>0</v>
      </c>
      <c r="Y430" s="33">
        <f t="shared" si="472"/>
        <v>0</v>
      </c>
      <c r="Z430" s="33">
        <f t="shared" si="473"/>
        <v>0</v>
      </c>
      <c r="AA430" s="33">
        <f t="shared" si="474"/>
        <v>0</v>
      </c>
      <c r="AB430" s="33">
        <f t="shared" si="475"/>
        <v>0</v>
      </c>
      <c r="AC430" s="33">
        <f t="shared" si="476"/>
        <v>0</v>
      </c>
      <c r="AD430" s="33">
        <f t="shared" si="477"/>
        <v>0</v>
      </c>
      <c r="AE430" s="33"/>
      <c r="AF430" s="33">
        <f t="shared" si="478"/>
        <v>0</v>
      </c>
      <c r="AG430" s="33"/>
      <c r="AH430" s="33">
        <f t="shared" si="479"/>
        <v>0</v>
      </c>
      <c r="AI430" s="33"/>
      <c r="AJ430" s="33">
        <f t="shared" si="480"/>
        <v>0</v>
      </c>
      <c r="AK430" s="33">
        <f t="shared" si="481"/>
        <v>1097042.5483232059</v>
      </c>
      <c r="AL430" s="30" t="str">
        <f t="shared" si="482"/>
        <v>ok</v>
      </c>
    </row>
    <row r="431" spans="1:38" x14ac:dyDescent="0.25">
      <c r="A431" s="29">
        <v>583</v>
      </c>
      <c r="B431" s="29" t="s">
        <v>761</v>
      </c>
      <c r="C431" s="29" t="s">
        <v>938</v>
      </c>
      <c r="D431" s="113" t="s">
        <v>116</v>
      </c>
      <c r="E431" s="13"/>
      <c r="F431" s="33">
        <f>'Jurisdictional Study'!F1379</f>
        <v>2526426.912808348</v>
      </c>
      <c r="H431" s="33">
        <f t="shared" si="457"/>
        <v>0</v>
      </c>
      <c r="I431" s="33">
        <f t="shared" si="458"/>
        <v>0</v>
      </c>
      <c r="J431" s="33">
        <f t="shared" si="459"/>
        <v>0</v>
      </c>
      <c r="K431" s="33">
        <f t="shared" si="460"/>
        <v>0</v>
      </c>
      <c r="L431" s="33">
        <f t="shared" si="461"/>
        <v>0</v>
      </c>
      <c r="M431" s="33">
        <f t="shared" si="462"/>
        <v>0</v>
      </c>
      <c r="N431" s="33"/>
      <c r="O431" s="33">
        <f t="shared" si="463"/>
        <v>0</v>
      </c>
      <c r="P431" s="33">
        <f t="shared" si="464"/>
        <v>0</v>
      </c>
      <c r="Q431" s="33">
        <f t="shared" si="465"/>
        <v>0</v>
      </c>
      <c r="R431" s="33"/>
      <c r="S431" s="33">
        <f t="shared" si="466"/>
        <v>0</v>
      </c>
      <c r="T431" s="33">
        <f t="shared" si="467"/>
        <v>0</v>
      </c>
      <c r="U431" s="33">
        <f t="shared" si="468"/>
        <v>0</v>
      </c>
      <c r="V431" s="33">
        <f t="shared" si="469"/>
        <v>622308.39079937979</v>
      </c>
      <c r="W431" s="33">
        <f t="shared" si="470"/>
        <v>1002942.0422102305</v>
      </c>
      <c r="X431" s="33">
        <f t="shared" si="471"/>
        <v>345060.47411493666</v>
      </c>
      <c r="Y431" s="33">
        <f t="shared" si="472"/>
        <v>556116.00568380102</v>
      </c>
      <c r="Z431" s="33">
        <f t="shared" si="473"/>
        <v>0</v>
      </c>
      <c r="AA431" s="33">
        <f t="shared" si="474"/>
        <v>0</v>
      </c>
      <c r="AB431" s="33">
        <f t="shared" si="475"/>
        <v>0</v>
      </c>
      <c r="AC431" s="33">
        <f t="shared" si="476"/>
        <v>0</v>
      </c>
      <c r="AD431" s="33">
        <f t="shared" si="477"/>
        <v>0</v>
      </c>
      <c r="AE431" s="33"/>
      <c r="AF431" s="33">
        <f t="shared" si="478"/>
        <v>0</v>
      </c>
      <c r="AG431" s="33"/>
      <c r="AH431" s="33">
        <f t="shared" si="479"/>
        <v>0</v>
      </c>
      <c r="AI431" s="33"/>
      <c r="AJ431" s="33">
        <f t="shared" si="480"/>
        <v>0</v>
      </c>
      <c r="AK431" s="33">
        <f t="shared" si="481"/>
        <v>2526426.912808348</v>
      </c>
      <c r="AL431" s="30" t="str">
        <f t="shared" si="482"/>
        <v>ok</v>
      </c>
    </row>
    <row r="432" spans="1:38" x14ac:dyDescent="0.25">
      <c r="A432" s="29">
        <v>584</v>
      </c>
      <c r="B432" s="29" t="s">
        <v>763</v>
      </c>
      <c r="C432" s="29" t="s">
        <v>939</v>
      </c>
      <c r="D432" s="113" t="s">
        <v>119</v>
      </c>
      <c r="E432" s="13"/>
      <c r="F432" s="33">
        <f>'Jurisdictional Study'!F1380</f>
        <v>0</v>
      </c>
      <c r="H432" s="33">
        <f t="shared" si="457"/>
        <v>0</v>
      </c>
      <c r="I432" s="33">
        <f t="shared" si="458"/>
        <v>0</v>
      </c>
      <c r="J432" s="33">
        <f t="shared" si="459"/>
        <v>0</v>
      </c>
      <c r="K432" s="33">
        <f t="shared" si="460"/>
        <v>0</v>
      </c>
      <c r="L432" s="33">
        <f t="shared" si="461"/>
        <v>0</v>
      </c>
      <c r="M432" s="33">
        <f t="shared" si="462"/>
        <v>0</v>
      </c>
      <c r="N432" s="33"/>
      <c r="O432" s="33">
        <f t="shared" si="463"/>
        <v>0</v>
      </c>
      <c r="P432" s="33">
        <f t="shared" si="464"/>
        <v>0</v>
      </c>
      <c r="Q432" s="33">
        <f t="shared" si="465"/>
        <v>0</v>
      </c>
      <c r="R432" s="33"/>
      <c r="S432" s="33">
        <f t="shared" si="466"/>
        <v>0</v>
      </c>
      <c r="T432" s="33">
        <f t="shared" si="467"/>
        <v>0</v>
      </c>
      <c r="U432" s="33">
        <f t="shared" si="468"/>
        <v>0</v>
      </c>
      <c r="V432" s="33">
        <f t="shared" si="469"/>
        <v>0</v>
      </c>
      <c r="W432" s="33">
        <f t="shared" si="470"/>
        <v>0</v>
      </c>
      <c r="X432" s="33">
        <f t="shared" si="471"/>
        <v>0</v>
      </c>
      <c r="Y432" s="33">
        <f t="shared" si="472"/>
        <v>0</v>
      </c>
      <c r="Z432" s="33">
        <f t="shared" si="473"/>
        <v>0</v>
      </c>
      <c r="AA432" s="33">
        <f t="shared" si="474"/>
        <v>0</v>
      </c>
      <c r="AB432" s="33">
        <f t="shared" si="475"/>
        <v>0</v>
      </c>
      <c r="AC432" s="33">
        <f t="shared" si="476"/>
        <v>0</v>
      </c>
      <c r="AD432" s="33">
        <f t="shared" si="477"/>
        <v>0</v>
      </c>
      <c r="AE432" s="33"/>
      <c r="AF432" s="33">
        <f t="shared" si="478"/>
        <v>0</v>
      </c>
      <c r="AG432" s="33"/>
      <c r="AH432" s="33">
        <f t="shared" si="479"/>
        <v>0</v>
      </c>
      <c r="AI432" s="33"/>
      <c r="AJ432" s="33">
        <f t="shared" si="480"/>
        <v>0</v>
      </c>
      <c r="AK432" s="33">
        <f t="shared" si="481"/>
        <v>0</v>
      </c>
      <c r="AL432" s="30" t="str">
        <f t="shared" si="482"/>
        <v>ok</v>
      </c>
    </row>
    <row r="433" spans="1:38" x14ac:dyDescent="0.25">
      <c r="A433" s="29">
        <v>585</v>
      </c>
      <c r="B433" s="29" t="s">
        <v>765</v>
      </c>
      <c r="C433" s="29" t="s">
        <v>940</v>
      </c>
      <c r="D433" s="113" t="s">
        <v>168</v>
      </c>
      <c r="E433" s="13"/>
      <c r="F433" s="33">
        <f>'Jurisdictional Study'!F1381</f>
        <v>0</v>
      </c>
      <c r="H433" s="33">
        <f t="shared" si="457"/>
        <v>0</v>
      </c>
      <c r="I433" s="33">
        <f t="shared" si="458"/>
        <v>0</v>
      </c>
      <c r="J433" s="33">
        <f t="shared" si="459"/>
        <v>0</v>
      </c>
      <c r="K433" s="33">
        <f t="shared" si="460"/>
        <v>0</v>
      </c>
      <c r="L433" s="33">
        <f t="shared" si="461"/>
        <v>0</v>
      </c>
      <c r="M433" s="33">
        <f t="shared" si="462"/>
        <v>0</v>
      </c>
      <c r="N433" s="33"/>
      <c r="O433" s="33">
        <f t="shared" si="463"/>
        <v>0</v>
      </c>
      <c r="P433" s="33">
        <f t="shared" si="464"/>
        <v>0</v>
      </c>
      <c r="Q433" s="33">
        <f t="shared" si="465"/>
        <v>0</v>
      </c>
      <c r="R433" s="33"/>
      <c r="S433" s="33">
        <f t="shared" si="466"/>
        <v>0</v>
      </c>
      <c r="T433" s="33">
        <f t="shared" si="467"/>
        <v>0</v>
      </c>
      <c r="U433" s="33">
        <f t="shared" si="468"/>
        <v>0</v>
      </c>
      <c r="V433" s="33">
        <f t="shared" si="469"/>
        <v>0</v>
      </c>
      <c r="W433" s="33">
        <f t="shared" si="470"/>
        <v>0</v>
      </c>
      <c r="X433" s="33">
        <f t="shared" si="471"/>
        <v>0</v>
      </c>
      <c r="Y433" s="33">
        <f t="shared" si="472"/>
        <v>0</v>
      </c>
      <c r="Z433" s="33">
        <f t="shared" si="473"/>
        <v>0</v>
      </c>
      <c r="AA433" s="33">
        <f t="shared" si="474"/>
        <v>0</v>
      </c>
      <c r="AB433" s="33">
        <f t="shared" si="475"/>
        <v>0</v>
      </c>
      <c r="AC433" s="33">
        <f t="shared" si="476"/>
        <v>0</v>
      </c>
      <c r="AD433" s="33">
        <f t="shared" si="477"/>
        <v>0</v>
      </c>
      <c r="AE433" s="33"/>
      <c r="AF433" s="33">
        <f t="shared" si="478"/>
        <v>0</v>
      </c>
      <c r="AG433" s="33"/>
      <c r="AH433" s="33">
        <f t="shared" si="479"/>
        <v>0</v>
      </c>
      <c r="AI433" s="33"/>
      <c r="AJ433" s="33">
        <f t="shared" si="480"/>
        <v>0</v>
      </c>
      <c r="AK433" s="33">
        <f t="shared" si="481"/>
        <v>0</v>
      </c>
      <c r="AL433" s="30" t="str">
        <f t="shared" si="482"/>
        <v>ok</v>
      </c>
    </row>
    <row r="434" spans="1:38" x14ac:dyDescent="0.25">
      <c r="A434" s="29">
        <v>586</v>
      </c>
      <c r="B434" s="29" t="s">
        <v>335</v>
      </c>
      <c r="C434" s="29" t="s">
        <v>941</v>
      </c>
      <c r="D434" s="113" t="s">
        <v>166</v>
      </c>
      <c r="E434" s="13"/>
      <c r="F434" s="33">
        <f>'Jurisdictional Study'!F1382</f>
        <v>5013077.5644518193</v>
      </c>
      <c r="H434" s="33">
        <f t="shared" si="457"/>
        <v>0</v>
      </c>
      <c r="I434" s="33">
        <f t="shared" si="458"/>
        <v>0</v>
      </c>
      <c r="J434" s="33">
        <f t="shared" si="459"/>
        <v>0</v>
      </c>
      <c r="K434" s="33">
        <f t="shared" si="460"/>
        <v>0</v>
      </c>
      <c r="L434" s="33">
        <f t="shared" si="461"/>
        <v>0</v>
      </c>
      <c r="M434" s="33">
        <f t="shared" si="462"/>
        <v>0</v>
      </c>
      <c r="N434" s="33"/>
      <c r="O434" s="33">
        <f t="shared" si="463"/>
        <v>0</v>
      </c>
      <c r="P434" s="33">
        <f t="shared" si="464"/>
        <v>0</v>
      </c>
      <c r="Q434" s="33">
        <f t="shared" si="465"/>
        <v>0</v>
      </c>
      <c r="R434" s="33"/>
      <c r="S434" s="33">
        <f t="shared" si="466"/>
        <v>0</v>
      </c>
      <c r="T434" s="33">
        <f t="shared" si="467"/>
        <v>0</v>
      </c>
      <c r="U434" s="33">
        <f t="shared" si="468"/>
        <v>0</v>
      </c>
      <c r="V434" s="33">
        <f t="shared" si="469"/>
        <v>0</v>
      </c>
      <c r="W434" s="33">
        <f t="shared" si="470"/>
        <v>0</v>
      </c>
      <c r="X434" s="33">
        <f t="shared" si="471"/>
        <v>0</v>
      </c>
      <c r="Y434" s="33">
        <f t="shared" si="472"/>
        <v>0</v>
      </c>
      <c r="Z434" s="33">
        <f t="shared" si="473"/>
        <v>0</v>
      </c>
      <c r="AA434" s="33">
        <f t="shared" si="474"/>
        <v>0</v>
      </c>
      <c r="AB434" s="33">
        <f t="shared" si="475"/>
        <v>0</v>
      </c>
      <c r="AC434" s="33">
        <f t="shared" si="476"/>
        <v>5013077.5644518193</v>
      </c>
      <c r="AD434" s="33">
        <f t="shared" si="477"/>
        <v>0</v>
      </c>
      <c r="AE434" s="33"/>
      <c r="AF434" s="33">
        <f t="shared" si="478"/>
        <v>0</v>
      </c>
      <c r="AG434" s="33"/>
      <c r="AH434" s="33">
        <f t="shared" si="479"/>
        <v>0</v>
      </c>
      <c r="AI434" s="33"/>
      <c r="AJ434" s="33">
        <f t="shared" si="480"/>
        <v>0</v>
      </c>
      <c r="AK434" s="33">
        <f t="shared" si="481"/>
        <v>5013077.5644518193</v>
      </c>
      <c r="AL434" s="30" t="str">
        <f t="shared" si="482"/>
        <v>ok</v>
      </c>
    </row>
    <row r="435" spans="1:38" x14ac:dyDescent="0.25">
      <c r="A435" s="29">
        <v>586</v>
      </c>
      <c r="B435" s="29" t="s">
        <v>1272</v>
      </c>
      <c r="C435" s="29" t="s">
        <v>942</v>
      </c>
      <c r="D435" s="113" t="s">
        <v>924</v>
      </c>
      <c r="E435" s="13"/>
      <c r="F435" s="33">
        <v>0</v>
      </c>
      <c r="H435" s="33">
        <f t="shared" si="457"/>
        <v>0</v>
      </c>
      <c r="I435" s="33">
        <f t="shared" si="458"/>
        <v>0</v>
      </c>
      <c r="J435" s="33">
        <f t="shared" si="459"/>
        <v>0</v>
      </c>
      <c r="K435" s="33">
        <f t="shared" si="460"/>
        <v>0</v>
      </c>
      <c r="L435" s="33">
        <f t="shared" si="461"/>
        <v>0</v>
      </c>
      <c r="M435" s="33">
        <f t="shared" si="462"/>
        <v>0</v>
      </c>
      <c r="N435" s="33"/>
      <c r="O435" s="33">
        <f t="shared" si="463"/>
        <v>0</v>
      </c>
      <c r="P435" s="33">
        <f t="shared" si="464"/>
        <v>0</v>
      </c>
      <c r="Q435" s="33">
        <f t="shared" si="465"/>
        <v>0</v>
      </c>
      <c r="R435" s="33"/>
      <c r="S435" s="33">
        <f t="shared" si="466"/>
        <v>0</v>
      </c>
      <c r="T435" s="33">
        <f t="shared" si="467"/>
        <v>0</v>
      </c>
      <c r="U435" s="33">
        <f t="shared" si="468"/>
        <v>0</v>
      </c>
      <c r="V435" s="33">
        <f t="shared" si="469"/>
        <v>0</v>
      </c>
      <c r="W435" s="33">
        <f t="shared" si="470"/>
        <v>0</v>
      </c>
      <c r="X435" s="33">
        <f t="shared" si="471"/>
        <v>0</v>
      </c>
      <c r="Y435" s="33">
        <f t="shared" si="472"/>
        <v>0</v>
      </c>
      <c r="Z435" s="33">
        <f t="shared" si="473"/>
        <v>0</v>
      </c>
      <c r="AA435" s="33">
        <f t="shared" si="474"/>
        <v>0</v>
      </c>
      <c r="AB435" s="33">
        <f t="shared" si="475"/>
        <v>0</v>
      </c>
      <c r="AC435" s="33">
        <f t="shared" si="476"/>
        <v>0</v>
      </c>
      <c r="AD435" s="33">
        <f t="shared" si="477"/>
        <v>0</v>
      </c>
      <c r="AE435" s="33"/>
      <c r="AF435" s="33">
        <f t="shared" si="478"/>
        <v>0</v>
      </c>
      <c r="AG435" s="33"/>
      <c r="AH435" s="33">
        <f t="shared" si="479"/>
        <v>0</v>
      </c>
      <c r="AI435" s="33"/>
      <c r="AJ435" s="33">
        <f t="shared" si="480"/>
        <v>0</v>
      </c>
      <c r="AK435" s="33">
        <f t="shared" si="481"/>
        <v>0</v>
      </c>
      <c r="AL435" s="30" t="str">
        <f t="shared" si="482"/>
        <v>ok</v>
      </c>
    </row>
    <row r="436" spans="1:38" x14ac:dyDescent="0.25">
      <c r="A436" s="29">
        <v>587</v>
      </c>
      <c r="B436" s="29" t="s">
        <v>337</v>
      </c>
      <c r="C436" s="29" t="s">
        <v>943</v>
      </c>
      <c r="D436" s="113" t="s">
        <v>168</v>
      </c>
      <c r="E436" s="13"/>
      <c r="F436" s="33">
        <f>'Jurisdictional Study'!F1383</f>
        <v>0</v>
      </c>
      <c r="H436" s="33">
        <f t="shared" si="457"/>
        <v>0</v>
      </c>
      <c r="I436" s="33">
        <f t="shared" si="458"/>
        <v>0</v>
      </c>
      <c r="J436" s="33">
        <f t="shared" si="459"/>
        <v>0</v>
      </c>
      <c r="K436" s="33">
        <f t="shared" si="460"/>
        <v>0</v>
      </c>
      <c r="L436" s="33">
        <f t="shared" si="461"/>
        <v>0</v>
      </c>
      <c r="M436" s="33">
        <f t="shared" si="462"/>
        <v>0</v>
      </c>
      <c r="N436" s="33"/>
      <c r="O436" s="33">
        <f t="shared" si="463"/>
        <v>0</v>
      </c>
      <c r="P436" s="33">
        <f t="shared" si="464"/>
        <v>0</v>
      </c>
      <c r="Q436" s="33">
        <f t="shared" si="465"/>
        <v>0</v>
      </c>
      <c r="R436" s="33"/>
      <c r="S436" s="33">
        <f t="shared" si="466"/>
        <v>0</v>
      </c>
      <c r="T436" s="33">
        <f t="shared" si="467"/>
        <v>0</v>
      </c>
      <c r="U436" s="33">
        <f t="shared" si="468"/>
        <v>0</v>
      </c>
      <c r="V436" s="33">
        <f t="shared" si="469"/>
        <v>0</v>
      </c>
      <c r="W436" s="33">
        <f t="shared" si="470"/>
        <v>0</v>
      </c>
      <c r="X436" s="33">
        <f t="shared" si="471"/>
        <v>0</v>
      </c>
      <c r="Y436" s="33">
        <f t="shared" si="472"/>
        <v>0</v>
      </c>
      <c r="Z436" s="33">
        <f t="shared" si="473"/>
        <v>0</v>
      </c>
      <c r="AA436" s="33">
        <f t="shared" si="474"/>
        <v>0</v>
      </c>
      <c r="AB436" s="33">
        <f t="shared" si="475"/>
        <v>0</v>
      </c>
      <c r="AC436" s="33">
        <f t="shared" si="476"/>
        <v>0</v>
      </c>
      <c r="AD436" s="33">
        <f t="shared" si="477"/>
        <v>0</v>
      </c>
      <c r="AE436" s="33"/>
      <c r="AF436" s="33">
        <f t="shared" si="478"/>
        <v>0</v>
      </c>
      <c r="AG436" s="33"/>
      <c r="AH436" s="33">
        <f t="shared" si="479"/>
        <v>0</v>
      </c>
      <c r="AI436" s="33"/>
      <c r="AJ436" s="33">
        <f t="shared" si="480"/>
        <v>0</v>
      </c>
      <c r="AK436" s="33">
        <f t="shared" si="481"/>
        <v>0</v>
      </c>
      <c r="AL436" s="30" t="str">
        <f t="shared" si="482"/>
        <v>ok</v>
      </c>
    </row>
    <row r="437" spans="1:38" x14ac:dyDescent="0.25">
      <c r="A437" s="29">
        <v>588</v>
      </c>
      <c r="B437" s="29" t="s">
        <v>339</v>
      </c>
      <c r="C437" s="29" t="s">
        <v>944</v>
      </c>
      <c r="D437" s="113" t="s">
        <v>109</v>
      </c>
      <c r="E437" s="13"/>
      <c r="F437" s="33">
        <f>'Jurisdictional Study'!F1384</f>
        <v>3249154.7177440836</v>
      </c>
      <c r="H437" s="33">
        <f t="shared" si="457"/>
        <v>0</v>
      </c>
      <c r="I437" s="33">
        <f t="shared" si="458"/>
        <v>0</v>
      </c>
      <c r="J437" s="33">
        <f t="shared" si="459"/>
        <v>0</v>
      </c>
      <c r="K437" s="33">
        <f t="shared" si="460"/>
        <v>0</v>
      </c>
      <c r="L437" s="33">
        <f t="shared" si="461"/>
        <v>0</v>
      </c>
      <c r="M437" s="33">
        <f t="shared" si="462"/>
        <v>0</v>
      </c>
      <c r="N437" s="33"/>
      <c r="O437" s="33">
        <f t="shared" si="463"/>
        <v>0</v>
      </c>
      <c r="P437" s="33">
        <f t="shared" si="464"/>
        <v>0</v>
      </c>
      <c r="Q437" s="33">
        <f t="shared" si="465"/>
        <v>0</v>
      </c>
      <c r="R437" s="33"/>
      <c r="S437" s="33">
        <f t="shared" si="466"/>
        <v>0</v>
      </c>
      <c r="T437" s="33">
        <f t="shared" si="467"/>
        <v>472622.10123228614</v>
      </c>
      <c r="U437" s="33">
        <f t="shared" si="468"/>
        <v>0</v>
      </c>
      <c r="V437" s="33">
        <f t="shared" si="469"/>
        <v>386667.988634234</v>
      </c>
      <c r="W437" s="33">
        <f t="shared" si="470"/>
        <v>727616.7028443662</v>
      </c>
      <c r="X437" s="33">
        <f t="shared" si="471"/>
        <v>210624.34582365619</v>
      </c>
      <c r="Y437" s="33">
        <f t="shared" si="472"/>
        <v>390176.93331578415</v>
      </c>
      <c r="Z437" s="33">
        <f t="shared" si="473"/>
        <v>285315.71651379816</v>
      </c>
      <c r="AA437" s="33">
        <f t="shared" si="474"/>
        <v>247440.6090861196</v>
      </c>
      <c r="AB437" s="33">
        <f t="shared" si="475"/>
        <v>183229.26601768937</v>
      </c>
      <c r="AC437" s="33">
        <f t="shared" si="476"/>
        <v>130923.37741574898</v>
      </c>
      <c r="AD437" s="33">
        <f t="shared" si="477"/>
        <v>214537.6768604008</v>
      </c>
      <c r="AE437" s="33"/>
      <c r="AF437" s="33">
        <f t="shared" si="478"/>
        <v>0</v>
      </c>
      <c r="AG437" s="33"/>
      <c r="AH437" s="33">
        <f t="shared" si="479"/>
        <v>0</v>
      </c>
      <c r="AI437" s="33"/>
      <c r="AJ437" s="33">
        <f t="shared" si="480"/>
        <v>0</v>
      </c>
      <c r="AK437" s="33">
        <f t="shared" si="481"/>
        <v>3249154.7177440836</v>
      </c>
      <c r="AL437" s="30" t="str">
        <f t="shared" si="482"/>
        <v>ok</v>
      </c>
    </row>
    <row r="438" spans="1:38" x14ac:dyDescent="0.25">
      <c r="A438" s="29">
        <v>589</v>
      </c>
      <c r="B438" s="29" t="s">
        <v>341</v>
      </c>
      <c r="C438" s="29" t="s">
        <v>945</v>
      </c>
      <c r="D438" s="113" t="s">
        <v>109</v>
      </c>
      <c r="E438" s="13"/>
      <c r="F438" s="33">
        <f>'Jurisdictional Study'!F1385</f>
        <v>0</v>
      </c>
      <c r="H438" s="33">
        <f t="shared" si="457"/>
        <v>0</v>
      </c>
      <c r="I438" s="33">
        <f t="shared" si="458"/>
        <v>0</v>
      </c>
      <c r="J438" s="33">
        <f t="shared" si="459"/>
        <v>0</v>
      </c>
      <c r="K438" s="33">
        <f t="shared" si="460"/>
        <v>0</v>
      </c>
      <c r="L438" s="33">
        <f t="shared" si="461"/>
        <v>0</v>
      </c>
      <c r="M438" s="33">
        <f t="shared" si="462"/>
        <v>0</v>
      </c>
      <c r="N438" s="33"/>
      <c r="O438" s="33">
        <f t="shared" si="463"/>
        <v>0</v>
      </c>
      <c r="P438" s="33">
        <f t="shared" si="464"/>
        <v>0</v>
      </c>
      <c r="Q438" s="33">
        <f t="shared" si="465"/>
        <v>0</v>
      </c>
      <c r="R438" s="33"/>
      <c r="S438" s="33">
        <f t="shared" si="466"/>
        <v>0</v>
      </c>
      <c r="T438" s="33">
        <f t="shared" si="467"/>
        <v>0</v>
      </c>
      <c r="U438" s="33">
        <f t="shared" si="468"/>
        <v>0</v>
      </c>
      <c r="V438" s="33">
        <f t="shared" si="469"/>
        <v>0</v>
      </c>
      <c r="W438" s="33">
        <f t="shared" si="470"/>
        <v>0</v>
      </c>
      <c r="X438" s="33">
        <f t="shared" si="471"/>
        <v>0</v>
      </c>
      <c r="Y438" s="33">
        <f t="shared" si="472"/>
        <v>0</v>
      </c>
      <c r="Z438" s="33">
        <f t="shared" si="473"/>
        <v>0</v>
      </c>
      <c r="AA438" s="33">
        <f t="shared" si="474"/>
        <v>0</v>
      </c>
      <c r="AB438" s="33">
        <f t="shared" si="475"/>
        <v>0</v>
      </c>
      <c r="AC438" s="33">
        <f t="shared" si="476"/>
        <v>0</v>
      </c>
      <c r="AD438" s="33">
        <f t="shared" si="477"/>
        <v>0</v>
      </c>
      <c r="AE438" s="33"/>
      <c r="AF438" s="33">
        <f t="shared" si="478"/>
        <v>0</v>
      </c>
      <c r="AG438" s="33"/>
      <c r="AH438" s="33">
        <f t="shared" si="479"/>
        <v>0</v>
      </c>
      <c r="AI438" s="33"/>
      <c r="AJ438" s="33">
        <f t="shared" si="480"/>
        <v>0</v>
      </c>
      <c r="AK438" s="33">
        <f t="shared" si="481"/>
        <v>0</v>
      </c>
      <c r="AL438" s="30" t="str">
        <f t="shared" si="482"/>
        <v>ok</v>
      </c>
    </row>
    <row r="439" spans="1:38" x14ac:dyDescent="0.25">
      <c r="D439" s="113"/>
      <c r="E439" s="13"/>
      <c r="F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L439" s="30"/>
    </row>
    <row r="440" spans="1:38" x14ac:dyDescent="0.25">
      <c r="A440" s="29" t="s">
        <v>989</v>
      </c>
      <c r="C440" s="29" t="s">
        <v>946</v>
      </c>
      <c r="D440" s="113"/>
      <c r="E440" s="13"/>
      <c r="F440" s="32">
        <f>SUM(F428:F439)</f>
        <v>13579050.406481223</v>
      </c>
      <c r="G440" s="32">
        <f t="shared" ref="G440:M440" si="483">SUM(G428:G439)</f>
        <v>0</v>
      </c>
      <c r="H440" s="32">
        <f t="shared" si="483"/>
        <v>0</v>
      </c>
      <c r="I440" s="32">
        <f t="shared" si="483"/>
        <v>0</v>
      </c>
      <c r="J440" s="32">
        <f t="shared" si="483"/>
        <v>0</v>
      </c>
      <c r="K440" s="32">
        <f t="shared" si="483"/>
        <v>0</v>
      </c>
      <c r="L440" s="32">
        <f t="shared" si="483"/>
        <v>0</v>
      </c>
      <c r="M440" s="32">
        <f t="shared" si="483"/>
        <v>0</v>
      </c>
      <c r="N440" s="32"/>
      <c r="O440" s="32">
        <f>SUM(O428:O439)</f>
        <v>0</v>
      </c>
      <c r="P440" s="32">
        <f>SUM(P428:P439)</f>
        <v>0</v>
      </c>
      <c r="Q440" s="32">
        <f>SUM(Q428:Q439)</f>
        <v>0</v>
      </c>
      <c r="R440" s="32"/>
      <c r="S440" s="32">
        <f t="shared" ref="S440:AD440" si="484">SUM(S428:S439)</f>
        <v>0</v>
      </c>
      <c r="T440" s="32">
        <f t="shared" si="484"/>
        <v>2115747.4879412162</v>
      </c>
      <c r="U440" s="32">
        <f t="shared" si="484"/>
        <v>0</v>
      </c>
      <c r="V440" s="32">
        <f t="shared" si="484"/>
        <v>1121186.5341277285</v>
      </c>
      <c r="W440" s="32">
        <f t="shared" si="484"/>
        <v>1923017.4273865214</v>
      </c>
      <c r="X440" s="32">
        <f t="shared" si="484"/>
        <v>617483.57051140885</v>
      </c>
      <c r="Y440" s="32">
        <f t="shared" si="484"/>
        <v>1051531.9507698091</v>
      </c>
      <c r="Z440" s="32">
        <f t="shared" si="484"/>
        <v>317046.2122312967</v>
      </c>
      <c r="AA440" s="32">
        <f t="shared" si="484"/>
        <v>274958.94310177362</v>
      </c>
      <c r="AB440" s="32">
        <f t="shared" si="484"/>
        <v>203606.53619310757</v>
      </c>
      <c r="AC440" s="32">
        <f t="shared" si="484"/>
        <v>5716074.930118558</v>
      </c>
      <c r="AD440" s="32">
        <f t="shared" si="484"/>
        <v>238396.81409980281</v>
      </c>
      <c r="AE440" s="32"/>
      <c r="AF440" s="32">
        <f>SUM(AF428:AF439)</f>
        <v>0</v>
      </c>
      <c r="AG440" s="32"/>
      <c r="AH440" s="32">
        <f>SUM(AH428:AH439)</f>
        <v>0</v>
      </c>
      <c r="AI440" s="32"/>
      <c r="AJ440" s="32">
        <f>SUM(AJ428:AJ439)</f>
        <v>0</v>
      </c>
      <c r="AK440" s="33">
        <f>SUM(H440:AJ440)</f>
        <v>13579050.406481225</v>
      </c>
      <c r="AL440" s="30" t="str">
        <f>IF(ABS(AK440-F440)&lt;1,"ok","err")</f>
        <v>ok</v>
      </c>
    </row>
    <row r="441" spans="1:38" x14ac:dyDescent="0.25">
      <c r="D441" s="113"/>
      <c r="E441" s="13"/>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0"/>
    </row>
    <row r="442" spans="1:38" x14ac:dyDescent="0.25">
      <c r="A442" s="4"/>
      <c r="D442" s="113"/>
      <c r="E442" s="13"/>
      <c r="F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L442" s="30"/>
    </row>
    <row r="443" spans="1:38" x14ac:dyDescent="0.25">
      <c r="A443" s="3" t="s">
        <v>926</v>
      </c>
      <c r="D443" s="113"/>
      <c r="E443" s="13"/>
      <c r="F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L443" s="30"/>
    </row>
    <row r="444" spans="1:38" x14ac:dyDescent="0.25">
      <c r="D444" s="113"/>
      <c r="E444" s="13"/>
      <c r="F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L444" s="30"/>
    </row>
    <row r="445" spans="1:38" x14ac:dyDescent="0.25">
      <c r="A445" s="4" t="s">
        <v>990</v>
      </c>
      <c r="D445" s="113"/>
      <c r="E445" s="13"/>
      <c r="F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L445" s="30"/>
    </row>
    <row r="446" spans="1:38" x14ac:dyDescent="0.25">
      <c r="A446" s="29">
        <v>590</v>
      </c>
      <c r="B446" s="29" t="s">
        <v>346</v>
      </c>
      <c r="C446" s="29" t="s">
        <v>947</v>
      </c>
      <c r="D446" s="113" t="s">
        <v>698</v>
      </c>
      <c r="E446" s="13"/>
      <c r="F446" s="32">
        <f>'Jurisdictional Study'!F1386</f>
        <v>0</v>
      </c>
      <c r="H446" s="33">
        <f t="shared" ref="H446:H454" si="485">IF(VLOOKUP($D446,$C$5:$AJ$596,6,)=0,0,((VLOOKUP($D446,$C$5:$AJ$596,6,)/VLOOKUP($D446,$C$5:$AJ$596,4,))*$F446))</f>
        <v>0</v>
      </c>
      <c r="I446" s="33">
        <f t="shared" ref="I446:I454" si="486">IF(VLOOKUP($D446,$C$5:$AJ$596,7,)=0,0,((VLOOKUP($D446,$C$5:$AJ$596,7,)/VLOOKUP($D446,$C$5:$AJ$596,4,))*$F446))</f>
        <v>0</v>
      </c>
      <c r="J446" s="33">
        <f t="shared" ref="J446:J454" si="487">IF(VLOOKUP($D446,$C$5:$AJ$596,8,)=0,0,((VLOOKUP($D446,$C$5:$AJ$596,8,)/VLOOKUP($D446,$C$5:$AJ$596,4,))*$F446))</f>
        <v>0</v>
      </c>
      <c r="K446" s="33">
        <f t="shared" ref="K446:K454" si="488">IF(VLOOKUP($D446,$C$5:$AJ$596,9,)=0,0,((VLOOKUP($D446,$C$5:$AJ$596,9,)/VLOOKUP($D446,$C$5:$AJ$596,4,))*$F446))</f>
        <v>0</v>
      </c>
      <c r="L446" s="33">
        <f t="shared" ref="L446:L454" si="489">IF(VLOOKUP($D446,$C$5:$AJ$596,10,)=0,0,((VLOOKUP($D446,$C$5:$AJ$596,10,)/VLOOKUP($D446,$C$5:$AJ$596,4,))*$F446))</f>
        <v>0</v>
      </c>
      <c r="M446" s="33">
        <f t="shared" ref="M446:M454" si="490">IF(VLOOKUP($D446,$C$5:$AJ$596,11,)=0,0,((VLOOKUP($D446,$C$5:$AJ$596,11,)/VLOOKUP($D446,$C$5:$AJ$596,4,))*$F446))</f>
        <v>0</v>
      </c>
      <c r="N446" s="33"/>
      <c r="O446" s="33">
        <f t="shared" ref="O446:O454" si="491">IF(VLOOKUP($D446,$C$5:$AJ$596,13,)=0,0,((VLOOKUP($D446,$C$5:$AJ$596,13,)/VLOOKUP($D446,$C$5:$AJ$596,4,))*$F446))</f>
        <v>0</v>
      </c>
      <c r="P446" s="33">
        <f t="shared" ref="P446:P454" si="492">IF(VLOOKUP($D446,$C$5:$AJ$596,14,)=0,0,((VLOOKUP($D446,$C$5:$AJ$596,14,)/VLOOKUP($D446,$C$5:$AJ$596,4,))*$F446))</f>
        <v>0</v>
      </c>
      <c r="Q446" s="33">
        <f t="shared" ref="Q446:Q454" si="493">IF(VLOOKUP($D446,$C$5:$AJ$596,15,)=0,0,((VLOOKUP($D446,$C$5:$AJ$596,15,)/VLOOKUP($D446,$C$5:$AJ$596,4,))*$F446))</f>
        <v>0</v>
      </c>
      <c r="R446" s="33"/>
      <c r="S446" s="33">
        <f t="shared" ref="S446:S454" si="494">IF(VLOOKUP($D446,$C$5:$AJ$596,17,)=0,0,((VLOOKUP($D446,$C$5:$AJ$596,17,)/VLOOKUP($D446,$C$5:$AJ$596,4,))*$F446))</f>
        <v>0</v>
      </c>
      <c r="T446" s="33">
        <f t="shared" ref="T446:T454" si="495">IF(VLOOKUP($D446,$C$5:$AJ$596,18,)=0,0,((VLOOKUP($D446,$C$5:$AJ$596,18,)/VLOOKUP($D446,$C$5:$AJ$596,4,))*$F446))</f>
        <v>0</v>
      </c>
      <c r="U446" s="33">
        <f t="shared" ref="U446:U454" si="496">IF(VLOOKUP($D446,$C$5:$AJ$596,19,)=0,0,((VLOOKUP($D446,$C$5:$AJ$596,19,)/VLOOKUP($D446,$C$5:$AJ$596,4,))*$F446))</f>
        <v>0</v>
      </c>
      <c r="V446" s="33">
        <f t="shared" ref="V446:V454" si="497">IF(VLOOKUP($D446,$C$5:$AJ$596,20,)=0,0,((VLOOKUP($D446,$C$5:$AJ$596,20,)/VLOOKUP($D446,$C$5:$AJ$596,4,))*$F446))</f>
        <v>0</v>
      </c>
      <c r="W446" s="33">
        <f t="shared" ref="W446:W454" si="498">IF(VLOOKUP($D446,$C$5:$AJ$596,21,)=0,0,((VLOOKUP($D446,$C$5:$AJ$596,21,)/VLOOKUP($D446,$C$5:$AJ$596,4,))*$F446))</f>
        <v>0</v>
      </c>
      <c r="X446" s="33">
        <f t="shared" ref="X446:X454" si="499">IF(VLOOKUP($D446,$C$5:$AJ$596,22,)=0,0,((VLOOKUP($D446,$C$5:$AJ$596,22,)/VLOOKUP($D446,$C$5:$AJ$596,4,))*$F446))</f>
        <v>0</v>
      </c>
      <c r="Y446" s="33">
        <f t="shared" ref="Y446:Y454" si="500">IF(VLOOKUP($D446,$C$5:$AJ$596,23,)=0,0,((VLOOKUP($D446,$C$5:$AJ$596,23,)/VLOOKUP($D446,$C$5:$AJ$596,4,))*$F446))</f>
        <v>0</v>
      </c>
      <c r="Z446" s="33">
        <f t="shared" ref="Z446:Z454" si="501">IF(VLOOKUP($D446,$C$5:$AJ$596,24,)=0,0,((VLOOKUP($D446,$C$5:$AJ$596,24,)/VLOOKUP($D446,$C$5:$AJ$596,4,))*$F446))</f>
        <v>0</v>
      </c>
      <c r="AA446" s="33">
        <f t="shared" ref="AA446:AA454" si="502">IF(VLOOKUP($D446,$C$5:$AJ$596,25,)=0,0,((VLOOKUP($D446,$C$5:$AJ$596,25,)/VLOOKUP($D446,$C$5:$AJ$596,4,))*$F446))</f>
        <v>0</v>
      </c>
      <c r="AB446" s="33">
        <f t="shared" ref="AB446:AB454" si="503">IF(VLOOKUP($D446,$C$5:$AJ$596,26,)=0,0,((VLOOKUP($D446,$C$5:$AJ$596,26,)/VLOOKUP($D446,$C$5:$AJ$596,4,))*$F446))</f>
        <v>0</v>
      </c>
      <c r="AC446" s="33">
        <f t="shared" ref="AC446:AC454" si="504">IF(VLOOKUP($D446,$C$5:$AJ$596,27,)=0,0,((VLOOKUP($D446,$C$5:$AJ$596,27,)/VLOOKUP($D446,$C$5:$AJ$596,4,))*$F446))</f>
        <v>0</v>
      </c>
      <c r="AD446" s="33">
        <f t="shared" ref="AD446:AD454" si="505">IF(VLOOKUP($D446,$C$5:$AJ$596,28,)=0,0,((VLOOKUP($D446,$C$5:$AJ$596,28,)/VLOOKUP($D446,$C$5:$AJ$596,4,))*$F446))</f>
        <v>0</v>
      </c>
      <c r="AE446" s="33"/>
      <c r="AF446" s="33">
        <f t="shared" ref="AF446:AF454" si="506">IF(VLOOKUP($D446,$C$5:$AJ$596,30,)=0,0,((VLOOKUP($D446,$C$5:$AJ$596,30,)/VLOOKUP($D446,$C$5:$AJ$596,4,))*$F446))</f>
        <v>0</v>
      </c>
      <c r="AG446" s="33"/>
      <c r="AH446" s="33">
        <f t="shared" ref="AH446:AH454" si="507">IF(VLOOKUP($D446,$C$5:$AJ$596,32,)=0,0,((VLOOKUP($D446,$C$5:$AJ$596,32,)/VLOOKUP($D446,$C$5:$AJ$596,4,))*$F446))</f>
        <v>0</v>
      </c>
      <c r="AI446" s="33"/>
      <c r="AJ446" s="33">
        <f t="shared" ref="AJ446:AJ454" si="508">IF(VLOOKUP($D446,$C$5:$AJ$596,34,)=0,0,((VLOOKUP($D446,$C$5:$AJ$596,34,)/VLOOKUP($D446,$C$5:$AJ$596,4,))*$F446))</f>
        <v>0</v>
      </c>
      <c r="AK446" s="33">
        <f t="shared" ref="AK446:AK454" si="509">SUM(H446:AJ446)</f>
        <v>0</v>
      </c>
      <c r="AL446" s="30" t="str">
        <f t="shared" ref="AL446:AL454" si="510">IF(ABS(AK446-F446)&lt;1,"ok","err")</f>
        <v>ok</v>
      </c>
    </row>
    <row r="447" spans="1:38" x14ac:dyDescent="0.25">
      <c r="A447" s="29">
        <v>591</v>
      </c>
      <c r="B447" s="29" t="s">
        <v>540</v>
      </c>
      <c r="C447" s="29" t="s">
        <v>711</v>
      </c>
      <c r="D447" s="13" t="s">
        <v>113</v>
      </c>
      <c r="E447" s="13"/>
      <c r="F447" s="33">
        <f>'Jurisdictional Study'!F1387</f>
        <v>0</v>
      </c>
      <c r="H447" s="33">
        <f t="shared" si="485"/>
        <v>0</v>
      </c>
      <c r="I447" s="33">
        <f t="shared" si="486"/>
        <v>0</v>
      </c>
      <c r="J447" s="33">
        <f t="shared" si="487"/>
        <v>0</v>
      </c>
      <c r="K447" s="33">
        <f t="shared" si="488"/>
        <v>0</v>
      </c>
      <c r="L447" s="33">
        <f t="shared" si="489"/>
        <v>0</v>
      </c>
      <c r="M447" s="33">
        <f t="shared" si="490"/>
        <v>0</v>
      </c>
      <c r="N447" s="33"/>
      <c r="O447" s="33">
        <f t="shared" si="491"/>
        <v>0</v>
      </c>
      <c r="P447" s="33">
        <f t="shared" si="492"/>
        <v>0</v>
      </c>
      <c r="Q447" s="33">
        <f t="shared" si="493"/>
        <v>0</v>
      </c>
      <c r="R447" s="33"/>
      <c r="S447" s="33">
        <f t="shared" si="494"/>
        <v>0</v>
      </c>
      <c r="T447" s="33">
        <f t="shared" si="495"/>
        <v>0</v>
      </c>
      <c r="U447" s="33">
        <f t="shared" si="496"/>
        <v>0</v>
      </c>
      <c r="V447" s="33">
        <f t="shared" si="497"/>
        <v>0</v>
      </c>
      <c r="W447" s="33">
        <f t="shared" si="498"/>
        <v>0</v>
      </c>
      <c r="X447" s="33">
        <f t="shared" si="499"/>
        <v>0</v>
      </c>
      <c r="Y447" s="33">
        <f t="shared" si="500"/>
        <v>0</v>
      </c>
      <c r="Z447" s="33">
        <f t="shared" si="501"/>
        <v>0</v>
      </c>
      <c r="AA447" s="33">
        <f t="shared" si="502"/>
        <v>0</v>
      </c>
      <c r="AB447" s="33">
        <f t="shared" si="503"/>
        <v>0</v>
      </c>
      <c r="AC447" s="33">
        <f t="shared" si="504"/>
        <v>0</v>
      </c>
      <c r="AD447" s="33">
        <f t="shared" si="505"/>
        <v>0</v>
      </c>
      <c r="AE447" s="33"/>
      <c r="AF447" s="33">
        <f t="shared" si="506"/>
        <v>0</v>
      </c>
      <c r="AG447" s="33"/>
      <c r="AH447" s="33">
        <f t="shared" si="507"/>
        <v>0</v>
      </c>
      <c r="AI447" s="33"/>
      <c r="AJ447" s="33">
        <f t="shared" si="508"/>
        <v>0</v>
      </c>
      <c r="AK447" s="33">
        <f>SUM(H447:AJ447)</f>
        <v>0</v>
      </c>
      <c r="AL447" s="30" t="str">
        <f>IF(ABS(AK447-F447)&lt;1,"ok","err")</f>
        <v>ok</v>
      </c>
    </row>
    <row r="448" spans="1:38" x14ac:dyDescent="0.25">
      <c r="A448" s="29">
        <v>592</v>
      </c>
      <c r="B448" s="29" t="s">
        <v>348</v>
      </c>
      <c r="C448" s="29" t="s">
        <v>948</v>
      </c>
      <c r="D448" s="13" t="s">
        <v>113</v>
      </c>
      <c r="E448" s="13"/>
      <c r="F448" s="33">
        <f>'Jurisdictional Study'!F1388</f>
        <v>602120.87492546625</v>
      </c>
      <c r="H448" s="33">
        <f t="shared" si="485"/>
        <v>0</v>
      </c>
      <c r="I448" s="33">
        <f t="shared" si="486"/>
        <v>0</v>
      </c>
      <c r="J448" s="33">
        <f t="shared" si="487"/>
        <v>0</v>
      </c>
      <c r="K448" s="33">
        <f t="shared" si="488"/>
        <v>0</v>
      </c>
      <c r="L448" s="33">
        <f t="shared" si="489"/>
        <v>0</v>
      </c>
      <c r="M448" s="33">
        <f t="shared" si="490"/>
        <v>0</v>
      </c>
      <c r="N448" s="33"/>
      <c r="O448" s="33">
        <f t="shared" si="491"/>
        <v>0</v>
      </c>
      <c r="P448" s="33">
        <f t="shared" si="492"/>
        <v>0</v>
      </c>
      <c r="Q448" s="33">
        <f t="shared" si="493"/>
        <v>0</v>
      </c>
      <c r="R448" s="33"/>
      <c r="S448" s="33">
        <f t="shared" si="494"/>
        <v>0</v>
      </c>
      <c r="T448" s="33">
        <f t="shared" si="495"/>
        <v>602120.87492546625</v>
      </c>
      <c r="U448" s="33">
        <f t="shared" si="496"/>
        <v>0</v>
      </c>
      <c r="V448" s="33">
        <f t="shared" si="497"/>
        <v>0</v>
      </c>
      <c r="W448" s="33">
        <f t="shared" si="498"/>
        <v>0</v>
      </c>
      <c r="X448" s="33">
        <f t="shared" si="499"/>
        <v>0</v>
      </c>
      <c r="Y448" s="33">
        <f t="shared" si="500"/>
        <v>0</v>
      </c>
      <c r="Z448" s="33">
        <f t="shared" si="501"/>
        <v>0</v>
      </c>
      <c r="AA448" s="33">
        <f t="shared" si="502"/>
        <v>0</v>
      </c>
      <c r="AB448" s="33">
        <f t="shared" si="503"/>
        <v>0</v>
      </c>
      <c r="AC448" s="33">
        <f t="shared" si="504"/>
        <v>0</v>
      </c>
      <c r="AD448" s="33">
        <f t="shared" si="505"/>
        <v>0</v>
      </c>
      <c r="AE448" s="33"/>
      <c r="AF448" s="33">
        <f t="shared" si="506"/>
        <v>0</v>
      </c>
      <c r="AG448" s="33"/>
      <c r="AH448" s="33">
        <f t="shared" si="507"/>
        <v>0</v>
      </c>
      <c r="AI448" s="33"/>
      <c r="AJ448" s="33">
        <f t="shared" si="508"/>
        <v>0</v>
      </c>
      <c r="AK448" s="33">
        <f t="shared" si="509"/>
        <v>602120.87492546625</v>
      </c>
      <c r="AL448" s="30" t="str">
        <f t="shared" si="510"/>
        <v>ok</v>
      </c>
    </row>
    <row r="449" spans="1:38" x14ac:dyDescent="0.25">
      <c r="A449" s="29">
        <v>593</v>
      </c>
      <c r="B449" s="29" t="s">
        <v>350</v>
      </c>
      <c r="C449" s="29" t="s">
        <v>949</v>
      </c>
      <c r="D449" s="13" t="s">
        <v>116</v>
      </c>
      <c r="E449" s="13"/>
      <c r="F449" s="33">
        <f>'Jurisdictional Study'!F1389</f>
        <v>7059805.747106974</v>
      </c>
      <c r="H449" s="33">
        <f t="shared" si="485"/>
        <v>0</v>
      </c>
      <c r="I449" s="33">
        <f t="shared" si="486"/>
        <v>0</v>
      </c>
      <c r="J449" s="33">
        <f t="shared" si="487"/>
        <v>0</v>
      </c>
      <c r="K449" s="33">
        <f t="shared" si="488"/>
        <v>0</v>
      </c>
      <c r="L449" s="33">
        <f t="shared" si="489"/>
        <v>0</v>
      </c>
      <c r="M449" s="33">
        <f t="shared" si="490"/>
        <v>0</v>
      </c>
      <c r="N449" s="33"/>
      <c r="O449" s="33">
        <f t="shared" si="491"/>
        <v>0</v>
      </c>
      <c r="P449" s="33">
        <f t="shared" si="492"/>
        <v>0</v>
      </c>
      <c r="Q449" s="33">
        <f t="shared" si="493"/>
        <v>0</v>
      </c>
      <c r="R449" s="33"/>
      <c r="S449" s="33">
        <f t="shared" si="494"/>
        <v>0</v>
      </c>
      <c r="T449" s="33">
        <f t="shared" si="495"/>
        <v>0</v>
      </c>
      <c r="U449" s="33">
        <f t="shared" si="496"/>
        <v>0</v>
      </c>
      <c r="V449" s="33">
        <f t="shared" si="497"/>
        <v>1738968.3159109186</v>
      </c>
      <c r="W449" s="33">
        <f t="shared" si="498"/>
        <v>2802604.721202998</v>
      </c>
      <c r="X449" s="33">
        <f t="shared" si="499"/>
        <v>964231.30465634179</v>
      </c>
      <c r="Y449" s="33">
        <f t="shared" si="500"/>
        <v>1554001.4053367157</v>
      </c>
      <c r="Z449" s="33">
        <f t="shared" si="501"/>
        <v>0</v>
      </c>
      <c r="AA449" s="33">
        <f t="shared" si="502"/>
        <v>0</v>
      </c>
      <c r="AB449" s="33">
        <f t="shared" si="503"/>
        <v>0</v>
      </c>
      <c r="AC449" s="33">
        <f t="shared" si="504"/>
        <v>0</v>
      </c>
      <c r="AD449" s="33">
        <f t="shared" si="505"/>
        <v>0</v>
      </c>
      <c r="AE449" s="33"/>
      <c r="AF449" s="33">
        <f t="shared" si="506"/>
        <v>0</v>
      </c>
      <c r="AG449" s="33"/>
      <c r="AH449" s="33">
        <f t="shared" si="507"/>
        <v>0</v>
      </c>
      <c r="AI449" s="33"/>
      <c r="AJ449" s="33">
        <f t="shared" si="508"/>
        <v>0</v>
      </c>
      <c r="AK449" s="33">
        <f t="shared" si="509"/>
        <v>7059805.7471069731</v>
      </c>
      <c r="AL449" s="30" t="str">
        <f t="shared" si="510"/>
        <v>ok</v>
      </c>
    </row>
    <row r="450" spans="1:38" x14ac:dyDescent="0.25">
      <c r="A450" s="29">
        <v>594</v>
      </c>
      <c r="B450" s="29" t="s">
        <v>352</v>
      </c>
      <c r="C450" s="29" t="s">
        <v>950</v>
      </c>
      <c r="D450" s="13" t="s">
        <v>119</v>
      </c>
      <c r="E450" s="13"/>
      <c r="F450" s="33">
        <f>'Jurisdictional Study'!F1390</f>
        <v>324285.79246648087</v>
      </c>
      <c r="H450" s="33">
        <f t="shared" si="485"/>
        <v>0</v>
      </c>
      <c r="I450" s="33">
        <f t="shared" si="486"/>
        <v>0</v>
      </c>
      <c r="J450" s="33">
        <f t="shared" si="487"/>
        <v>0</v>
      </c>
      <c r="K450" s="33">
        <f t="shared" si="488"/>
        <v>0</v>
      </c>
      <c r="L450" s="33">
        <f t="shared" si="489"/>
        <v>0</v>
      </c>
      <c r="M450" s="33">
        <f t="shared" si="490"/>
        <v>0</v>
      </c>
      <c r="N450" s="33"/>
      <c r="O450" s="33">
        <f t="shared" si="491"/>
        <v>0</v>
      </c>
      <c r="P450" s="33">
        <f t="shared" si="492"/>
        <v>0</v>
      </c>
      <c r="Q450" s="33">
        <f t="shared" si="493"/>
        <v>0</v>
      </c>
      <c r="R450" s="33"/>
      <c r="S450" s="33">
        <f t="shared" si="494"/>
        <v>0</v>
      </c>
      <c r="T450" s="33">
        <f t="shared" si="495"/>
        <v>0</v>
      </c>
      <c r="U450" s="33">
        <f t="shared" si="496"/>
        <v>0</v>
      </c>
      <c r="V450" s="33">
        <f t="shared" si="497"/>
        <v>48348.303870385207</v>
      </c>
      <c r="W450" s="33">
        <f t="shared" si="498"/>
        <v>169928.46303880308</v>
      </c>
      <c r="X450" s="33">
        <f t="shared" si="499"/>
        <v>23480.999160940311</v>
      </c>
      <c r="Y450" s="33">
        <f t="shared" si="500"/>
        <v>82528.026396352288</v>
      </c>
      <c r="Z450" s="33">
        <f t="shared" si="501"/>
        <v>0</v>
      </c>
      <c r="AA450" s="33">
        <f t="shared" si="502"/>
        <v>0</v>
      </c>
      <c r="AB450" s="33">
        <f t="shared" si="503"/>
        <v>0</v>
      </c>
      <c r="AC450" s="33">
        <f t="shared" si="504"/>
        <v>0</v>
      </c>
      <c r="AD450" s="33">
        <f t="shared" si="505"/>
        <v>0</v>
      </c>
      <c r="AE450" s="33"/>
      <c r="AF450" s="33">
        <f t="shared" si="506"/>
        <v>0</v>
      </c>
      <c r="AG450" s="33"/>
      <c r="AH450" s="33">
        <f t="shared" si="507"/>
        <v>0</v>
      </c>
      <c r="AI450" s="33"/>
      <c r="AJ450" s="33">
        <f t="shared" si="508"/>
        <v>0</v>
      </c>
      <c r="AK450" s="33">
        <f t="shared" si="509"/>
        <v>324285.79246648093</v>
      </c>
      <c r="AL450" s="30" t="str">
        <f t="shared" si="510"/>
        <v>ok</v>
      </c>
    </row>
    <row r="451" spans="1:38" x14ac:dyDescent="0.25">
      <c r="A451" s="29">
        <v>595</v>
      </c>
      <c r="B451" s="29" t="s">
        <v>354</v>
      </c>
      <c r="C451" s="29" t="s">
        <v>951</v>
      </c>
      <c r="D451" s="13" t="s">
        <v>120</v>
      </c>
      <c r="E451" s="13"/>
      <c r="F451" s="33">
        <f>'Jurisdictional Study'!F1391</f>
        <v>55008.693247697418</v>
      </c>
      <c r="H451" s="33">
        <f t="shared" si="485"/>
        <v>0</v>
      </c>
      <c r="I451" s="33">
        <f t="shared" si="486"/>
        <v>0</v>
      </c>
      <c r="J451" s="33">
        <f t="shared" si="487"/>
        <v>0</v>
      </c>
      <c r="K451" s="33">
        <f t="shared" si="488"/>
        <v>0</v>
      </c>
      <c r="L451" s="33">
        <f t="shared" si="489"/>
        <v>0</v>
      </c>
      <c r="M451" s="33">
        <f t="shared" si="490"/>
        <v>0</v>
      </c>
      <c r="N451" s="33"/>
      <c r="O451" s="33">
        <f t="shared" si="491"/>
        <v>0</v>
      </c>
      <c r="P451" s="33">
        <f t="shared" si="492"/>
        <v>0</v>
      </c>
      <c r="Q451" s="33">
        <f t="shared" si="493"/>
        <v>0</v>
      </c>
      <c r="R451" s="33"/>
      <c r="S451" s="33">
        <f t="shared" si="494"/>
        <v>0</v>
      </c>
      <c r="T451" s="33">
        <f t="shared" si="495"/>
        <v>0</v>
      </c>
      <c r="U451" s="33">
        <f t="shared" si="496"/>
        <v>0</v>
      </c>
      <c r="V451" s="33">
        <f t="shared" si="497"/>
        <v>0</v>
      </c>
      <c r="W451" s="33">
        <f t="shared" si="498"/>
        <v>0</v>
      </c>
      <c r="X451" s="33">
        <f t="shared" si="499"/>
        <v>0</v>
      </c>
      <c r="Y451" s="33">
        <f t="shared" si="500"/>
        <v>0</v>
      </c>
      <c r="Z451" s="33">
        <f t="shared" si="501"/>
        <v>29459.706012464743</v>
      </c>
      <c r="AA451" s="33">
        <f t="shared" si="502"/>
        <v>25548.987235232678</v>
      </c>
      <c r="AB451" s="33">
        <f t="shared" si="503"/>
        <v>0</v>
      </c>
      <c r="AC451" s="33">
        <f t="shared" si="504"/>
        <v>0</v>
      </c>
      <c r="AD451" s="33">
        <f t="shared" si="505"/>
        <v>0</v>
      </c>
      <c r="AE451" s="33"/>
      <c r="AF451" s="33">
        <f t="shared" si="506"/>
        <v>0</v>
      </c>
      <c r="AG451" s="33"/>
      <c r="AH451" s="33">
        <f t="shared" si="507"/>
        <v>0</v>
      </c>
      <c r="AI451" s="33"/>
      <c r="AJ451" s="33">
        <f t="shared" si="508"/>
        <v>0</v>
      </c>
      <c r="AK451" s="33">
        <f t="shared" si="509"/>
        <v>55008.693247697418</v>
      </c>
      <c r="AL451" s="30" t="str">
        <f t="shared" si="510"/>
        <v>ok</v>
      </c>
    </row>
    <row r="452" spans="1:38" x14ac:dyDescent="0.25">
      <c r="A452" s="29">
        <v>596</v>
      </c>
      <c r="B452" s="29" t="s">
        <v>445</v>
      </c>
      <c r="C452" s="29" t="s">
        <v>952</v>
      </c>
      <c r="D452" s="13" t="s">
        <v>169</v>
      </c>
      <c r="E452" s="13"/>
      <c r="F452" s="33">
        <f>'Jurisdictional Study'!F1392</f>
        <v>0</v>
      </c>
      <c r="H452" s="33">
        <f t="shared" si="485"/>
        <v>0</v>
      </c>
      <c r="I452" s="33">
        <f t="shared" si="486"/>
        <v>0</v>
      </c>
      <c r="J452" s="33">
        <f t="shared" si="487"/>
        <v>0</v>
      </c>
      <c r="K452" s="33">
        <f t="shared" si="488"/>
        <v>0</v>
      </c>
      <c r="L452" s="33">
        <f t="shared" si="489"/>
        <v>0</v>
      </c>
      <c r="M452" s="33">
        <f t="shared" si="490"/>
        <v>0</v>
      </c>
      <c r="N452" s="33"/>
      <c r="O452" s="33">
        <f t="shared" si="491"/>
        <v>0</v>
      </c>
      <c r="P452" s="33">
        <f t="shared" si="492"/>
        <v>0</v>
      </c>
      <c r="Q452" s="33">
        <f t="shared" si="493"/>
        <v>0</v>
      </c>
      <c r="R452" s="33"/>
      <c r="S452" s="33">
        <f t="shared" si="494"/>
        <v>0</v>
      </c>
      <c r="T452" s="33">
        <f t="shared" si="495"/>
        <v>0</v>
      </c>
      <c r="U452" s="33">
        <f t="shared" si="496"/>
        <v>0</v>
      </c>
      <c r="V452" s="33">
        <f t="shared" si="497"/>
        <v>0</v>
      </c>
      <c r="W452" s="33">
        <f t="shared" si="498"/>
        <v>0</v>
      </c>
      <c r="X452" s="33">
        <f t="shared" si="499"/>
        <v>0</v>
      </c>
      <c r="Y452" s="33">
        <f t="shared" si="500"/>
        <v>0</v>
      </c>
      <c r="Z452" s="33">
        <f t="shared" si="501"/>
        <v>0</v>
      </c>
      <c r="AA452" s="33">
        <f t="shared" si="502"/>
        <v>0</v>
      </c>
      <c r="AB452" s="33">
        <f t="shared" si="503"/>
        <v>0</v>
      </c>
      <c r="AC452" s="33">
        <f t="shared" si="504"/>
        <v>0</v>
      </c>
      <c r="AD452" s="33">
        <f t="shared" si="505"/>
        <v>0</v>
      </c>
      <c r="AE452" s="33"/>
      <c r="AF452" s="33">
        <f t="shared" si="506"/>
        <v>0</v>
      </c>
      <c r="AG452" s="33"/>
      <c r="AH452" s="33">
        <f t="shared" si="507"/>
        <v>0</v>
      </c>
      <c r="AI452" s="33"/>
      <c r="AJ452" s="33">
        <f t="shared" si="508"/>
        <v>0</v>
      </c>
      <c r="AK452" s="33">
        <f t="shared" si="509"/>
        <v>0</v>
      </c>
      <c r="AL452" s="30" t="str">
        <f t="shared" si="510"/>
        <v>ok</v>
      </c>
    </row>
    <row r="453" spans="1:38" x14ac:dyDescent="0.25">
      <c r="A453" s="29">
        <v>597</v>
      </c>
      <c r="B453" s="29" t="s">
        <v>356</v>
      </c>
      <c r="C453" s="29" t="s">
        <v>953</v>
      </c>
      <c r="D453" s="13" t="s">
        <v>166</v>
      </c>
      <c r="E453" s="13"/>
      <c r="F453" s="33">
        <f>'Jurisdictional Study'!F1393</f>
        <v>0</v>
      </c>
      <c r="H453" s="33">
        <f t="shared" si="485"/>
        <v>0</v>
      </c>
      <c r="I453" s="33">
        <f t="shared" si="486"/>
        <v>0</v>
      </c>
      <c r="J453" s="33">
        <f t="shared" si="487"/>
        <v>0</v>
      </c>
      <c r="K453" s="33">
        <f t="shared" si="488"/>
        <v>0</v>
      </c>
      <c r="L453" s="33">
        <f t="shared" si="489"/>
        <v>0</v>
      </c>
      <c r="M453" s="33">
        <f t="shared" si="490"/>
        <v>0</v>
      </c>
      <c r="N453" s="33"/>
      <c r="O453" s="33">
        <f t="shared" si="491"/>
        <v>0</v>
      </c>
      <c r="P453" s="33">
        <f t="shared" si="492"/>
        <v>0</v>
      </c>
      <c r="Q453" s="33">
        <f t="shared" si="493"/>
        <v>0</v>
      </c>
      <c r="R453" s="33"/>
      <c r="S453" s="33">
        <f t="shared" si="494"/>
        <v>0</v>
      </c>
      <c r="T453" s="33">
        <f t="shared" si="495"/>
        <v>0</v>
      </c>
      <c r="U453" s="33">
        <f t="shared" si="496"/>
        <v>0</v>
      </c>
      <c r="V453" s="33">
        <f t="shared" si="497"/>
        <v>0</v>
      </c>
      <c r="W453" s="33">
        <f t="shared" si="498"/>
        <v>0</v>
      </c>
      <c r="X453" s="33">
        <f t="shared" si="499"/>
        <v>0</v>
      </c>
      <c r="Y453" s="33">
        <f t="shared" si="500"/>
        <v>0</v>
      </c>
      <c r="Z453" s="33">
        <f t="shared" si="501"/>
        <v>0</v>
      </c>
      <c r="AA453" s="33">
        <f t="shared" si="502"/>
        <v>0</v>
      </c>
      <c r="AB453" s="33">
        <f t="shared" si="503"/>
        <v>0</v>
      </c>
      <c r="AC453" s="33">
        <f t="shared" si="504"/>
        <v>0</v>
      </c>
      <c r="AD453" s="33">
        <f t="shared" si="505"/>
        <v>0</v>
      </c>
      <c r="AE453" s="33"/>
      <c r="AF453" s="33">
        <f t="shared" si="506"/>
        <v>0</v>
      </c>
      <c r="AG453" s="33"/>
      <c r="AH453" s="33">
        <f t="shared" si="507"/>
        <v>0</v>
      </c>
      <c r="AI453" s="33"/>
      <c r="AJ453" s="33">
        <f t="shared" si="508"/>
        <v>0</v>
      </c>
      <c r="AK453" s="33">
        <f t="shared" si="509"/>
        <v>0</v>
      </c>
      <c r="AL453" s="30" t="str">
        <f t="shared" si="510"/>
        <v>ok</v>
      </c>
    </row>
    <row r="454" spans="1:38" x14ac:dyDescent="0.25">
      <c r="A454" s="29">
        <v>598</v>
      </c>
      <c r="B454" s="29" t="s">
        <v>449</v>
      </c>
      <c r="C454" s="29" t="s">
        <v>954</v>
      </c>
      <c r="D454" s="13" t="s">
        <v>109</v>
      </c>
      <c r="E454" s="13"/>
      <c r="F454" s="33">
        <f>'Jurisdictional Study'!F1394</f>
        <v>8738.2711674264392</v>
      </c>
      <c r="H454" s="33">
        <f t="shared" si="485"/>
        <v>0</v>
      </c>
      <c r="I454" s="33">
        <f t="shared" si="486"/>
        <v>0</v>
      </c>
      <c r="J454" s="33">
        <f t="shared" si="487"/>
        <v>0</v>
      </c>
      <c r="K454" s="33">
        <f t="shared" si="488"/>
        <v>0</v>
      </c>
      <c r="L454" s="33">
        <f t="shared" si="489"/>
        <v>0</v>
      </c>
      <c r="M454" s="33">
        <f t="shared" si="490"/>
        <v>0</v>
      </c>
      <c r="N454" s="33"/>
      <c r="O454" s="33">
        <f t="shared" si="491"/>
        <v>0</v>
      </c>
      <c r="P454" s="33">
        <f t="shared" si="492"/>
        <v>0</v>
      </c>
      <c r="Q454" s="33">
        <f t="shared" si="493"/>
        <v>0</v>
      </c>
      <c r="R454" s="33"/>
      <c r="S454" s="33">
        <f t="shared" si="494"/>
        <v>0</v>
      </c>
      <c r="T454" s="33">
        <f t="shared" si="495"/>
        <v>1271.0690745911943</v>
      </c>
      <c r="U454" s="33">
        <f t="shared" si="496"/>
        <v>0</v>
      </c>
      <c r="V454" s="33">
        <f t="shared" si="497"/>
        <v>1039.9042304748227</v>
      </c>
      <c r="W454" s="33">
        <f t="shared" si="498"/>
        <v>1956.851122133485</v>
      </c>
      <c r="X454" s="33">
        <f t="shared" si="499"/>
        <v>566.45275714872093</v>
      </c>
      <c r="Y454" s="33">
        <f t="shared" si="500"/>
        <v>1049.3411803287138</v>
      </c>
      <c r="Z454" s="33">
        <f t="shared" si="501"/>
        <v>767.3276023485779</v>
      </c>
      <c r="AA454" s="33">
        <f t="shared" si="502"/>
        <v>665.46635290082827</v>
      </c>
      <c r="AB454" s="33">
        <f t="shared" si="503"/>
        <v>492.77647614846319</v>
      </c>
      <c r="AC454" s="33">
        <f t="shared" si="504"/>
        <v>352.10510837367843</v>
      </c>
      <c r="AD454" s="33">
        <f t="shared" si="505"/>
        <v>576.97726297795487</v>
      </c>
      <c r="AE454" s="33"/>
      <c r="AF454" s="33">
        <f t="shared" si="506"/>
        <v>0</v>
      </c>
      <c r="AG454" s="33"/>
      <c r="AH454" s="33">
        <f t="shared" si="507"/>
        <v>0</v>
      </c>
      <c r="AI454" s="33"/>
      <c r="AJ454" s="33">
        <f t="shared" si="508"/>
        <v>0</v>
      </c>
      <c r="AK454" s="33">
        <f t="shared" si="509"/>
        <v>8738.2711674264392</v>
      </c>
      <c r="AL454" s="30" t="str">
        <f t="shared" si="510"/>
        <v>ok</v>
      </c>
    </row>
    <row r="455" spans="1:38" x14ac:dyDescent="0.25">
      <c r="D455" s="13"/>
      <c r="E455" s="13"/>
      <c r="F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0"/>
    </row>
    <row r="456" spans="1:38" x14ac:dyDescent="0.25">
      <c r="A456" s="29" t="s">
        <v>991</v>
      </c>
      <c r="C456" s="29" t="s">
        <v>955</v>
      </c>
      <c r="D456" s="13"/>
      <c r="E456" s="13"/>
      <c r="F456" s="32">
        <f t="shared" ref="F456:M456" si="511">SUM(F446:F455)</f>
        <v>8049959.3789140452</v>
      </c>
      <c r="G456" s="32">
        <f t="shared" si="511"/>
        <v>0</v>
      </c>
      <c r="H456" s="32">
        <f t="shared" si="511"/>
        <v>0</v>
      </c>
      <c r="I456" s="32">
        <f t="shared" si="511"/>
        <v>0</v>
      </c>
      <c r="J456" s="32">
        <f t="shared" si="511"/>
        <v>0</v>
      </c>
      <c r="K456" s="32">
        <f t="shared" si="511"/>
        <v>0</v>
      </c>
      <c r="L456" s="32">
        <f t="shared" si="511"/>
        <v>0</v>
      </c>
      <c r="M456" s="32">
        <f t="shared" si="511"/>
        <v>0</v>
      </c>
      <c r="N456" s="32"/>
      <c r="O456" s="32">
        <f>SUM(O446:O455)</f>
        <v>0</v>
      </c>
      <c r="P456" s="32">
        <f>SUM(P446:P455)</f>
        <v>0</v>
      </c>
      <c r="Q456" s="32">
        <f>SUM(Q446:Q455)</f>
        <v>0</v>
      </c>
      <c r="R456" s="32"/>
      <c r="S456" s="32">
        <f t="shared" ref="S456:AD456" si="512">SUM(S446:S455)</f>
        <v>0</v>
      </c>
      <c r="T456" s="32">
        <f t="shared" si="512"/>
        <v>603391.94400005741</v>
      </c>
      <c r="U456" s="32">
        <f t="shared" si="512"/>
        <v>0</v>
      </c>
      <c r="V456" s="32">
        <f t="shared" si="512"/>
        <v>1788356.5240117786</v>
      </c>
      <c r="W456" s="32">
        <f t="shared" si="512"/>
        <v>2974490.0353639345</v>
      </c>
      <c r="X456" s="32">
        <f t="shared" si="512"/>
        <v>988278.75657443085</v>
      </c>
      <c r="Y456" s="32">
        <f t="shared" si="512"/>
        <v>1637578.7729133968</v>
      </c>
      <c r="Z456" s="32">
        <f t="shared" si="512"/>
        <v>30227.033614813321</v>
      </c>
      <c r="AA456" s="32">
        <f t="shared" si="512"/>
        <v>26214.453588133507</v>
      </c>
      <c r="AB456" s="32">
        <f t="shared" si="512"/>
        <v>492.77647614846319</v>
      </c>
      <c r="AC456" s="32">
        <f t="shared" si="512"/>
        <v>352.10510837367843</v>
      </c>
      <c r="AD456" s="32">
        <f t="shared" si="512"/>
        <v>576.97726297795487</v>
      </c>
      <c r="AE456" s="32"/>
      <c r="AF456" s="32">
        <f>SUM(AF446:AF455)</f>
        <v>0</v>
      </c>
      <c r="AG456" s="32"/>
      <c r="AH456" s="32">
        <f>SUM(AH446:AH455)</f>
        <v>0</v>
      </c>
      <c r="AI456" s="32"/>
      <c r="AJ456" s="32">
        <f>SUM(AJ446:AJ455)</f>
        <v>0</v>
      </c>
      <c r="AK456" s="33">
        <f>SUM(H456:AJ456)</f>
        <v>8049959.3789140452</v>
      </c>
      <c r="AL456" s="30" t="str">
        <f>IF(ABS(AK456-F456)&lt;1,"ok","err")</f>
        <v>ok</v>
      </c>
    </row>
    <row r="457" spans="1:38" x14ac:dyDescent="0.25">
      <c r="D457" s="13"/>
      <c r="E457" s="13"/>
      <c r="F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L457" s="30"/>
    </row>
    <row r="458" spans="1:38" x14ac:dyDescent="0.25">
      <c r="A458" s="29" t="s">
        <v>992</v>
      </c>
      <c r="D458" s="13" t="s">
        <v>109</v>
      </c>
      <c r="E458" s="13"/>
      <c r="F458" s="33">
        <f>F440+F456</f>
        <v>21629009.785395268</v>
      </c>
      <c r="G458" s="33">
        <f>G440+G456</f>
        <v>0</v>
      </c>
      <c r="H458" s="33">
        <f>IF(VLOOKUP($D458,$C$5:$AJ$596,6,)=0,0,((VLOOKUP($D458,$C$5:$AJ$596,6,)/VLOOKUP($D458,$C$5:$AJ$596,4,))*$F458))</f>
        <v>0</v>
      </c>
      <c r="I458" s="33">
        <f>IF(VLOOKUP($D458,$C$5:$AJ$596,7,)=0,0,((VLOOKUP($D458,$C$5:$AJ$596,7,)/VLOOKUP($D458,$C$5:$AJ$596,4,))*$F458))</f>
        <v>0</v>
      </c>
      <c r="J458" s="33">
        <f>IF(VLOOKUP($D458,$C$5:$AJ$596,8,)=0,0,((VLOOKUP($D458,$C$5:$AJ$596,8,)/VLOOKUP($D458,$C$5:$AJ$596,4,))*$F458))</f>
        <v>0</v>
      </c>
      <c r="K458" s="33">
        <f>IF(VLOOKUP($D458,$C$5:$AJ$596,9,)=0,0,((VLOOKUP($D458,$C$5:$AJ$596,9,)/VLOOKUP($D458,$C$5:$AJ$596,4,))*$F458))</f>
        <v>0</v>
      </c>
      <c r="L458" s="33">
        <f>IF(VLOOKUP($D458,$C$5:$AJ$596,10,)=0,0,((VLOOKUP($D458,$C$5:$AJ$596,10,)/VLOOKUP($D458,$C$5:$AJ$596,4,))*$F458))</f>
        <v>0</v>
      </c>
      <c r="M458" s="33">
        <f>IF(VLOOKUP($D458,$C$5:$AJ$596,11,)=0,0,((VLOOKUP($D458,$C$5:$AJ$596,11,)/VLOOKUP($D458,$C$5:$AJ$596,4,))*$F458))</f>
        <v>0</v>
      </c>
      <c r="N458" s="33"/>
      <c r="O458" s="33">
        <f>IF(VLOOKUP($D458,$C$5:$AJ$596,13,)=0,0,((VLOOKUP($D458,$C$5:$AJ$596,13,)/VLOOKUP($D458,$C$5:$AJ$596,4,))*$F458))</f>
        <v>0</v>
      </c>
      <c r="P458" s="33">
        <f>IF(VLOOKUP($D458,$C$5:$AJ$596,14,)=0,0,((VLOOKUP($D458,$C$5:$AJ$596,14,)/VLOOKUP($D458,$C$5:$AJ$596,4,))*$F458))</f>
        <v>0</v>
      </c>
      <c r="Q458" s="33">
        <f>IF(VLOOKUP($D458,$C$5:$AJ$596,15,)=0,0,((VLOOKUP($D458,$C$5:$AJ$596,15,)/VLOOKUP($D458,$C$5:$AJ$596,4,))*$F458))</f>
        <v>0</v>
      </c>
      <c r="R458" s="33"/>
      <c r="S458" s="33">
        <f>IF(VLOOKUP($D458,$C$5:$AJ$596,17,)=0,0,((VLOOKUP($D458,$C$5:$AJ$596,17,)/VLOOKUP($D458,$C$5:$AJ$596,4,))*$F458))</f>
        <v>0</v>
      </c>
      <c r="T458" s="33">
        <f>IF(VLOOKUP($D458,$C$5:$AJ$596,18,)=0,0,((VLOOKUP($D458,$C$5:$AJ$596,18,)/VLOOKUP($D458,$C$5:$AJ$596,4,))*$F458))</f>
        <v>3146156.136093345</v>
      </c>
      <c r="U458" s="33">
        <f>IF(VLOOKUP($D458,$C$5:$AJ$596,19,)=0,0,((VLOOKUP($D458,$C$5:$AJ$596,19,)/VLOOKUP($D458,$C$5:$AJ$596,4,))*$F458))</f>
        <v>0</v>
      </c>
      <c r="V458" s="33">
        <f>IF(VLOOKUP($D458,$C$5:$AJ$596,20,)=0,0,((VLOOKUP($D458,$C$5:$AJ$596,20,)/VLOOKUP($D458,$C$5:$AJ$596,4,))*$F458))</f>
        <v>2573975.8295276342</v>
      </c>
      <c r="W458" s="33">
        <f>IF(VLOOKUP($D458,$C$5:$AJ$596,21,)=0,0,((VLOOKUP($D458,$C$5:$AJ$596,21,)/VLOOKUP($D458,$C$5:$AJ$596,4,))*$F458))</f>
        <v>4843607.0772168739</v>
      </c>
      <c r="X458" s="33">
        <f>IF(VLOOKUP($D458,$C$5:$AJ$596,22,)=0,0,((VLOOKUP($D458,$C$5:$AJ$596,22,)/VLOOKUP($D458,$C$5:$AJ$596,4,))*$F458))</f>
        <v>1402086.5217601354</v>
      </c>
      <c r="Y458" s="33">
        <f>IF(VLOOKUP($D458,$C$5:$AJ$596,23,)=0,0,((VLOOKUP($D458,$C$5:$AJ$596,23,)/VLOOKUP($D458,$C$5:$AJ$596,4,))*$F458))</f>
        <v>2597334.2120753122</v>
      </c>
      <c r="Z458" s="33">
        <f>IF(VLOOKUP($D458,$C$5:$AJ$596,24,)=0,0,((VLOOKUP($D458,$C$5:$AJ$596,24,)/VLOOKUP($D458,$C$5:$AJ$596,4,))*$F458))</f>
        <v>1899292.8809153934</v>
      </c>
      <c r="AA458" s="33">
        <f>IF(VLOOKUP($D458,$C$5:$AJ$596,25,)=0,0,((VLOOKUP($D458,$C$5:$AJ$596,25,)/VLOOKUP($D458,$C$5:$AJ$596,4,))*$F458))</f>
        <v>1647165.4384447762</v>
      </c>
      <c r="AB458" s="33">
        <f>IF(VLOOKUP($D458,$C$5:$AJ$596,26,)=0,0,((VLOOKUP($D458,$C$5:$AJ$596,26,)/VLOOKUP($D458,$C$5:$AJ$596,4,))*$F458))</f>
        <v>1219722.645408215</v>
      </c>
      <c r="AC458" s="33">
        <f>IF(VLOOKUP($D458,$C$5:$AJ$596,27,)=0,0,((VLOOKUP($D458,$C$5:$AJ$596,27,)/VLOOKUP($D458,$C$5:$AJ$596,4,))*$F458))</f>
        <v>871532.2159938066</v>
      </c>
      <c r="AD458" s="33">
        <f>IF(VLOOKUP($D458,$C$5:$AJ$596,28,)=0,0,((VLOOKUP($D458,$C$5:$AJ$596,28,)/VLOOKUP($D458,$C$5:$AJ$596,4,))*$F458))</f>
        <v>1428136.8279597762</v>
      </c>
      <c r="AE458" s="33"/>
      <c r="AF458" s="33">
        <f>IF(VLOOKUP($D458,$C$5:$AJ$596,30,)=0,0,((VLOOKUP($D458,$C$5:$AJ$596,30,)/VLOOKUP($D458,$C$5:$AJ$596,4,))*$F458))</f>
        <v>0</v>
      </c>
      <c r="AG458" s="33"/>
      <c r="AH458" s="33">
        <f>IF(VLOOKUP($D458,$C$5:$AJ$596,32,)=0,0,((VLOOKUP($D458,$C$5:$AJ$596,32,)/VLOOKUP($D458,$C$5:$AJ$596,4,))*$F458))</f>
        <v>0</v>
      </c>
      <c r="AI458" s="33"/>
      <c r="AJ458" s="33">
        <f>IF(VLOOKUP($D458,$C$5:$AJ$596,34,)=0,0,((VLOOKUP($D458,$C$5:$AJ$596,34,)/VLOOKUP($D458,$C$5:$AJ$596,4,))*$F458))</f>
        <v>0</v>
      </c>
      <c r="AK458" s="33">
        <f>SUM(H458:AJ458)</f>
        <v>21629009.785395272</v>
      </c>
      <c r="AL458" s="30" t="str">
        <f>IF(ABS(AK458-F458)&lt;1,"ok","err")</f>
        <v>ok</v>
      </c>
    </row>
    <row r="459" spans="1:38" x14ac:dyDescent="0.25">
      <c r="D459" s="13"/>
      <c r="E459" s="1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L459" s="30"/>
    </row>
    <row r="460" spans="1:38" x14ac:dyDescent="0.25">
      <c r="A460" s="29" t="s">
        <v>993</v>
      </c>
      <c r="D460" s="13"/>
      <c r="E460" s="13"/>
      <c r="F460" s="33">
        <f t="shared" ref="F460:M460" si="513">F458+F425</f>
        <v>28340555.401314098</v>
      </c>
      <c r="G460" s="33">
        <f t="shared" si="513"/>
        <v>0</v>
      </c>
      <c r="H460" s="33">
        <f t="shared" si="513"/>
        <v>0</v>
      </c>
      <c r="I460" s="33">
        <f t="shared" si="513"/>
        <v>0</v>
      </c>
      <c r="J460" s="33">
        <f t="shared" si="513"/>
        <v>0</v>
      </c>
      <c r="K460" s="33">
        <f t="shared" si="513"/>
        <v>0</v>
      </c>
      <c r="L460" s="33">
        <f t="shared" si="513"/>
        <v>0</v>
      </c>
      <c r="M460" s="33">
        <f t="shared" si="513"/>
        <v>0</v>
      </c>
      <c r="N460" s="33"/>
      <c r="O460" s="33">
        <f>O458+O425</f>
        <v>6711545.61591883</v>
      </c>
      <c r="P460" s="33">
        <f>P458+P425</f>
        <v>0</v>
      </c>
      <c r="Q460" s="33">
        <f>Q458+Q425</f>
        <v>0</v>
      </c>
      <c r="R460" s="33"/>
      <c r="S460" s="33">
        <f t="shared" ref="S460:AD460" si="514">S458+S425</f>
        <v>0</v>
      </c>
      <c r="T460" s="33">
        <f t="shared" si="514"/>
        <v>3146156.136093345</v>
      </c>
      <c r="U460" s="33">
        <f t="shared" si="514"/>
        <v>0</v>
      </c>
      <c r="V460" s="33">
        <f t="shared" si="514"/>
        <v>2573975.8295276342</v>
      </c>
      <c r="W460" s="33">
        <f t="shared" si="514"/>
        <v>4843607.0772168739</v>
      </c>
      <c r="X460" s="33">
        <f t="shared" si="514"/>
        <v>1402086.5217601354</v>
      </c>
      <c r="Y460" s="33">
        <f t="shared" si="514"/>
        <v>2597334.2120753122</v>
      </c>
      <c r="Z460" s="33">
        <f t="shared" si="514"/>
        <v>1899292.8809153934</v>
      </c>
      <c r="AA460" s="33">
        <f t="shared" si="514"/>
        <v>1647165.4384447762</v>
      </c>
      <c r="AB460" s="33">
        <f t="shared" si="514"/>
        <v>1219722.645408215</v>
      </c>
      <c r="AC460" s="33">
        <f t="shared" si="514"/>
        <v>871532.2159938066</v>
      </c>
      <c r="AD460" s="33">
        <f t="shared" si="514"/>
        <v>1428136.8279597762</v>
      </c>
      <c r="AE460" s="33"/>
      <c r="AF460" s="33">
        <f>AF458+AF425</f>
        <v>0</v>
      </c>
      <c r="AG460" s="33"/>
      <c r="AH460" s="33">
        <f>AH458+AH425</f>
        <v>0</v>
      </c>
      <c r="AI460" s="33"/>
      <c r="AJ460" s="33">
        <f>AJ458+AJ425</f>
        <v>0</v>
      </c>
      <c r="AK460" s="33">
        <f>SUM(H460:AJ460)</f>
        <v>28340555.401314095</v>
      </c>
      <c r="AL460" s="30" t="str">
        <f>IF(ABS(AK460-F460)&lt;1,"ok","err")</f>
        <v>ok</v>
      </c>
    </row>
    <row r="461" spans="1:38" x14ac:dyDescent="0.25">
      <c r="D461" s="13"/>
      <c r="E461" s="1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L461" s="30"/>
    </row>
    <row r="462" spans="1:38" x14ac:dyDescent="0.25">
      <c r="A462" s="29" t="s">
        <v>1584</v>
      </c>
      <c r="C462" s="29" t="s">
        <v>956</v>
      </c>
      <c r="D462" s="13"/>
      <c r="E462" s="13"/>
      <c r="F462" s="32">
        <f>F460+F402+F409</f>
        <v>87186421.497237533</v>
      </c>
      <c r="G462" s="32">
        <f>G460+G409</f>
        <v>0</v>
      </c>
      <c r="H462" s="32">
        <f t="shared" ref="H462:M462" si="515">H460+H402+H409</f>
        <v>34676224.974877737</v>
      </c>
      <c r="I462" s="32">
        <f t="shared" si="515"/>
        <v>0</v>
      </c>
      <c r="J462" s="32">
        <f t="shared" si="515"/>
        <v>0</v>
      </c>
      <c r="K462" s="32">
        <f t="shared" si="515"/>
        <v>24169641.121045694</v>
      </c>
      <c r="L462" s="32">
        <f t="shared" si="515"/>
        <v>0</v>
      </c>
      <c r="M462" s="32">
        <f t="shared" si="515"/>
        <v>0</v>
      </c>
      <c r="N462" s="32"/>
      <c r="O462" s="32">
        <f>O460+O402+O409</f>
        <v>6711545.61591883</v>
      </c>
      <c r="P462" s="32">
        <f>P460+P402+P409</f>
        <v>0</v>
      </c>
      <c r="Q462" s="32">
        <f>Q460+Q402+Q409</f>
        <v>0</v>
      </c>
      <c r="R462" s="32"/>
      <c r="S462" s="32">
        <f t="shared" ref="S462:AD462" si="516">S460+S402+S409</f>
        <v>0</v>
      </c>
      <c r="T462" s="32">
        <f t="shared" si="516"/>
        <v>3146156.136093345</v>
      </c>
      <c r="U462" s="32">
        <f t="shared" si="516"/>
        <v>0</v>
      </c>
      <c r="V462" s="32">
        <f t="shared" si="516"/>
        <v>2573975.8295276342</v>
      </c>
      <c r="W462" s="32">
        <f t="shared" si="516"/>
        <v>4843607.0772168739</v>
      </c>
      <c r="X462" s="32">
        <f t="shared" si="516"/>
        <v>1402086.5217601354</v>
      </c>
      <c r="Y462" s="32">
        <f t="shared" si="516"/>
        <v>2597334.2120753122</v>
      </c>
      <c r="Z462" s="32">
        <f t="shared" si="516"/>
        <v>1899292.8809153934</v>
      </c>
      <c r="AA462" s="32">
        <f t="shared" si="516"/>
        <v>1647165.4384447762</v>
      </c>
      <c r="AB462" s="32">
        <f t="shared" si="516"/>
        <v>1219722.645408215</v>
      </c>
      <c r="AC462" s="32">
        <f t="shared" si="516"/>
        <v>871532.2159938066</v>
      </c>
      <c r="AD462" s="32">
        <f t="shared" si="516"/>
        <v>1428136.8279597762</v>
      </c>
      <c r="AE462" s="32"/>
      <c r="AF462" s="32">
        <f>AF460+AF402+AF409</f>
        <v>0</v>
      </c>
      <c r="AG462" s="32"/>
      <c r="AH462" s="32">
        <f>AH460+AH402+AH409</f>
        <v>0</v>
      </c>
      <c r="AI462" s="32"/>
      <c r="AJ462" s="32">
        <f>AJ460+AJ402+AJ409</f>
        <v>0</v>
      </c>
      <c r="AK462" s="33">
        <f>SUM(H462:AJ462)</f>
        <v>87186421.497237518</v>
      </c>
      <c r="AL462" s="30" t="str">
        <f>IF(ABS(AK462-F462)&lt;1,"ok","err")</f>
        <v>ok</v>
      </c>
    </row>
    <row r="463" spans="1:38" x14ac:dyDescent="0.25">
      <c r="A463" s="4"/>
      <c r="D463" s="13"/>
      <c r="E463" s="13"/>
      <c r="F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L463" s="30"/>
    </row>
    <row r="464" spans="1:38" x14ac:dyDescent="0.25">
      <c r="A464" s="4" t="s">
        <v>279</v>
      </c>
      <c r="D464" s="13"/>
      <c r="E464" s="13"/>
      <c r="F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L464" s="30"/>
    </row>
    <row r="465" spans="1:38" x14ac:dyDescent="0.25">
      <c r="A465" s="29">
        <v>901</v>
      </c>
      <c r="B465" s="29" t="s">
        <v>280</v>
      </c>
      <c r="C465" s="29" t="s">
        <v>957</v>
      </c>
      <c r="D465" s="13" t="s">
        <v>690</v>
      </c>
      <c r="E465" s="13"/>
      <c r="F465" s="32">
        <f>'Jurisdictional Study'!F1404</f>
        <v>3459212.6491932455</v>
      </c>
      <c r="H465" s="33">
        <f>IF(VLOOKUP($D465,$C$5:$AJ$596,6,)=0,0,((VLOOKUP($D465,$C$5:$AJ$596,6,)/VLOOKUP($D465,$C$5:$AJ$596,4,))*$F465))</f>
        <v>0</v>
      </c>
      <c r="I465" s="33">
        <f>IF(VLOOKUP($D465,$C$5:$AJ$596,7,)=0,0,((VLOOKUP($D465,$C$5:$AJ$596,7,)/VLOOKUP($D465,$C$5:$AJ$596,4,))*$F465))</f>
        <v>0</v>
      </c>
      <c r="J465" s="33">
        <f>IF(VLOOKUP($D465,$C$5:$AJ$596,8,)=0,0,((VLOOKUP($D465,$C$5:$AJ$596,8,)/VLOOKUP($D465,$C$5:$AJ$596,4,))*$F465))</f>
        <v>0</v>
      </c>
      <c r="K465" s="33">
        <f>IF(VLOOKUP($D465,$C$5:$AJ$596,9,)=0,0,((VLOOKUP($D465,$C$5:$AJ$596,9,)/VLOOKUP($D465,$C$5:$AJ$596,4,))*$F465))</f>
        <v>0</v>
      </c>
      <c r="L465" s="33">
        <f>IF(VLOOKUP($D465,$C$5:$AJ$596,10,)=0,0,((VLOOKUP($D465,$C$5:$AJ$596,10,)/VLOOKUP($D465,$C$5:$AJ$596,4,))*$F465))</f>
        <v>0</v>
      </c>
      <c r="M465" s="33">
        <f>IF(VLOOKUP($D465,$C$5:$AJ$596,11,)=0,0,((VLOOKUP($D465,$C$5:$AJ$596,11,)/VLOOKUP($D465,$C$5:$AJ$596,4,))*$F465))</f>
        <v>0</v>
      </c>
      <c r="N465" s="33"/>
      <c r="O465" s="33">
        <f>IF(VLOOKUP($D465,$C$5:$AJ$596,13,)=0,0,((VLOOKUP($D465,$C$5:$AJ$596,13,)/VLOOKUP($D465,$C$5:$AJ$596,4,))*$F465))</f>
        <v>0</v>
      </c>
      <c r="P465" s="33">
        <f>IF(VLOOKUP($D465,$C$5:$AJ$596,14,)=0,0,((VLOOKUP($D465,$C$5:$AJ$596,14,)/VLOOKUP($D465,$C$5:$AJ$596,4,))*$F465))</f>
        <v>0</v>
      </c>
      <c r="Q465" s="33">
        <f>IF(VLOOKUP($D465,$C$5:$AJ$596,15,)=0,0,((VLOOKUP($D465,$C$5:$AJ$596,15,)/VLOOKUP($D465,$C$5:$AJ$596,4,))*$F465))</f>
        <v>0</v>
      </c>
      <c r="R465" s="33"/>
      <c r="S465" s="33">
        <f>IF(VLOOKUP($D465,$C$5:$AJ$596,17,)=0,0,((VLOOKUP($D465,$C$5:$AJ$596,17,)/VLOOKUP($D465,$C$5:$AJ$596,4,))*$F465))</f>
        <v>0</v>
      </c>
      <c r="T465" s="33">
        <f>IF(VLOOKUP($D465,$C$5:$AJ$596,18,)=0,0,((VLOOKUP($D465,$C$5:$AJ$596,18,)/VLOOKUP($D465,$C$5:$AJ$596,4,))*$F465))</f>
        <v>0</v>
      </c>
      <c r="U465" s="33">
        <f>IF(VLOOKUP($D465,$C$5:$AJ$596,19,)=0,0,((VLOOKUP($D465,$C$5:$AJ$596,19,)/VLOOKUP($D465,$C$5:$AJ$596,4,))*$F465))</f>
        <v>0</v>
      </c>
      <c r="V465" s="33">
        <f>IF(VLOOKUP($D465,$C$5:$AJ$596,20,)=0,0,((VLOOKUP($D465,$C$5:$AJ$596,20,)/VLOOKUP($D465,$C$5:$AJ$596,4,))*$F465))</f>
        <v>0</v>
      </c>
      <c r="W465" s="33">
        <f>IF(VLOOKUP($D465,$C$5:$AJ$596,21,)=0,0,((VLOOKUP($D465,$C$5:$AJ$596,21,)/VLOOKUP($D465,$C$5:$AJ$596,4,))*$F465))</f>
        <v>0</v>
      </c>
      <c r="X465" s="33">
        <f>IF(VLOOKUP($D465,$C$5:$AJ$596,22,)=0,0,((VLOOKUP($D465,$C$5:$AJ$596,22,)/VLOOKUP($D465,$C$5:$AJ$596,4,))*$F465))</f>
        <v>0</v>
      </c>
      <c r="Y465" s="33">
        <f>IF(VLOOKUP($D465,$C$5:$AJ$596,23,)=0,0,((VLOOKUP($D465,$C$5:$AJ$596,23,)/VLOOKUP($D465,$C$5:$AJ$596,4,))*$F465))</f>
        <v>0</v>
      </c>
      <c r="Z465" s="33">
        <f>IF(VLOOKUP($D465,$C$5:$AJ$596,24,)=0,0,((VLOOKUP($D465,$C$5:$AJ$596,24,)/VLOOKUP($D465,$C$5:$AJ$596,4,))*$F465))</f>
        <v>0</v>
      </c>
      <c r="AA465" s="33">
        <f>IF(VLOOKUP($D465,$C$5:$AJ$596,25,)=0,0,((VLOOKUP($D465,$C$5:$AJ$596,25,)/VLOOKUP($D465,$C$5:$AJ$596,4,))*$F465))</f>
        <v>0</v>
      </c>
      <c r="AB465" s="33">
        <f>IF(VLOOKUP($D465,$C$5:$AJ$596,26,)=0,0,((VLOOKUP($D465,$C$5:$AJ$596,26,)/VLOOKUP($D465,$C$5:$AJ$596,4,))*$F465))</f>
        <v>0</v>
      </c>
      <c r="AC465" s="33">
        <f>IF(VLOOKUP($D465,$C$5:$AJ$596,27,)=0,0,((VLOOKUP($D465,$C$5:$AJ$596,27,)/VLOOKUP($D465,$C$5:$AJ$596,4,))*$F465))</f>
        <v>0</v>
      </c>
      <c r="AD465" s="33">
        <f>IF(VLOOKUP($D465,$C$5:$AJ$596,28,)=0,0,((VLOOKUP($D465,$C$5:$AJ$596,28,)/VLOOKUP($D465,$C$5:$AJ$596,4,))*$F465))</f>
        <v>0</v>
      </c>
      <c r="AE465" s="33"/>
      <c r="AF465" s="33">
        <f>IF(VLOOKUP($D465,$C$5:$AJ$596,30,)=0,0,((VLOOKUP($D465,$C$5:$AJ$596,30,)/VLOOKUP($D465,$C$5:$AJ$596,4,))*$F465))</f>
        <v>3459212.6491932455</v>
      </c>
      <c r="AG465" s="33"/>
      <c r="AH465" s="33">
        <f>IF(VLOOKUP($D465,$C$5:$AJ$596,32,)=0,0,((VLOOKUP($D465,$C$5:$AJ$596,32,)/VLOOKUP($D465,$C$5:$AJ$596,4,))*$F465))</f>
        <v>0</v>
      </c>
      <c r="AI465" s="33"/>
      <c r="AJ465" s="33">
        <f>IF(VLOOKUP($D465,$C$5:$AJ$596,34,)=0,0,((VLOOKUP($D465,$C$5:$AJ$596,34,)/VLOOKUP($D465,$C$5:$AJ$596,4,))*$F465))</f>
        <v>0</v>
      </c>
      <c r="AK465" s="33">
        <f>SUM(H465:AJ465)</f>
        <v>3459212.6491932455</v>
      </c>
      <c r="AL465" s="30" t="str">
        <f>IF(ABS(AK465-F465)&lt;1,"ok","err")</f>
        <v>ok</v>
      </c>
    </row>
    <row r="466" spans="1:38" x14ac:dyDescent="0.25">
      <c r="A466" s="29">
        <v>902</v>
      </c>
      <c r="B466" s="29" t="s">
        <v>283</v>
      </c>
      <c r="C466" s="29" t="s">
        <v>958</v>
      </c>
      <c r="D466" s="13" t="s">
        <v>690</v>
      </c>
      <c r="E466" s="13"/>
      <c r="F466" s="33">
        <f>'Jurisdictional Study'!F1405</f>
        <v>688303.85081663716</v>
      </c>
      <c r="H466" s="33">
        <f>IF(VLOOKUP($D466,$C$5:$AJ$596,6,)=0,0,((VLOOKUP($D466,$C$5:$AJ$596,6,)/VLOOKUP($D466,$C$5:$AJ$596,4,))*$F466))</f>
        <v>0</v>
      </c>
      <c r="I466" s="33">
        <f>IF(VLOOKUP($D466,$C$5:$AJ$596,7,)=0,0,((VLOOKUP($D466,$C$5:$AJ$596,7,)/VLOOKUP($D466,$C$5:$AJ$596,4,))*$F466))</f>
        <v>0</v>
      </c>
      <c r="J466" s="33">
        <f>IF(VLOOKUP($D466,$C$5:$AJ$596,8,)=0,0,((VLOOKUP($D466,$C$5:$AJ$596,8,)/VLOOKUP($D466,$C$5:$AJ$596,4,))*$F466))</f>
        <v>0</v>
      </c>
      <c r="K466" s="33">
        <f>IF(VLOOKUP($D466,$C$5:$AJ$596,9,)=0,0,((VLOOKUP($D466,$C$5:$AJ$596,9,)/VLOOKUP($D466,$C$5:$AJ$596,4,))*$F466))</f>
        <v>0</v>
      </c>
      <c r="L466" s="33">
        <f>IF(VLOOKUP($D466,$C$5:$AJ$596,10,)=0,0,((VLOOKUP($D466,$C$5:$AJ$596,10,)/VLOOKUP($D466,$C$5:$AJ$596,4,))*$F466))</f>
        <v>0</v>
      </c>
      <c r="M466" s="33">
        <f>IF(VLOOKUP($D466,$C$5:$AJ$596,11,)=0,0,((VLOOKUP($D466,$C$5:$AJ$596,11,)/VLOOKUP($D466,$C$5:$AJ$596,4,))*$F466))</f>
        <v>0</v>
      </c>
      <c r="N466" s="33"/>
      <c r="O466" s="33">
        <f>IF(VLOOKUP($D466,$C$5:$AJ$596,13,)=0,0,((VLOOKUP($D466,$C$5:$AJ$596,13,)/VLOOKUP($D466,$C$5:$AJ$596,4,))*$F466))</f>
        <v>0</v>
      </c>
      <c r="P466" s="33">
        <f>IF(VLOOKUP($D466,$C$5:$AJ$596,14,)=0,0,((VLOOKUP($D466,$C$5:$AJ$596,14,)/VLOOKUP($D466,$C$5:$AJ$596,4,))*$F466))</f>
        <v>0</v>
      </c>
      <c r="Q466" s="33">
        <f>IF(VLOOKUP($D466,$C$5:$AJ$596,15,)=0,0,((VLOOKUP($D466,$C$5:$AJ$596,15,)/VLOOKUP($D466,$C$5:$AJ$596,4,))*$F466))</f>
        <v>0</v>
      </c>
      <c r="R466" s="33"/>
      <c r="S466" s="33">
        <f>IF(VLOOKUP($D466,$C$5:$AJ$596,17,)=0,0,((VLOOKUP($D466,$C$5:$AJ$596,17,)/VLOOKUP($D466,$C$5:$AJ$596,4,))*$F466))</f>
        <v>0</v>
      </c>
      <c r="T466" s="33">
        <f>IF(VLOOKUP($D466,$C$5:$AJ$596,18,)=0,0,((VLOOKUP($D466,$C$5:$AJ$596,18,)/VLOOKUP($D466,$C$5:$AJ$596,4,))*$F466))</f>
        <v>0</v>
      </c>
      <c r="U466" s="33">
        <f>IF(VLOOKUP($D466,$C$5:$AJ$596,19,)=0,0,((VLOOKUP($D466,$C$5:$AJ$596,19,)/VLOOKUP($D466,$C$5:$AJ$596,4,))*$F466))</f>
        <v>0</v>
      </c>
      <c r="V466" s="33">
        <f>IF(VLOOKUP($D466,$C$5:$AJ$596,20,)=0,0,((VLOOKUP($D466,$C$5:$AJ$596,20,)/VLOOKUP($D466,$C$5:$AJ$596,4,))*$F466))</f>
        <v>0</v>
      </c>
      <c r="W466" s="33">
        <f>IF(VLOOKUP($D466,$C$5:$AJ$596,21,)=0,0,((VLOOKUP($D466,$C$5:$AJ$596,21,)/VLOOKUP($D466,$C$5:$AJ$596,4,))*$F466))</f>
        <v>0</v>
      </c>
      <c r="X466" s="33">
        <f>IF(VLOOKUP($D466,$C$5:$AJ$596,22,)=0,0,((VLOOKUP($D466,$C$5:$AJ$596,22,)/VLOOKUP($D466,$C$5:$AJ$596,4,))*$F466))</f>
        <v>0</v>
      </c>
      <c r="Y466" s="33">
        <f>IF(VLOOKUP($D466,$C$5:$AJ$596,23,)=0,0,((VLOOKUP($D466,$C$5:$AJ$596,23,)/VLOOKUP($D466,$C$5:$AJ$596,4,))*$F466))</f>
        <v>0</v>
      </c>
      <c r="Z466" s="33">
        <f>IF(VLOOKUP($D466,$C$5:$AJ$596,24,)=0,0,((VLOOKUP($D466,$C$5:$AJ$596,24,)/VLOOKUP($D466,$C$5:$AJ$596,4,))*$F466))</f>
        <v>0</v>
      </c>
      <c r="AA466" s="33">
        <f>IF(VLOOKUP($D466,$C$5:$AJ$596,25,)=0,0,((VLOOKUP($D466,$C$5:$AJ$596,25,)/VLOOKUP($D466,$C$5:$AJ$596,4,))*$F466))</f>
        <v>0</v>
      </c>
      <c r="AB466" s="33">
        <f>IF(VLOOKUP($D466,$C$5:$AJ$596,26,)=0,0,((VLOOKUP($D466,$C$5:$AJ$596,26,)/VLOOKUP($D466,$C$5:$AJ$596,4,))*$F466))</f>
        <v>0</v>
      </c>
      <c r="AC466" s="33">
        <f>IF(VLOOKUP($D466,$C$5:$AJ$596,27,)=0,0,((VLOOKUP($D466,$C$5:$AJ$596,27,)/VLOOKUP($D466,$C$5:$AJ$596,4,))*$F466))</f>
        <v>0</v>
      </c>
      <c r="AD466" s="33">
        <f>IF(VLOOKUP($D466,$C$5:$AJ$596,28,)=0,0,((VLOOKUP($D466,$C$5:$AJ$596,28,)/VLOOKUP($D466,$C$5:$AJ$596,4,))*$F466))</f>
        <v>0</v>
      </c>
      <c r="AE466" s="33"/>
      <c r="AF466" s="33">
        <f>IF(VLOOKUP($D466,$C$5:$AJ$596,30,)=0,0,((VLOOKUP($D466,$C$5:$AJ$596,30,)/VLOOKUP($D466,$C$5:$AJ$596,4,))*$F466))</f>
        <v>688303.85081663716</v>
      </c>
      <c r="AG466" s="33"/>
      <c r="AH466" s="33">
        <f>IF(VLOOKUP($D466,$C$5:$AJ$596,32,)=0,0,((VLOOKUP($D466,$C$5:$AJ$596,32,)/VLOOKUP($D466,$C$5:$AJ$596,4,))*$F466))</f>
        <v>0</v>
      </c>
      <c r="AI466" s="33"/>
      <c r="AJ466" s="33">
        <f>IF(VLOOKUP($D466,$C$5:$AJ$596,34,)=0,0,((VLOOKUP($D466,$C$5:$AJ$596,34,)/VLOOKUP($D466,$C$5:$AJ$596,4,))*$F466))</f>
        <v>0</v>
      </c>
      <c r="AK466" s="33">
        <f>SUM(H466:AJ466)</f>
        <v>688303.85081663716</v>
      </c>
      <c r="AL466" s="30" t="str">
        <f>IF(ABS(AK466-F466)&lt;1,"ok","err")</f>
        <v>ok</v>
      </c>
    </row>
    <row r="467" spans="1:38" x14ac:dyDescent="0.25">
      <c r="A467" s="29">
        <v>903</v>
      </c>
      <c r="B467" s="29" t="s">
        <v>1274</v>
      </c>
      <c r="C467" s="29" t="s">
        <v>959</v>
      </c>
      <c r="D467" s="13" t="s">
        <v>690</v>
      </c>
      <c r="E467" s="13"/>
      <c r="F467" s="33">
        <f>'Jurisdictional Study'!F1406</f>
        <v>13630301.29957241</v>
      </c>
      <c r="H467" s="33">
        <f>IF(VLOOKUP($D467,$C$5:$AJ$596,6,)=0,0,((VLOOKUP($D467,$C$5:$AJ$596,6,)/VLOOKUP($D467,$C$5:$AJ$596,4,))*$F467))</f>
        <v>0</v>
      </c>
      <c r="I467" s="33">
        <f>IF(VLOOKUP($D467,$C$5:$AJ$596,7,)=0,0,((VLOOKUP($D467,$C$5:$AJ$596,7,)/VLOOKUP($D467,$C$5:$AJ$596,4,))*$F467))</f>
        <v>0</v>
      </c>
      <c r="J467" s="33">
        <f>IF(VLOOKUP($D467,$C$5:$AJ$596,8,)=0,0,((VLOOKUP($D467,$C$5:$AJ$596,8,)/VLOOKUP($D467,$C$5:$AJ$596,4,))*$F467))</f>
        <v>0</v>
      </c>
      <c r="K467" s="33">
        <f>IF(VLOOKUP($D467,$C$5:$AJ$596,9,)=0,0,((VLOOKUP($D467,$C$5:$AJ$596,9,)/VLOOKUP($D467,$C$5:$AJ$596,4,))*$F467))</f>
        <v>0</v>
      </c>
      <c r="L467" s="33">
        <f>IF(VLOOKUP($D467,$C$5:$AJ$596,10,)=0,0,((VLOOKUP($D467,$C$5:$AJ$596,10,)/VLOOKUP($D467,$C$5:$AJ$596,4,))*$F467))</f>
        <v>0</v>
      </c>
      <c r="M467" s="33">
        <f>IF(VLOOKUP($D467,$C$5:$AJ$596,11,)=0,0,((VLOOKUP($D467,$C$5:$AJ$596,11,)/VLOOKUP($D467,$C$5:$AJ$596,4,))*$F467))</f>
        <v>0</v>
      </c>
      <c r="N467" s="33"/>
      <c r="O467" s="33">
        <f>IF(VLOOKUP($D467,$C$5:$AJ$596,13,)=0,0,((VLOOKUP($D467,$C$5:$AJ$596,13,)/VLOOKUP($D467,$C$5:$AJ$596,4,))*$F467))</f>
        <v>0</v>
      </c>
      <c r="P467" s="33">
        <f>IF(VLOOKUP($D467,$C$5:$AJ$596,14,)=0,0,((VLOOKUP($D467,$C$5:$AJ$596,14,)/VLOOKUP($D467,$C$5:$AJ$596,4,))*$F467))</f>
        <v>0</v>
      </c>
      <c r="Q467" s="33">
        <f>IF(VLOOKUP($D467,$C$5:$AJ$596,15,)=0,0,((VLOOKUP($D467,$C$5:$AJ$596,15,)/VLOOKUP($D467,$C$5:$AJ$596,4,))*$F467))</f>
        <v>0</v>
      </c>
      <c r="R467" s="33"/>
      <c r="S467" s="33">
        <f>IF(VLOOKUP($D467,$C$5:$AJ$596,17,)=0,0,((VLOOKUP($D467,$C$5:$AJ$596,17,)/VLOOKUP($D467,$C$5:$AJ$596,4,))*$F467))</f>
        <v>0</v>
      </c>
      <c r="T467" s="33">
        <f>IF(VLOOKUP($D467,$C$5:$AJ$596,18,)=0,0,((VLOOKUP($D467,$C$5:$AJ$596,18,)/VLOOKUP($D467,$C$5:$AJ$596,4,))*$F467))</f>
        <v>0</v>
      </c>
      <c r="U467" s="33">
        <f>IF(VLOOKUP($D467,$C$5:$AJ$596,19,)=0,0,((VLOOKUP($D467,$C$5:$AJ$596,19,)/VLOOKUP($D467,$C$5:$AJ$596,4,))*$F467))</f>
        <v>0</v>
      </c>
      <c r="V467" s="33">
        <f>IF(VLOOKUP($D467,$C$5:$AJ$596,20,)=0,0,((VLOOKUP($D467,$C$5:$AJ$596,20,)/VLOOKUP($D467,$C$5:$AJ$596,4,))*$F467))</f>
        <v>0</v>
      </c>
      <c r="W467" s="33">
        <f>IF(VLOOKUP($D467,$C$5:$AJ$596,21,)=0,0,((VLOOKUP($D467,$C$5:$AJ$596,21,)/VLOOKUP($D467,$C$5:$AJ$596,4,))*$F467))</f>
        <v>0</v>
      </c>
      <c r="X467" s="33">
        <f>IF(VLOOKUP($D467,$C$5:$AJ$596,22,)=0,0,((VLOOKUP($D467,$C$5:$AJ$596,22,)/VLOOKUP($D467,$C$5:$AJ$596,4,))*$F467))</f>
        <v>0</v>
      </c>
      <c r="Y467" s="33">
        <f>IF(VLOOKUP($D467,$C$5:$AJ$596,23,)=0,0,((VLOOKUP($D467,$C$5:$AJ$596,23,)/VLOOKUP($D467,$C$5:$AJ$596,4,))*$F467))</f>
        <v>0</v>
      </c>
      <c r="Z467" s="33">
        <f>IF(VLOOKUP($D467,$C$5:$AJ$596,24,)=0,0,((VLOOKUP($D467,$C$5:$AJ$596,24,)/VLOOKUP($D467,$C$5:$AJ$596,4,))*$F467))</f>
        <v>0</v>
      </c>
      <c r="AA467" s="33">
        <f>IF(VLOOKUP($D467,$C$5:$AJ$596,25,)=0,0,((VLOOKUP($D467,$C$5:$AJ$596,25,)/VLOOKUP($D467,$C$5:$AJ$596,4,))*$F467))</f>
        <v>0</v>
      </c>
      <c r="AB467" s="33">
        <f>IF(VLOOKUP($D467,$C$5:$AJ$596,26,)=0,0,((VLOOKUP($D467,$C$5:$AJ$596,26,)/VLOOKUP($D467,$C$5:$AJ$596,4,))*$F467))</f>
        <v>0</v>
      </c>
      <c r="AC467" s="33">
        <f>IF(VLOOKUP($D467,$C$5:$AJ$596,27,)=0,0,((VLOOKUP($D467,$C$5:$AJ$596,27,)/VLOOKUP($D467,$C$5:$AJ$596,4,))*$F467))</f>
        <v>0</v>
      </c>
      <c r="AD467" s="33">
        <f>IF(VLOOKUP($D467,$C$5:$AJ$596,28,)=0,0,((VLOOKUP($D467,$C$5:$AJ$596,28,)/VLOOKUP($D467,$C$5:$AJ$596,4,))*$F467))</f>
        <v>0</v>
      </c>
      <c r="AE467" s="33"/>
      <c r="AF467" s="33">
        <f>IF(VLOOKUP($D467,$C$5:$AJ$596,30,)=0,0,((VLOOKUP($D467,$C$5:$AJ$596,30,)/VLOOKUP($D467,$C$5:$AJ$596,4,))*$F467))</f>
        <v>13630301.29957241</v>
      </c>
      <c r="AG467" s="33"/>
      <c r="AH467" s="33">
        <f>IF(VLOOKUP($D467,$C$5:$AJ$596,32,)=0,0,((VLOOKUP($D467,$C$5:$AJ$596,32,)/VLOOKUP($D467,$C$5:$AJ$596,4,))*$F467))</f>
        <v>0</v>
      </c>
      <c r="AI467" s="33"/>
      <c r="AJ467" s="33">
        <f>IF(VLOOKUP($D467,$C$5:$AJ$596,34,)=0,0,((VLOOKUP($D467,$C$5:$AJ$596,34,)/VLOOKUP($D467,$C$5:$AJ$596,4,))*$F467))</f>
        <v>0</v>
      </c>
      <c r="AK467" s="33">
        <f>SUM(H467:AJ467)</f>
        <v>13630301.29957241</v>
      </c>
      <c r="AL467" s="30" t="str">
        <f>IF(ABS(AK467-F467)&lt;1,"ok","err")</f>
        <v>ok</v>
      </c>
    </row>
    <row r="468" spans="1:38" x14ac:dyDescent="0.25">
      <c r="A468" s="29">
        <v>904</v>
      </c>
      <c r="B468" s="29" t="s">
        <v>286</v>
      </c>
      <c r="C468" s="29" t="s">
        <v>960</v>
      </c>
      <c r="D468" s="13" t="s">
        <v>690</v>
      </c>
      <c r="E468" s="13"/>
      <c r="F468" s="33">
        <f>'Jurisdictional Study'!F1407</f>
        <v>0</v>
      </c>
      <c r="H468" s="33">
        <f>IF(VLOOKUP($D468,$C$5:$AJ$596,6,)=0,0,((VLOOKUP($D468,$C$5:$AJ$596,6,)/VLOOKUP($D468,$C$5:$AJ$596,4,))*$F468))</f>
        <v>0</v>
      </c>
      <c r="I468" s="33">
        <f>IF(VLOOKUP($D468,$C$5:$AJ$596,7,)=0,0,((VLOOKUP($D468,$C$5:$AJ$596,7,)/VLOOKUP($D468,$C$5:$AJ$596,4,))*$F468))</f>
        <v>0</v>
      </c>
      <c r="J468" s="33">
        <f>IF(VLOOKUP($D468,$C$5:$AJ$596,8,)=0,0,((VLOOKUP($D468,$C$5:$AJ$596,8,)/VLOOKUP($D468,$C$5:$AJ$596,4,))*$F468))</f>
        <v>0</v>
      </c>
      <c r="K468" s="33">
        <f>IF(VLOOKUP($D468,$C$5:$AJ$596,9,)=0,0,((VLOOKUP($D468,$C$5:$AJ$596,9,)/VLOOKUP($D468,$C$5:$AJ$596,4,))*$F468))</f>
        <v>0</v>
      </c>
      <c r="L468" s="33">
        <f>IF(VLOOKUP($D468,$C$5:$AJ$596,10,)=0,0,((VLOOKUP($D468,$C$5:$AJ$596,10,)/VLOOKUP($D468,$C$5:$AJ$596,4,))*$F468))</f>
        <v>0</v>
      </c>
      <c r="M468" s="33">
        <f>IF(VLOOKUP($D468,$C$5:$AJ$596,11,)=0,0,((VLOOKUP($D468,$C$5:$AJ$596,11,)/VLOOKUP($D468,$C$5:$AJ$596,4,))*$F468))</f>
        <v>0</v>
      </c>
      <c r="N468" s="33"/>
      <c r="O468" s="33">
        <f>IF(VLOOKUP($D468,$C$5:$AJ$596,13,)=0,0,((VLOOKUP($D468,$C$5:$AJ$596,13,)/VLOOKUP($D468,$C$5:$AJ$596,4,))*$F468))</f>
        <v>0</v>
      </c>
      <c r="P468" s="33">
        <f>IF(VLOOKUP($D468,$C$5:$AJ$596,14,)=0,0,((VLOOKUP($D468,$C$5:$AJ$596,14,)/VLOOKUP($D468,$C$5:$AJ$596,4,))*$F468))</f>
        <v>0</v>
      </c>
      <c r="Q468" s="33">
        <f>IF(VLOOKUP($D468,$C$5:$AJ$596,15,)=0,0,((VLOOKUP($D468,$C$5:$AJ$596,15,)/VLOOKUP($D468,$C$5:$AJ$596,4,))*$F468))</f>
        <v>0</v>
      </c>
      <c r="R468" s="33"/>
      <c r="S468" s="33">
        <f>IF(VLOOKUP($D468,$C$5:$AJ$596,17,)=0,0,((VLOOKUP($D468,$C$5:$AJ$596,17,)/VLOOKUP($D468,$C$5:$AJ$596,4,))*$F468))</f>
        <v>0</v>
      </c>
      <c r="T468" s="33">
        <f>IF(VLOOKUP($D468,$C$5:$AJ$596,18,)=0,0,((VLOOKUP($D468,$C$5:$AJ$596,18,)/VLOOKUP($D468,$C$5:$AJ$596,4,))*$F468))</f>
        <v>0</v>
      </c>
      <c r="U468" s="33">
        <f>IF(VLOOKUP($D468,$C$5:$AJ$596,19,)=0,0,((VLOOKUP($D468,$C$5:$AJ$596,19,)/VLOOKUP($D468,$C$5:$AJ$596,4,))*$F468))</f>
        <v>0</v>
      </c>
      <c r="V468" s="33">
        <f>IF(VLOOKUP($D468,$C$5:$AJ$596,20,)=0,0,((VLOOKUP($D468,$C$5:$AJ$596,20,)/VLOOKUP($D468,$C$5:$AJ$596,4,))*$F468))</f>
        <v>0</v>
      </c>
      <c r="W468" s="33">
        <f>IF(VLOOKUP($D468,$C$5:$AJ$596,21,)=0,0,((VLOOKUP($D468,$C$5:$AJ$596,21,)/VLOOKUP($D468,$C$5:$AJ$596,4,))*$F468))</f>
        <v>0</v>
      </c>
      <c r="X468" s="33">
        <f>IF(VLOOKUP($D468,$C$5:$AJ$596,22,)=0,0,((VLOOKUP($D468,$C$5:$AJ$596,22,)/VLOOKUP($D468,$C$5:$AJ$596,4,))*$F468))</f>
        <v>0</v>
      </c>
      <c r="Y468" s="33">
        <f>IF(VLOOKUP($D468,$C$5:$AJ$596,23,)=0,0,((VLOOKUP($D468,$C$5:$AJ$596,23,)/VLOOKUP($D468,$C$5:$AJ$596,4,))*$F468))</f>
        <v>0</v>
      </c>
      <c r="Z468" s="33">
        <f>IF(VLOOKUP($D468,$C$5:$AJ$596,24,)=0,0,((VLOOKUP($D468,$C$5:$AJ$596,24,)/VLOOKUP($D468,$C$5:$AJ$596,4,))*$F468))</f>
        <v>0</v>
      </c>
      <c r="AA468" s="33">
        <f>IF(VLOOKUP($D468,$C$5:$AJ$596,25,)=0,0,((VLOOKUP($D468,$C$5:$AJ$596,25,)/VLOOKUP($D468,$C$5:$AJ$596,4,))*$F468))</f>
        <v>0</v>
      </c>
      <c r="AB468" s="33">
        <f>IF(VLOOKUP($D468,$C$5:$AJ$596,26,)=0,0,((VLOOKUP($D468,$C$5:$AJ$596,26,)/VLOOKUP($D468,$C$5:$AJ$596,4,))*$F468))</f>
        <v>0</v>
      </c>
      <c r="AC468" s="33">
        <f>IF(VLOOKUP($D468,$C$5:$AJ$596,27,)=0,0,((VLOOKUP($D468,$C$5:$AJ$596,27,)/VLOOKUP($D468,$C$5:$AJ$596,4,))*$F468))</f>
        <v>0</v>
      </c>
      <c r="AD468" s="33">
        <f>IF(VLOOKUP($D468,$C$5:$AJ$596,28,)=0,0,((VLOOKUP($D468,$C$5:$AJ$596,28,)/VLOOKUP($D468,$C$5:$AJ$596,4,))*$F468))</f>
        <v>0</v>
      </c>
      <c r="AE468" s="33"/>
      <c r="AF468" s="33">
        <f>IF(VLOOKUP($D468,$C$5:$AJ$596,30,)=0,0,((VLOOKUP($D468,$C$5:$AJ$596,30,)/VLOOKUP($D468,$C$5:$AJ$596,4,))*$F468))</f>
        <v>0</v>
      </c>
      <c r="AG468" s="33"/>
      <c r="AH468" s="33">
        <f>IF(VLOOKUP($D468,$C$5:$AJ$596,32,)=0,0,((VLOOKUP($D468,$C$5:$AJ$596,32,)/VLOOKUP($D468,$C$5:$AJ$596,4,))*$F468))</f>
        <v>0</v>
      </c>
      <c r="AI468" s="33"/>
      <c r="AJ468" s="33">
        <f>IF(VLOOKUP($D468,$C$5:$AJ$596,34,)=0,0,((VLOOKUP($D468,$C$5:$AJ$596,34,)/VLOOKUP($D468,$C$5:$AJ$596,4,))*$F468))</f>
        <v>0</v>
      </c>
      <c r="AK468" s="33">
        <f>SUM(H468:AJ468)</f>
        <v>0</v>
      </c>
      <c r="AL468" s="30" t="str">
        <f>IF(ABS(AK468-F468)&lt;1,"ok","err")</f>
        <v>ok</v>
      </c>
    </row>
    <row r="469" spans="1:38" x14ac:dyDescent="0.25">
      <c r="A469" s="29">
        <v>905</v>
      </c>
      <c r="B469" s="29" t="s">
        <v>1275</v>
      </c>
      <c r="C469" s="29" t="s">
        <v>959</v>
      </c>
      <c r="D469" s="13" t="s">
        <v>690</v>
      </c>
      <c r="E469" s="13"/>
      <c r="F469" s="33">
        <f>'Jurisdictional Study'!F1408</f>
        <v>0</v>
      </c>
      <c r="H469" s="33">
        <f>IF(VLOOKUP($D469,$C$5:$AJ$596,6,)=0,0,((VLOOKUP($D469,$C$5:$AJ$596,6,)/VLOOKUP($D469,$C$5:$AJ$596,4,))*$F469))</f>
        <v>0</v>
      </c>
      <c r="I469" s="33">
        <f>IF(VLOOKUP($D469,$C$5:$AJ$596,7,)=0,0,((VLOOKUP($D469,$C$5:$AJ$596,7,)/VLOOKUP($D469,$C$5:$AJ$596,4,))*$F469))</f>
        <v>0</v>
      </c>
      <c r="J469" s="33">
        <f>IF(VLOOKUP($D469,$C$5:$AJ$596,8,)=0,0,((VLOOKUP($D469,$C$5:$AJ$596,8,)/VLOOKUP($D469,$C$5:$AJ$596,4,))*$F469))</f>
        <v>0</v>
      </c>
      <c r="K469" s="33">
        <f>IF(VLOOKUP($D469,$C$5:$AJ$596,9,)=0,0,((VLOOKUP($D469,$C$5:$AJ$596,9,)/VLOOKUP($D469,$C$5:$AJ$596,4,))*$F469))</f>
        <v>0</v>
      </c>
      <c r="L469" s="33">
        <f>IF(VLOOKUP($D469,$C$5:$AJ$596,10,)=0,0,((VLOOKUP($D469,$C$5:$AJ$596,10,)/VLOOKUP($D469,$C$5:$AJ$596,4,))*$F469))</f>
        <v>0</v>
      </c>
      <c r="M469" s="33">
        <f>IF(VLOOKUP($D469,$C$5:$AJ$596,11,)=0,0,((VLOOKUP($D469,$C$5:$AJ$596,11,)/VLOOKUP($D469,$C$5:$AJ$596,4,))*$F469))</f>
        <v>0</v>
      </c>
      <c r="N469" s="33"/>
      <c r="O469" s="33">
        <f>IF(VLOOKUP($D469,$C$5:$AJ$596,13,)=0,0,((VLOOKUP($D469,$C$5:$AJ$596,13,)/VLOOKUP($D469,$C$5:$AJ$596,4,))*$F469))</f>
        <v>0</v>
      </c>
      <c r="P469" s="33">
        <f>IF(VLOOKUP($D469,$C$5:$AJ$596,14,)=0,0,((VLOOKUP($D469,$C$5:$AJ$596,14,)/VLOOKUP($D469,$C$5:$AJ$596,4,))*$F469))</f>
        <v>0</v>
      </c>
      <c r="Q469" s="33">
        <f>IF(VLOOKUP($D469,$C$5:$AJ$596,15,)=0,0,((VLOOKUP($D469,$C$5:$AJ$596,15,)/VLOOKUP($D469,$C$5:$AJ$596,4,))*$F469))</f>
        <v>0</v>
      </c>
      <c r="R469" s="33"/>
      <c r="S469" s="33">
        <f>IF(VLOOKUP($D469,$C$5:$AJ$596,17,)=0,0,((VLOOKUP($D469,$C$5:$AJ$596,17,)/VLOOKUP($D469,$C$5:$AJ$596,4,))*$F469))</f>
        <v>0</v>
      </c>
      <c r="T469" s="33">
        <f>IF(VLOOKUP($D469,$C$5:$AJ$596,18,)=0,0,((VLOOKUP($D469,$C$5:$AJ$596,18,)/VLOOKUP($D469,$C$5:$AJ$596,4,))*$F469))</f>
        <v>0</v>
      </c>
      <c r="U469" s="33">
        <f>IF(VLOOKUP($D469,$C$5:$AJ$596,19,)=0,0,((VLOOKUP($D469,$C$5:$AJ$596,19,)/VLOOKUP($D469,$C$5:$AJ$596,4,))*$F469))</f>
        <v>0</v>
      </c>
      <c r="V469" s="33">
        <f>IF(VLOOKUP($D469,$C$5:$AJ$596,20,)=0,0,((VLOOKUP($D469,$C$5:$AJ$596,20,)/VLOOKUP($D469,$C$5:$AJ$596,4,))*$F469))</f>
        <v>0</v>
      </c>
      <c r="W469" s="33">
        <f>IF(VLOOKUP($D469,$C$5:$AJ$596,21,)=0,0,((VLOOKUP($D469,$C$5:$AJ$596,21,)/VLOOKUP($D469,$C$5:$AJ$596,4,))*$F469))</f>
        <v>0</v>
      </c>
      <c r="X469" s="33">
        <f>IF(VLOOKUP($D469,$C$5:$AJ$596,22,)=0,0,((VLOOKUP($D469,$C$5:$AJ$596,22,)/VLOOKUP($D469,$C$5:$AJ$596,4,))*$F469))</f>
        <v>0</v>
      </c>
      <c r="Y469" s="33">
        <f>IF(VLOOKUP($D469,$C$5:$AJ$596,23,)=0,0,((VLOOKUP($D469,$C$5:$AJ$596,23,)/VLOOKUP($D469,$C$5:$AJ$596,4,))*$F469))</f>
        <v>0</v>
      </c>
      <c r="Z469" s="33">
        <f>IF(VLOOKUP($D469,$C$5:$AJ$596,24,)=0,0,((VLOOKUP($D469,$C$5:$AJ$596,24,)/VLOOKUP($D469,$C$5:$AJ$596,4,))*$F469))</f>
        <v>0</v>
      </c>
      <c r="AA469" s="33">
        <f>IF(VLOOKUP($D469,$C$5:$AJ$596,25,)=0,0,((VLOOKUP($D469,$C$5:$AJ$596,25,)/VLOOKUP($D469,$C$5:$AJ$596,4,))*$F469))</f>
        <v>0</v>
      </c>
      <c r="AB469" s="33">
        <f>IF(VLOOKUP($D469,$C$5:$AJ$596,26,)=0,0,((VLOOKUP($D469,$C$5:$AJ$596,26,)/VLOOKUP($D469,$C$5:$AJ$596,4,))*$F469))</f>
        <v>0</v>
      </c>
      <c r="AC469" s="33">
        <f>IF(VLOOKUP($D469,$C$5:$AJ$596,27,)=0,0,((VLOOKUP($D469,$C$5:$AJ$596,27,)/VLOOKUP($D469,$C$5:$AJ$596,4,))*$F469))</f>
        <v>0</v>
      </c>
      <c r="AD469" s="33">
        <f>IF(VLOOKUP($D469,$C$5:$AJ$596,28,)=0,0,((VLOOKUP($D469,$C$5:$AJ$596,28,)/VLOOKUP($D469,$C$5:$AJ$596,4,))*$F469))</f>
        <v>0</v>
      </c>
      <c r="AE469" s="33"/>
      <c r="AF469" s="33">
        <f>IF(VLOOKUP($D469,$C$5:$AJ$596,30,)=0,0,((VLOOKUP($D469,$C$5:$AJ$596,30,)/VLOOKUP($D469,$C$5:$AJ$596,4,))*$F469))</f>
        <v>0</v>
      </c>
      <c r="AG469" s="33"/>
      <c r="AH469" s="33">
        <f>IF(VLOOKUP($D469,$C$5:$AJ$596,32,)=0,0,((VLOOKUP($D469,$C$5:$AJ$596,32,)/VLOOKUP($D469,$C$5:$AJ$596,4,))*$F469))</f>
        <v>0</v>
      </c>
      <c r="AI469" s="33"/>
      <c r="AJ469" s="33">
        <f>IF(VLOOKUP($D469,$C$5:$AJ$596,34,)=0,0,((VLOOKUP($D469,$C$5:$AJ$596,34,)/VLOOKUP($D469,$C$5:$AJ$596,4,))*$F469))</f>
        <v>0</v>
      </c>
      <c r="AK469" s="33">
        <f>SUM(H469:AJ469)</f>
        <v>0</v>
      </c>
      <c r="AL469" s="30" t="str">
        <f>IF(ABS(AK469-F469)&lt;1,"ok","err")</f>
        <v>ok</v>
      </c>
    </row>
    <row r="470" spans="1:38" x14ac:dyDescent="0.25">
      <c r="A470" s="4"/>
      <c r="D470" s="13"/>
      <c r="E470" s="13"/>
      <c r="F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0"/>
    </row>
    <row r="471" spans="1:38" x14ac:dyDescent="0.25">
      <c r="A471" s="29" t="s">
        <v>994</v>
      </c>
      <c r="C471" s="29" t="s">
        <v>961</v>
      </c>
      <c r="D471" s="13"/>
      <c r="E471" s="13"/>
      <c r="F471" s="32">
        <f>SUM(F465:F470)</f>
        <v>17777817.799582291</v>
      </c>
      <c r="G471" s="32">
        <f>SUM(G465:G470)</f>
        <v>0</v>
      </c>
      <c r="H471" s="32">
        <f t="shared" ref="H471:M471" si="517">SUM(H465:H470)</f>
        <v>0</v>
      </c>
      <c r="I471" s="32">
        <f t="shared" si="517"/>
        <v>0</v>
      </c>
      <c r="J471" s="32">
        <f t="shared" si="517"/>
        <v>0</v>
      </c>
      <c r="K471" s="32">
        <f t="shared" si="517"/>
        <v>0</v>
      </c>
      <c r="L471" s="32">
        <f t="shared" si="517"/>
        <v>0</v>
      </c>
      <c r="M471" s="32">
        <f t="shared" si="517"/>
        <v>0</v>
      </c>
      <c r="N471" s="33"/>
      <c r="O471" s="32">
        <f>SUM(O465:O470)</f>
        <v>0</v>
      </c>
      <c r="P471" s="32">
        <f>SUM(P465:P470)</f>
        <v>0</v>
      </c>
      <c r="Q471" s="32">
        <f>SUM(Q465:Q470)</f>
        <v>0</v>
      </c>
      <c r="R471" s="33"/>
      <c r="S471" s="32">
        <f t="shared" ref="S471:AJ471" si="518">SUM(S465:S470)</f>
        <v>0</v>
      </c>
      <c r="T471" s="32">
        <f t="shared" si="518"/>
        <v>0</v>
      </c>
      <c r="U471" s="32">
        <f t="shared" si="518"/>
        <v>0</v>
      </c>
      <c r="V471" s="32">
        <f t="shared" si="518"/>
        <v>0</v>
      </c>
      <c r="W471" s="32">
        <f t="shared" si="518"/>
        <v>0</v>
      </c>
      <c r="X471" s="32">
        <f t="shared" si="518"/>
        <v>0</v>
      </c>
      <c r="Y471" s="32">
        <f t="shared" si="518"/>
        <v>0</v>
      </c>
      <c r="Z471" s="32">
        <f t="shared" si="518"/>
        <v>0</v>
      </c>
      <c r="AA471" s="32">
        <f t="shared" si="518"/>
        <v>0</v>
      </c>
      <c r="AB471" s="32">
        <f t="shared" si="518"/>
        <v>0</v>
      </c>
      <c r="AC471" s="32">
        <f t="shared" si="518"/>
        <v>0</v>
      </c>
      <c r="AD471" s="32">
        <f t="shared" si="518"/>
        <v>0</v>
      </c>
      <c r="AE471" s="32"/>
      <c r="AF471" s="32">
        <f t="shared" si="518"/>
        <v>17777817.799582291</v>
      </c>
      <c r="AG471" s="33"/>
      <c r="AH471" s="32">
        <f t="shared" si="518"/>
        <v>0</v>
      </c>
      <c r="AI471" s="33"/>
      <c r="AJ471" s="32">
        <f t="shared" si="518"/>
        <v>0</v>
      </c>
      <c r="AK471" s="33">
        <f>SUM(H471:AJ471)</f>
        <v>17777817.799582291</v>
      </c>
      <c r="AL471" s="30" t="str">
        <f>IF(ABS(AK471-F471)&lt;1,"ok","err")</f>
        <v>ok</v>
      </c>
    </row>
    <row r="472" spans="1:38" x14ac:dyDescent="0.25">
      <c r="D472" s="13"/>
      <c r="E472" s="13"/>
      <c r="F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L472" s="30"/>
    </row>
    <row r="473" spans="1:38" x14ac:dyDescent="0.25">
      <c r="A473" s="4" t="s">
        <v>290</v>
      </c>
      <c r="D473" s="13"/>
      <c r="E473" s="13"/>
      <c r="F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L473" s="30"/>
    </row>
    <row r="474" spans="1:38" x14ac:dyDescent="0.25">
      <c r="A474" s="29">
        <v>907</v>
      </c>
      <c r="B474" s="29" t="s">
        <v>450</v>
      </c>
      <c r="C474" s="29" t="s">
        <v>962</v>
      </c>
      <c r="D474" s="13" t="s">
        <v>691</v>
      </c>
      <c r="E474" s="13"/>
      <c r="F474" s="32">
        <f>'Jurisdictional Study'!F1413</f>
        <v>616104.90533865418</v>
      </c>
      <c r="H474" s="33">
        <f t="shared" ref="H474:H483" si="519">IF(VLOOKUP($D474,$C$5:$AJ$596,6,)=0,0,((VLOOKUP($D474,$C$5:$AJ$596,6,)/VLOOKUP($D474,$C$5:$AJ$596,4,))*$F474))</f>
        <v>0</v>
      </c>
      <c r="I474" s="33">
        <f t="shared" ref="I474:I483" si="520">IF(VLOOKUP($D474,$C$5:$AJ$596,7,)=0,0,((VLOOKUP($D474,$C$5:$AJ$596,7,)/VLOOKUP($D474,$C$5:$AJ$596,4,))*$F474))</f>
        <v>0</v>
      </c>
      <c r="J474" s="33">
        <f t="shared" ref="J474:J483" si="521">IF(VLOOKUP($D474,$C$5:$AJ$596,8,)=0,0,((VLOOKUP($D474,$C$5:$AJ$596,8,)/VLOOKUP($D474,$C$5:$AJ$596,4,))*$F474))</f>
        <v>0</v>
      </c>
      <c r="K474" s="33">
        <f t="shared" ref="K474:K483" si="522">IF(VLOOKUP($D474,$C$5:$AJ$596,9,)=0,0,((VLOOKUP($D474,$C$5:$AJ$596,9,)/VLOOKUP($D474,$C$5:$AJ$596,4,))*$F474))</f>
        <v>0</v>
      </c>
      <c r="L474" s="33">
        <f t="shared" ref="L474:L483" si="523">IF(VLOOKUP($D474,$C$5:$AJ$596,10,)=0,0,((VLOOKUP($D474,$C$5:$AJ$596,10,)/VLOOKUP($D474,$C$5:$AJ$596,4,))*$F474))</f>
        <v>0</v>
      </c>
      <c r="M474" s="33">
        <f t="shared" ref="M474:M483" si="524">IF(VLOOKUP($D474,$C$5:$AJ$596,11,)=0,0,((VLOOKUP($D474,$C$5:$AJ$596,11,)/VLOOKUP($D474,$C$5:$AJ$596,4,))*$F474))</f>
        <v>0</v>
      </c>
      <c r="N474" s="33"/>
      <c r="O474" s="33">
        <f t="shared" ref="O474:O483" si="525">IF(VLOOKUP($D474,$C$5:$AJ$596,13,)=0,0,((VLOOKUP($D474,$C$5:$AJ$596,13,)/VLOOKUP($D474,$C$5:$AJ$596,4,))*$F474))</f>
        <v>0</v>
      </c>
      <c r="P474" s="33">
        <f t="shared" ref="P474:P483" si="526">IF(VLOOKUP($D474,$C$5:$AJ$596,14,)=0,0,((VLOOKUP($D474,$C$5:$AJ$596,14,)/VLOOKUP($D474,$C$5:$AJ$596,4,))*$F474))</f>
        <v>0</v>
      </c>
      <c r="Q474" s="33">
        <f t="shared" ref="Q474:Q483" si="527">IF(VLOOKUP($D474,$C$5:$AJ$596,15,)=0,0,((VLOOKUP($D474,$C$5:$AJ$596,15,)/VLOOKUP($D474,$C$5:$AJ$596,4,))*$F474))</f>
        <v>0</v>
      </c>
      <c r="R474" s="33"/>
      <c r="S474" s="33">
        <f t="shared" ref="S474:S483" si="528">IF(VLOOKUP($D474,$C$5:$AJ$596,17,)=0,0,((VLOOKUP($D474,$C$5:$AJ$596,17,)/VLOOKUP($D474,$C$5:$AJ$596,4,))*$F474))</f>
        <v>0</v>
      </c>
      <c r="T474" s="33">
        <f t="shared" ref="T474:T483" si="529">IF(VLOOKUP($D474,$C$5:$AJ$596,18,)=0,0,((VLOOKUP($D474,$C$5:$AJ$596,18,)/VLOOKUP($D474,$C$5:$AJ$596,4,))*$F474))</f>
        <v>0</v>
      </c>
      <c r="U474" s="33">
        <f t="shared" ref="U474:U483" si="530">IF(VLOOKUP($D474,$C$5:$AJ$596,19,)=0,0,((VLOOKUP($D474,$C$5:$AJ$596,19,)/VLOOKUP($D474,$C$5:$AJ$596,4,))*$F474))</f>
        <v>0</v>
      </c>
      <c r="V474" s="33">
        <f t="shared" ref="V474:V483" si="531">IF(VLOOKUP($D474,$C$5:$AJ$596,20,)=0,0,((VLOOKUP($D474,$C$5:$AJ$596,20,)/VLOOKUP($D474,$C$5:$AJ$596,4,))*$F474))</f>
        <v>0</v>
      </c>
      <c r="W474" s="33">
        <f t="shared" ref="W474:W483" si="532">IF(VLOOKUP($D474,$C$5:$AJ$596,21,)=0,0,((VLOOKUP($D474,$C$5:$AJ$596,21,)/VLOOKUP($D474,$C$5:$AJ$596,4,))*$F474))</f>
        <v>0</v>
      </c>
      <c r="X474" s="33">
        <f t="shared" ref="X474:X483" si="533">IF(VLOOKUP($D474,$C$5:$AJ$596,22,)=0,0,((VLOOKUP($D474,$C$5:$AJ$596,22,)/VLOOKUP($D474,$C$5:$AJ$596,4,))*$F474))</f>
        <v>0</v>
      </c>
      <c r="Y474" s="33">
        <f t="shared" ref="Y474:Y483" si="534">IF(VLOOKUP($D474,$C$5:$AJ$596,23,)=0,0,((VLOOKUP($D474,$C$5:$AJ$596,23,)/VLOOKUP($D474,$C$5:$AJ$596,4,))*$F474))</f>
        <v>0</v>
      </c>
      <c r="Z474" s="33">
        <f t="shared" ref="Z474:Z483" si="535">IF(VLOOKUP($D474,$C$5:$AJ$596,24,)=0,0,((VLOOKUP($D474,$C$5:$AJ$596,24,)/VLOOKUP($D474,$C$5:$AJ$596,4,))*$F474))</f>
        <v>0</v>
      </c>
      <c r="AA474" s="33">
        <f t="shared" ref="AA474:AA483" si="536">IF(VLOOKUP($D474,$C$5:$AJ$596,25,)=0,0,((VLOOKUP($D474,$C$5:$AJ$596,25,)/VLOOKUP($D474,$C$5:$AJ$596,4,))*$F474))</f>
        <v>0</v>
      </c>
      <c r="AB474" s="33">
        <f t="shared" ref="AB474:AB483" si="537">IF(VLOOKUP($D474,$C$5:$AJ$596,26,)=0,0,((VLOOKUP($D474,$C$5:$AJ$596,26,)/VLOOKUP($D474,$C$5:$AJ$596,4,))*$F474))</f>
        <v>0</v>
      </c>
      <c r="AC474" s="33">
        <f t="shared" ref="AC474:AC483" si="538">IF(VLOOKUP($D474,$C$5:$AJ$596,27,)=0,0,((VLOOKUP($D474,$C$5:$AJ$596,27,)/VLOOKUP($D474,$C$5:$AJ$596,4,))*$F474))</f>
        <v>0</v>
      </c>
      <c r="AD474" s="33">
        <f t="shared" ref="AD474:AD483" si="539">IF(VLOOKUP($D474,$C$5:$AJ$596,28,)=0,0,((VLOOKUP($D474,$C$5:$AJ$596,28,)/VLOOKUP($D474,$C$5:$AJ$596,4,))*$F474))</f>
        <v>0</v>
      </c>
      <c r="AE474" s="33"/>
      <c r="AF474" s="33">
        <f t="shared" ref="AF474:AF483" si="540">IF(VLOOKUP($D474,$C$5:$AJ$596,30,)=0,0,((VLOOKUP($D474,$C$5:$AJ$596,30,)/VLOOKUP($D474,$C$5:$AJ$596,4,))*$F474))</f>
        <v>0</v>
      </c>
      <c r="AG474" s="33"/>
      <c r="AH474" s="33">
        <f t="shared" ref="AH474:AH483" si="541">IF(VLOOKUP($D474,$C$5:$AJ$596,32,)=0,0,((VLOOKUP($D474,$C$5:$AJ$596,32,)/VLOOKUP($D474,$C$5:$AJ$596,4,))*$F474))</f>
        <v>616104.90533865418</v>
      </c>
      <c r="AI474" s="33"/>
      <c r="AJ474" s="33">
        <f t="shared" ref="AJ474:AJ483" si="542">IF(VLOOKUP($D474,$C$5:$AJ$596,34,)=0,0,((VLOOKUP($D474,$C$5:$AJ$596,34,)/VLOOKUP($D474,$C$5:$AJ$596,4,))*$F474))</f>
        <v>0</v>
      </c>
      <c r="AK474" s="33">
        <f t="shared" ref="AK474:AK483" si="543">SUM(H474:AJ474)</f>
        <v>616104.90533865418</v>
      </c>
      <c r="AL474" s="30" t="str">
        <f t="shared" ref="AL474:AL483" si="544">IF(ABS(AK474-F474)&lt;1,"ok","err")</f>
        <v>ok</v>
      </c>
    </row>
    <row r="475" spans="1:38" x14ac:dyDescent="0.25">
      <c r="A475" s="29">
        <v>908</v>
      </c>
      <c r="B475" s="29" t="s">
        <v>1140</v>
      </c>
      <c r="C475" s="29" t="s">
        <v>963</v>
      </c>
      <c r="D475" s="13" t="s">
        <v>691</v>
      </c>
      <c r="E475" s="13"/>
      <c r="F475" s="33">
        <f>'Jurisdictional Study'!F1414</f>
        <v>1063477.0914191897</v>
      </c>
      <c r="H475" s="33">
        <f t="shared" si="519"/>
        <v>0</v>
      </c>
      <c r="I475" s="33">
        <f t="shared" si="520"/>
        <v>0</v>
      </c>
      <c r="J475" s="33">
        <f t="shared" si="521"/>
        <v>0</v>
      </c>
      <c r="K475" s="33">
        <f t="shared" si="522"/>
        <v>0</v>
      </c>
      <c r="L475" s="33">
        <f t="shared" si="523"/>
        <v>0</v>
      </c>
      <c r="M475" s="33">
        <f t="shared" si="524"/>
        <v>0</v>
      </c>
      <c r="N475" s="33"/>
      <c r="O475" s="33">
        <f t="shared" si="525"/>
        <v>0</v>
      </c>
      <c r="P475" s="33">
        <f t="shared" si="526"/>
        <v>0</v>
      </c>
      <c r="Q475" s="33">
        <f t="shared" si="527"/>
        <v>0</v>
      </c>
      <c r="R475" s="33"/>
      <c r="S475" s="33">
        <f t="shared" si="528"/>
        <v>0</v>
      </c>
      <c r="T475" s="33">
        <f t="shared" si="529"/>
        <v>0</v>
      </c>
      <c r="U475" s="33">
        <f t="shared" si="530"/>
        <v>0</v>
      </c>
      <c r="V475" s="33">
        <f t="shared" si="531"/>
        <v>0</v>
      </c>
      <c r="W475" s="33">
        <f t="shared" si="532"/>
        <v>0</v>
      </c>
      <c r="X475" s="33">
        <f t="shared" si="533"/>
        <v>0</v>
      </c>
      <c r="Y475" s="33">
        <f t="shared" si="534"/>
        <v>0</v>
      </c>
      <c r="Z475" s="33">
        <f t="shared" si="535"/>
        <v>0</v>
      </c>
      <c r="AA475" s="33">
        <f t="shared" si="536"/>
        <v>0</v>
      </c>
      <c r="AB475" s="33">
        <f t="shared" si="537"/>
        <v>0</v>
      </c>
      <c r="AC475" s="33">
        <f t="shared" si="538"/>
        <v>0</v>
      </c>
      <c r="AD475" s="33">
        <f t="shared" si="539"/>
        <v>0</v>
      </c>
      <c r="AE475" s="33"/>
      <c r="AF475" s="33">
        <f t="shared" si="540"/>
        <v>0</v>
      </c>
      <c r="AG475" s="33"/>
      <c r="AH475" s="33">
        <f t="shared" si="541"/>
        <v>1063477.0914191897</v>
      </c>
      <c r="AI475" s="33"/>
      <c r="AJ475" s="33">
        <f t="shared" si="542"/>
        <v>0</v>
      </c>
      <c r="AK475" s="33">
        <f t="shared" si="543"/>
        <v>1063477.0914191897</v>
      </c>
      <c r="AL475" s="30" t="str">
        <f t="shared" si="544"/>
        <v>ok</v>
      </c>
    </row>
    <row r="476" spans="1:38" x14ac:dyDescent="0.25">
      <c r="A476" s="29">
        <v>908</v>
      </c>
      <c r="B476" s="29" t="s">
        <v>1276</v>
      </c>
      <c r="C476" s="29" t="s">
        <v>964</v>
      </c>
      <c r="D476" s="13" t="s">
        <v>691</v>
      </c>
      <c r="E476" s="13"/>
      <c r="F476" s="33">
        <v>0</v>
      </c>
      <c r="H476" s="33">
        <f t="shared" si="519"/>
        <v>0</v>
      </c>
      <c r="I476" s="33">
        <f t="shared" si="520"/>
        <v>0</v>
      </c>
      <c r="J476" s="33">
        <f t="shared" si="521"/>
        <v>0</v>
      </c>
      <c r="K476" s="33">
        <f t="shared" si="522"/>
        <v>0</v>
      </c>
      <c r="L476" s="33">
        <f t="shared" si="523"/>
        <v>0</v>
      </c>
      <c r="M476" s="33">
        <f t="shared" si="524"/>
        <v>0</v>
      </c>
      <c r="N476" s="33"/>
      <c r="O476" s="33">
        <f t="shared" si="525"/>
        <v>0</v>
      </c>
      <c r="P476" s="33">
        <f t="shared" si="526"/>
        <v>0</v>
      </c>
      <c r="Q476" s="33">
        <f t="shared" si="527"/>
        <v>0</v>
      </c>
      <c r="R476" s="33"/>
      <c r="S476" s="33">
        <f t="shared" si="528"/>
        <v>0</v>
      </c>
      <c r="T476" s="33">
        <f t="shared" si="529"/>
        <v>0</v>
      </c>
      <c r="U476" s="33">
        <f t="shared" si="530"/>
        <v>0</v>
      </c>
      <c r="V476" s="33">
        <f t="shared" si="531"/>
        <v>0</v>
      </c>
      <c r="W476" s="33">
        <f t="shared" si="532"/>
        <v>0</v>
      </c>
      <c r="X476" s="33">
        <f t="shared" si="533"/>
        <v>0</v>
      </c>
      <c r="Y476" s="33">
        <f t="shared" si="534"/>
        <v>0</v>
      </c>
      <c r="Z476" s="33">
        <f t="shared" si="535"/>
        <v>0</v>
      </c>
      <c r="AA476" s="33">
        <f t="shared" si="536"/>
        <v>0</v>
      </c>
      <c r="AB476" s="33">
        <f t="shared" si="537"/>
        <v>0</v>
      </c>
      <c r="AC476" s="33">
        <f t="shared" si="538"/>
        <v>0</v>
      </c>
      <c r="AD476" s="33">
        <f t="shared" si="539"/>
        <v>0</v>
      </c>
      <c r="AE476" s="33"/>
      <c r="AF476" s="33">
        <f t="shared" si="540"/>
        <v>0</v>
      </c>
      <c r="AG476" s="33"/>
      <c r="AH476" s="33">
        <f t="shared" si="541"/>
        <v>0</v>
      </c>
      <c r="AI476" s="33"/>
      <c r="AJ476" s="33">
        <f t="shared" si="542"/>
        <v>0</v>
      </c>
      <c r="AK476" s="33">
        <f t="shared" si="543"/>
        <v>0</v>
      </c>
      <c r="AL476" s="30" t="str">
        <f t="shared" si="544"/>
        <v>ok</v>
      </c>
    </row>
    <row r="477" spans="1:38" x14ac:dyDescent="0.25">
      <c r="A477" s="29">
        <v>909</v>
      </c>
      <c r="B477" s="29" t="s">
        <v>1142</v>
      </c>
      <c r="C477" s="29" t="s">
        <v>965</v>
      </c>
      <c r="D477" s="13" t="s">
        <v>691</v>
      </c>
      <c r="E477" s="13"/>
      <c r="F477" s="33">
        <f>'Jurisdictional Study'!F1415</f>
        <v>0</v>
      </c>
      <c r="H477" s="33">
        <f t="shared" si="519"/>
        <v>0</v>
      </c>
      <c r="I477" s="33">
        <f t="shared" si="520"/>
        <v>0</v>
      </c>
      <c r="J477" s="33">
        <f t="shared" si="521"/>
        <v>0</v>
      </c>
      <c r="K477" s="33">
        <f t="shared" si="522"/>
        <v>0</v>
      </c>
      <c r="L477" s="33">
        <f t="shared" si="523"/>
        <v>0</v>
      </c>
      <c r="M477" s="33">
        <f t="shared" si="524"/>
        <v>0</v>
      </c>
      <c r="N477" s="33"/>
      <c r="O477" s="33">
        <f t="shared" si="525"/>
        <v>0</v>
      </c>
      <c r="P477" s="33">
        <f t="shared" si="526"/>
        <v>0</v>
      </c>
      <c r="Q477" s="33">
        <f t="shared" si="527"/>
        <v>0</v>
      </c>
      <c r="R477" s="33"/>
      <c r="S477" s="33">
        <f t="shared" si="528"/>
        <v>0</v>
      </c>
      <c r="T477" s="33">
        <f t="shared" si="529"/>
        <v>0</v>
      </c>
      <c r="U477" s="33">
        <f t="shared" si="530"/>
        <v>0</v>
      </c>
      <c r="V477" s="33">
        <f t="shared" si="531"/>
        <v>0</v>
      </c>
      <c r="W477" s="33">
        <f t="shared" si="532"/>
        <v>0</v>
      </c>
      <c r="X477" s="33">
        <f t="shared" si="533"/>
        <v>0</v>
      </c>
      <c r="Y477" s="33">
        <f t="shared" si="534"/>
        <v>0</v>
      </c>
      <c r="Z477" s="33">
        <f t="shared" si="535"/>
        <v>0</v>
      </c>
      <c r="AA477" s="33">
        <f t="shared" si="536"/>
        <v>0</v>
      </c>
      <c r="AB477" s="33">
        <f t="shared" si="537"/>
        <v>0</v>
      </c>
      <c r="AC477" s="33">
        <f t="shared" si="538"/>
        <v>0</v>
      </c>
      <c r="AD477" s="33">
        <f t="shared" si="539"/>
        <v>0</v>
      </c>
      <c r="AE477" s="33"/>
      <c r="AF477" s="33">
        <f t="shared" si="540"/>
        <v>0</v>
      </c>
      <c r="AG477" s="33"/>
      <c r="AH477" s="33">
        <f t="shared" si="541"/>
        <v>0</v>
      </c>
      <c r="AI477" s="33"/>
      <c r="AJ477" s="33">
        <f t="shared" si="542"/>
        <v>0</v>
      </c>
      <c r="AK477" s="33">
        <f t="shared" si="543"/>
        <v>0</v>
      </c>
      <c r="AL477" s="30" t="str">
        <f t="shared" si="544"/>
        <v>ok</v>
      </c>
    </row>
    <row r="478" spans="1:38" x14ac:dyDescent="0.25">
      <c r="A478" s="29">
        <v>909</v>
      </c>
      <c r="B478" s="29" t="s">
        <v>1278</v>
      </c>
      <c r="C478" s="29" t="s">
        <v>966</v>
      </c>
      <c r="D478" s="13" t="s">
        <v>691</v>
      </c>
      <c r="E478" s="13"/>
      <c r="F478" s="33">
        <v>0</v>
      </c>
      <c r="H478" s="33">
        <f t="shared" si="519"/>
        <v>0</v>
      </c>
      <c r="I478" s="33">
        <f t="shared" si="520"/>
        <v>0</v>
      </c>
      <c r="J478" s="33">
        <f t="shared" si="521"/>
        <v>0</v>
      </c>
      <c r="K478" s="33">
        <f t="shared" si="522"/>
        <v>0</v>
      </c>
      <c r="L478" s="33">
        <f t="shared" si="523"/>
        <v>0</v>
      </c>
      <c r="M478" s="33">
        <f t="shared" si="524"/>
        <v>0</v>
      </c>
      <c r="N478" s="33"/>
      <c r="O478" s="33">
        <f t="shared" si="525"/>
        <v>0</v>
      </c>
      <c r="P478" s="33">
        <f t="shared" si="526"/>
        <v>0</v>
      </c>
      <c r="Q478" s="33">
        <f t="shared" si="527"/>
        <v>0</v>
      </c>
      <c r="R478" s="33"/>
      <c r="S478" s="33">
        <f t="shared" si="528"/>
        <v>0</v>
      </c>
      <c r="T478" s="33">
        <f t="shared" si="529"/>
        <v>0</v>
      </c>
      <c r="U478" s="33">
        <f t="shared" si="530"/>
        <v>0</v>
      </c>
      <c r="V478" s="33">
        <f t="shared" si="531"/>
        <v>0</v>
      </c>
      <c r="W478" s="33">
        <f t="shared" si="532"/>
        <v>0</v>
      </c>
      <c r="X478" s="33">
        <f t="shared" si="533"/>
        <v>0</v>
      </c>
      <c r="Y478" s="33">
        <f t="shared" si="534"/>
        <v>0</v>
      </c>
      <c r="Z478" s="33">
        <f t="shared" si="535"/>
        <v>0</v>
      </c>
      <c r="AA478" s="33">
        <f t="shared" si="536"/>
        <v>0</v>
      </c>
      <c r="AB478" s="33">
        <f t="shared" si="537"/>
        <v>0</v>
      </c>
      <c r="AC478" s="33">
        <f t="shared" si="538"/>
        <v>0</v>
      </c>
      <c r="AD478" s="33">
        <f t="shared" si="539"/>
        <v>0</v>
      </c>
      <c r="AE478" s="33"/>
      <c r="AF478" s="33">
        <f t="shared" si="540"/>
        <v>0</v>
      </c>
      <c r="AG478" s="33"/>
      <c r="AH478" s="33">
        <f t="shared" si="541"/>
        <v>0</v>
      </c>
      <c r="AI478" s="33"/>
      <c r="AJ478" s="33">
        <f t="shared" si="542"/>
        <v>0</v>
      </c>
      <c r="AK478" s="33">
        <f t="shared" si="543"/>
        <v>0</v>
      </c>
      <c r="AL478" s="30" t="str">
        <f t="shared" si="544"/>
        <v>ok</v>
      </c>
    </row>
    <row r="479" spans="1:38" x14ac:dyDescent="0.25">
      <c r="A479" s="29">
        <v>910</v>
      </c>
      <c r="B479" s="29" t="s">
        <v>1144</v>
      </c>
      <c r="C479" s="29" t="s">
        <v>967</v>
      </c>
      <c r="D479" s="13" t="s">
        <v>691</v>
      </c>
      <c r="E479" s="13"/>
      <c r="F479" s="33">
        <f>'Jurisdictional Study'!F1416</f>
        <v>0</v>
      </c>
      <c r="H479" s="33">
        <f t="shared" si="519"/>
        <v>0</v>
      </c>
      <c r="I479" s="33">
        <f t="shared" si="520"/>
        <v>0</v>
      </c>
      <c r="J479" s="33">
        <f t="shared" si="521"/>
        <v>0</v>
      </c>
      <c r="K479" s="33">
        <f t="shared" si="522"/>
        <v>0</v>
      </c>
      <c r="L479" s="33">
        <f t="shared" si="523"/>
        <v>0</v>
      </c>
      <c r="M479" s="33">
        <f t="shared" si="524"/>
        <v>0</v>
      </c>
      <c r="N479" s="33"/>
      <c r="O479" s="33">
        <f t="shared" si="525"/>
        <v>0</v>
      </c>
      <c r="P479" s="33">
        <f t="shared" si="526"/>
        <v>0</v>
      </c>
      <c r="Q479" s="33">
        <f t="shared" si="527"/>
        <v>0</v>
      </c>
      <c r="R479" s="33"/>
      <c r="S479" s="33">
        <f t="shared" si="528"/>
        <v>0</v>
      </c>
      <c r="T479" s="33">
        <f t="shared" si="529"/>
        <v>0</v>
      </c>
      <c r="U479" s="33">
        <f t="shared" si="530"/>
        <v>0</v>
      </c>
      <c r="V479" s="33">
        <f t="shared" si="531"/>
        <v>0</v>
      </c>
      <c r="W479" s="33">
        <f t="shared" si="532"/>
        <v>0</v>
      </c>
      <c r="X479" s="33">
        <f t="shared" si="533"/>
        <v>0</v>
      </c>
      <c r="Y479" s="33">
        <f t="shared" si="534"/>
        <v>0</v>
      </c>
      <c r="Z479" s="33">
        <f t="shared" si="535"/>
        <v>0</v>
      </c>
      <c r="AA479" s="33">
        <f t="shared" si="536"/>
        <v>0</v>
      </c>
      <c r="AB479" s="33">
        <f t="shared" si="537"/>
        <v>0</v>
      </c>
      <c r="AC479" s="33">
        <f t="shared" si="538"/>
        <v>0</v>
      </c>
      <c r="AD479" s="33">
        <f t="shared" si="539"/>
        <v>0</v>
      </c>
      <c r="AE479" s="33"/>
      <c r="AF479" s="33">
        <f t="shared" si="540"/>
        <v>0</v>
      </c>
      <c r="AG479" s="33"/>
      <c r="AH479" s="33">
        <f t="shared" si="541"/>
        <v>0</v>
      </c>
      <c r="AI479" s="33"/>
      <c r="AJ479" s="33">
        <f t="shared" si="542"/>
        <v>0</v>
      </c>
      <c r="AK479" s="33">
        <f t="shared" si="543"/>
        <v>0</v>
      </c>
      <c r="AL479" s="30" t="str">
        <f t="shared" si="544"/>
        <v>ok</v>
      </c>
    </row>
    <row r="480" spans="1:38" x14ac:dyDescent="0.25">
      <c r="A480" s="29">
        <v>911</v>
      </c>
      <c r="B480" s="29" t="s">
        <v>813</v>
      </c>
      <c r="C480" s="29" t="s">
        <v>897</v>
      </c>
      <c r="D480" s="113" t="s">
        <v>691</v>
      </c>
      <c r="E480" s="13"/>
      <c r="F480" s="33">
        <f>'Jurisdictional Study'!F1417</f>
        <v>0</v>
      </c>
      <c r="H480" s="33">
        <f t="shared" si="519"/>
        <v>0</v>
      </c>
      <c r="I480" s="33">
        <f t="shared" si="520"/>
        <v>0</v>
      </c>
      <c r="J480" s="33">
        <f t="shared" si="521"/>
        <v>0</v>
      </c>
      <c r="K480" s="33">
        <f t="shared" si="522"/>
        <v>0</v>
      </c>
      <c r="L480" s="33">
        <f t="shared" si="523"/>
        <v>0</v>
      </c>
      <c r="M480" s="33">
        <f t="shared" si="524"/>
        <v>0</v>
      </c>
      <c r="N480" s="33"/>
      <c r="O480" s="33">
        <f t="shared" si="525"/>
        <v>0</v>
      </c>
      <c r="P480" s="33">
        <f t="shared" si="526"/>
        <v>0</v>
      </c>
      <c r="Q480" s="33">
        <f t="shared" si="527"/>
        <v>0</v>
      </c>
      <c r="R480" s="33"/>
      <c r="S480" s="33">
        <f t="shared" si="528"/>
        <v>0</v>
      </c>
      <c r="T480" s="33">
        <f t="shared" si="529"/>
        <v>0</v>
      </c>
      <c r="U480" s="33">
        <f t="shared" si="530"/>
        <v>0</v>
      </c>
      <c r="V480" s="33">
        <f t="shared" si="531"/>
        <v>0</v>
      </c>
      <c r="W480" s="33">
        <f t="shared" si="532"/>
        <v>0</v>
      </c>
      <c r="X480" s="33">
        <f t="shared" si="533"/>
        <v>0</v>
      </c>
      <c r="Y480" s="33">
        <f t="shared" si="534"/>
        <v>0</v>
      </c>
      <c r="Z480" s="33">
        <f t="shared" si="535"/>
        <v>0</v>
      </c>
      <c r="AA480" s="33">
        <f t="shared" si="536"/>
        <v>0</v>
      </c>
      <c r="AB480" s="33">
        <f t="shared" si="537"/>
        <v>0</v>
      </c>
      <c r="AC480" s="33">
        <f t="shared" si="538"/>
        <v>0</v>
      </c>
      <c r="AD480" s="33">
        <f t="shared" si="539"/>
        <v>0</v>
      </c>
      <c r="AE480" s="33"/>
      <c r="AF480" s="33">
        <f t="shared" si="540"/>
        <v>0</v>
      </c>
      <c r="AG480" s="33"/>
      <c r="AH480" s="33">
        <f t="shared" si="541"/>
        <v>0</v>
      </c>
      <c r="AI480" s="33"/>
      <c r="AJ480" s="33">
        <f t="shared" si="542"/>
        <v>0</v>
      </c>
      <c r="AK480" s="33">
        <f t="shared" si="543"/>
        <v>0</v>
      </c>
      <c r="AL480" s="30" t="str">
        <f t="shared" si="544"/>
        <v>ok</v>
      </c>
    </row>
    <row r="481" spans="1:38" x14ac:dyDescent="0.25">
      <c r="A481" s="29">
        <v>912</v>
      </c>
      <c r="B481" s="29" t="s">
        <v>813</v>
      </c>
      <c r="C481" s="29" t="s">
        <v>816</v>
      </c>
      <c r="D481" s="113" t="s">
        <v>691</v>
      </c>
      <c r="E481" s="13"/>
      <c r="F481" s="33">
        <f>'Jurisdictional Study'!F1418</f>
        <v>0</v>
      </c>
      <c r="H481" s="33">
        <f t="shared" si="519"/>
        <v>0</v>
      </c>
      <c r="I481" s="33">
        <f t="shared" si="520"/>
        <v>0</v>
      </c>
      <c r="J481" s="33">
        <f t="shared" si="521"/>
        <v>0</v>
      </c>
      <c r="K481" s="33">
        <f t="shared" si="522"/>
        <v>0</v>
      </c>
      <c r="L481" s="33">
        <f t="shared" si="523"/>
        <v>0</v>
      </c>
      <c r="M481" s="33">
        <f t="shared" si="524"/>
        <v>0</v>
      </c>
      <c r="N481" s="33"/>
      <c r="O481" s="33">
        <f t="shared" si="525"/>
        <v>0</v>
      </c>
      <c r="P481" s="33">
        <f t="shared" si="526"/>
        <v>0</v>
      </c>
      <c r="Q481" s="33">
        <f t="shared" si="527"/>
        <v>0</v>
      </c>
      <c r="R481" s="33"/>
      <c r="S481" s="33">
        <f t="shared" si="528"/>
        <v>0</v>
      </c>
      <c r="T481" s="33">
        <f t="shared" si="529"/>
        <v>0</v>
      </c>
      <c r="U481" s="33">
        <f t="shared" si="530"/>
        <v>0</v>
      </c>
      <c r="V481" s="33">
        <f t="shared" si="531"/>
        <v>0</v>
      </c>
      <c r="W481" s="33">
        <f t="shared" si="532"/>
        <v>0</v>
      </c>
      <c r="X481" s="33">
        <f t="shared" si="533"/>
        <v>0</v>
      </c>
      <c r="Y481" s="33">
        <f t="shared" si="534"/>
        <v>0</v>
      </c>
      <c r="Z481" s="33">
        <f t="shared" si="535"/>
        <v>0</v>
      </c>
      <c r="AA481" s="33">
        <f t="shared" si="536"/>
        <v>0</v>
      </c>
      <c r="AB481" s="33">
        <f t="shared" si="537"/>
        <v>0</v>
      </c>
      <c r="AC481" s="33">
        <f t="shared" si="538"/>
        <v>0</v>
      </c>
      <c r="AD481" s="33">
        <f t="shared" si="539"/>
        <v>0</v>
      </c>
      <c r="AE481" s="33"/>
      <c r="AF481" s="33">
        <f t="shared" si="540"/>
        <v>0</v>
      </c>
      <c r="AG481" s="33"/>
      <c r="AH481" s="33">
        <f t="shared" si="541"/>
        <v>0</v>
      </c>
      <c r="AI481" s="33"/>
      <c r="AJ481" s="33">
        <f t="shared" si="542"/>
        <v>0</v>
      </c>
      <c r="AK481" s="33">
        <f t="shared" si="543"/>
        <v>0</v>
      </c>
      <c r="AL481" s="30" t="str">
        <f t="shared" si="544"/>
        <v>ok</v>
      </c>
    </row>
    <row r="482" spans="1:38" x14ac:dyDescent="0.25">
      <c r="A482" s="29">
        <v>913</v>
      </c>
      <c r="B482" s="29" t="s">
        <v>486</v>
      </c>
      <c r="C482" s="29" t="s">
        <v>817</v>
      </c>
      <c r="D482" s="113" t="s">
        <v>691</v>
      </c>
      <c r="E482" s="13"/>
      <c r="F482" s="33">
        <f>'Jurisdictional Study'!F1419</f>
        <v>0</v>
      </c>
      <c r="H482" s="33">
        <f t="shared" si="519"/>
        <v>0</v>
      </c>
      <c r="I482" s="33">
        <f t="shared" si="520"/>
        <v>0</v>
      </c>
      <c r="J482" s="33">
        <f t="shared" si="521"/>
        <v>0</v>
      </c>
      <c r="K482" s="33">
        <f t="shared" si="522"/>
        <v>0</v>
      </c>
      <c r="L482" s="33">
        <f t="shared" si="523"/>
        <v>0</v>
      </c>
      <c r="M482" s="33">
        <f t="shared" si="524"/>
        <v>0</v>
      </c>
      <c r="N482" s="33"/>
      <c r="O482" s="33">
        <f t="shared" si="525"/>
        <v>0</v>
      </c>
      <c r="P482" s="33">
        <f t="shared" si="526"/>
        <v>0</v>
      </c>
      <c r="Q482" s="33">
        <f t="shared" si="527"/>
        <v>0</v>
      </c>
      <c r="R482" s="33"/>
      <c r="S482" s="33">
        <f t="shared" si="528"/>
        <v>0</v>
      </c>
      <c r="T482" s="33">
        <f t="shared" si="529"/>
        <v>0</v>
      </c>
      <c r="U482" s="33">
        <f t="shared" si="530"/>
        <v>0</v>
      </c>
      <c r="V482" s="33">
        <f t="shared" si="531"/>
        <v>0</v>
      </c>
      <c r="W482" s="33">
        <f t="shared" si="532"/>
        <v>0</v>
      </c>
      <c r="X482" s="33">
        <f t="shared" si="533"/>
        <v>0</v>
      </c>
      <c r="Y482" s="33">
        <f t="shared" si="534"/>
        <v>0</v>
      </c>
      <c r="Z482" s="33">
        <f t="shared" si="535"/>
        <v>0</v>
      </c>
      <c r="AA482" s="33">
        <f t="shared" si="536"/>
        <v>0</v>
      </c>
      <c r="AB482" s="33">
        <f t="shared" si="537"/>
        <v>0</v>
      </c>
      <c r="AC482" s="33">
        <f t="shared" si="538"/>
        <v>0</v>
      </c>
      <c r="AD482" s="33">
        <f t="shared" si="539"/>
        <v>0</v>
      </c>
      <c r="AE482" s="33"/>
      <c r="AF482" s="33">
        <f t="shared" si="540"/>
        <v>0</v>
      </c>
      <c r="AG482" s="33"/>
      <c r="AH482" s="33">
        <f t="shared" si="541"/>
        <v>0</v>
      </c>
      <c r="AI482" s="33"/>
      <c r="AJ482" s="33">
        <f t="shared" si="542"/>
        <v>0</v>
      </c>
      <c r="AK482" s="33">
        <f t="shared" si="543"/>
        <v>0</v>
      </c>
      <c r="AL482" s="30" t="str">
        <f t="shared" si="544"/>
        <v>ok</v>
      </c>
    </row>
    <row r="483" spans="1:38" x14ac:dyDescent="0.25">
      <c r="A483" s="29">
        <v>916</v>
      </c>
      <c r="B483" s="29" t="s">
        <v>823</v>
      </c>
      <c r="C483" s="29" t="s">
        <v>825</v>
      </c>
      <c r="D483" s="113" t="s">
        <v>691</v>
      </c>
      <c r="E483" s="13"/>
      <c r="F483" s="33">
        <f>'Jurisdictional Study'!F1420</f>
        <v>0</v>
      </c>
      <c r="H483" s="33">
        <f t="shared" si="519"/>
        <v>0</v>
      </c>
      <c r="I483" s="33">
        <f t="shared" si="520"/>
        <v>0</v>
      </c>
      <c r="J483" s="33">
        <f t="shared" si="521"/>
        <v>0</v>
      </c>
      <c r="K483" s="33">
        <f t="shared" si="522"/>
        <v>0</v>
      </c>
      <c r="L483" s="33">
        <f t="shared" si="523"/>
        <v>0</v>
      </c>
      <c r="M483" s="33">
        <f t="shared" si="524"/>
        <v>0</v>
      </c>
      <c r="N483" s="33"/>
      <c r="O483" s="33">
        <f t="shared" si="525"/>
        <v>0</v>
      </c>
      <c r="P483" s="33">
        <f t="shared" si="526"/>
        <v>0</v>
      </c>
      <c r="Q483" s="33">
        <f t="shared" si="527"/>
        <v>0</v>
      </c>
      <c r="R483" s="33"/>
      <c r="S483" s="33">
        <f t="shared" si="528"/>
        <v>0</v>
      </c>
      <c r="T483" s="33">
        <f t="shared" si="529"/>
        <v>0</v>
      </c>
      <c r="U483" s="33">
        <f t="shared" si="530"/>
        <v>0</v>
      </c>
      <c r="V483" s="33">
        <f t="shared" si="531"/>
        <v>0</v>
      </c>
      <c r="W483" s="33">
        <f t="shared" si="532"/>
        <v>0</v>
      </c>
      <c r="X483" s="33">
        <f t="shared" si="533"/>
        <v>0</v>
      </c>
      <c r="Y483" s="33">
        <f t="shared" si="534"/>
        <v>0</v>
      </c>
      <c r="Z483" s="33">
        <f t="shared" si="535"/>
        <v>0</v>
      </c>
      <c r="AA483" s="33">
        <f t="shared" si="536"/>
        <v>0</v>
      </c>
      <c r="AB483" s="33">
        <f t="shared" si="537"/>
        <v>0</v>
      </c>
      <c r="AC483" s="33">
        <f t="shared" si="538"/>
        <v>0</v>
      </c>
      <c r="AD483" s="33">
        <f t="shared" si="539"/>
        <v>0</v>
      </c>
      <c r="AE483" s="33"/>
      <c r="AF483" s="33">
        <f t="shared" si="540"/>
        <v>0</v>
      </c>
      <c r="AG483" s="33"/>
      <c r="AH483" s="33">
        <f t="shared" si="541"/>
        <v>0</v>
      </c>
      <c r="AI483" s="33"/>
      <c r="AJ483" s="33">
        <f t="shared" si="542"/>
        <v>0</v>
      </c>
      <c r="AK483" s="33">
        <f t="shared" si="543"/>
        <v>0</v>
      </c>
      <c r="AL483" s="30" t="str">
        <f t="shared" si="544"/>
        <v>ok</v>
      </c>
    </row>
    <row r="484" spans="1:38" x14ac:dyDescent="0.25">
      <c r="D484" s="113"/>
      <c r="E484" s="13"/>
      <c r="F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0"/>
    </row>
    <row r="485" spans="1:38" x14ac:dyDescent="0.25">
      <c r="A485" s="29" t="s">
        <v>995</v>
      </c>
      <c r="C485" s="29" t="s">
        <v>968</v>
      </c>
      <c r="D485" s="113"/>
      <c r="E485" s="13"/>
      <c r="F485" s="32">
        <f t="shared" ref="F485:M485" si="545">SUM(F474:F484)</f>
        <v>1679581.996757844</v>
      </c>
      <c r="G485" s="32">
        <f t="shared" si="545"/>
        <v>0</v>
      </c>
      <c r="H485" s="32">
        <f t="shared" si="545"/>
        <v>0</v>
      </c>
      <c r="I485" s="32">
        <f t="shared" si="545"/>
        <v>0</v>
      </c>
      <c r="J485" s="32">
        <f t="shared" si="545"/>
        <v>0</v>
      </c>
      <c r="K485" s="32">
        <f t="shared" si="545"/>
        <v>0</v>
      </c>
      <c r="L485" s="32">
        <f t="shared" si="545"/>
        <v>0</v>
      </c>
      <c r="M485" s="32">
        <f t="shared" si="545"/>
        <v>0</v>
      </c>
      <c r="N485" s="33"/>
      <c r="O485" s="32">
        <f>SUM(O474:O484)</f>
        <v>0</v>
      </c>
      <c r="P485" s="32">
        <f>SUM(P474:P484)</f>
        <v>0</v>
      </c>
      <c r="Q485" s="32">
        <f>SUM(Q474:Q484)</f>
        <v>0</v>
      </c>
      <c r="R485" s="33"/>
      <c r="S485" s="32">
        <f t="shared" ref="S485:AD485" si="546">SUM(S474:S484)</f>
        <v>0</v>
      </c>
      <c r="T485" s="32">
        <f t="shared" si="546"/>
        <v>0</v>
      </c>
      <c r="U485" s="32">
        <f t="shared" si="546"/>
        <v>0</v>
      </c>
      <c r="V485" s="32">
        <f t="shared" si="546"/>
        <v>0</v>
      </c>
      <c r="W485" s="32">
        <f t="shared" si="546"/>
        <v>0</v>
      </c>
      <c r="X485" s="32">
        <f t="shared" si="546"/>
        <v>0</v>
      </c>
      <c r="Y485" s="32">
        <f t="shared" si="546"/>
        <v>0</v>
      </c>
      <c r="Z485" s="32">
        <f t="shared" si="546"/>
        <v>0</v>
      </c>
      <c r="AA485" s="32">
        <f t="shared" si="546"/>
        <v>0</v>
      </c>
      <c r="AB485" s="32">
        <f t="shared" si="546"/>
        <v>0</v>
      </c>
      <c r="AC485" s="32">
        <f t="shared" si="546"/>
        <v>0</v>
      </c>
      <c r="AD485" s="32">
        <f t="shared" si="546"/>
        <v>0</v>
      </c>
      <c r="AE485" s="33"/>
      <c r="AF485" s="32">
        <f>SUM(AF474:AF484)</f>
        <v>0</v>
      </c>
      <c r="AG485" s="33"/>
      <c r="AH485" s="32">
        <f>SUM(AH474:AH484)</f>
        <v>1679581.996757844</v>
      </c>
      <c r="AI485" s="33"/>
      <c r="AJ485" s="32">
        <f>SUM(AJ474:AJ484)</f>
        <v>0</v>
      </c>
      <c r="AK485" s="33">
        <f>SUM(H485:AJ485)</f>
        <v>1679581.996757844</v>
      </c>
      <c r="AL485" s="30" t="str">
        <f>IF(ABS(AK485-F485)&lt;1,"ok","err")</f>
        <v>ok</v>
      </c>
    </row>
    <row r="486" spans="1:38" x14ac:dyDescent="0.25">
      <c r="D486" s="113"/>
      <c r="E486" s="13"/>
      <c r="F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L486" s="30"/>
    </row>
    <row r="487" spans="1:38" x14ac:dyDescent="0.25">
      <c r="A487" s="29" t="s">
        <v>278</v>
      </c>
      <c r="C487" s="29" t="s">
        <v>692</v>
      </c>
      <c r="D487" s="113"/>
      <c r="E487" s="13"/>
      <c r="F487" s="33">
        <f>F462+F471+F485</f>
        <v>106643821.29357767</v>
      </c>
      <c r="G487" s="33"/>
      <c r="H487" s="33">
        <f t="shared" ref="H487:M487" si="547">H462+H471+H485</f>
        <v>34676224.974877737</v>
      </c>
      <c r="I487" s="33">
        <f t="shared" si="547"/>
        <v>0</v>
      </c>
      <c r="J487" s="33">
        <f t="shared" si="547"/>
        <v>0</v>
      </c>
      <c r="K487" s="33">
        <f t="shared" si="547"/>
        <v>24169641.121045694</v>
      </c>
      <c r="L487" s="33">
        <f t="shared" si="547"/>
        <v>0</v>
      </c>
      <c r="M487" s="33">
        <f t="shared" si="547"/>
        <v>0</v>
      </c>
      <c r="N487" s="33"/>
      <c r="O487" s="33">
        <f>O462+O471+O485</f>
        <v>6711545.61591883</v>
      </c>
      <c r="P487" s="33">
        <f>P462+P471+P485</f>
        <v>0</v>
      </c>
      <c r="Q487" s="33">
        <f>Q462+Q471+Q485</f>
        <v>0</v>
      </c>
      <c r="R487" s="33"/>
      <c r="S487" s="33">
        <f t="shared" ref="S487:AD487" si="548">S462+S471+S485</f>
        <v>0</v>
      </c>
      <c r="T487" s="33">
        <f t="shared" si="548"/>
        <v>3146156.136093345</v>
      </c>
      <c r="U487" s="33">
        <f t="shared" si="548"/>
        <v>0</v>
      </c>
      <c r="V487" s="33">
        <f t="shared" si="548"/>
        <v>2573975.8295276342</v>
      </c>
      <c r="W487" s="33">
        <f t="shared" si="548"/>
        <v>4843607.0772168739</v>
      </c>
      <c r="X487" s="33">
        <f t="shared" si="548"/>
        <v>1402086.5217601354</v>
      </c>
      <c r="Y487" s="33">
        <f t="shared" si="548"/>
        <v>2597334.2120753122</v>
      </c>
      <c r="Z487" s="33">
        <f t="shared" si="548"/>
        <v>1899292.8809153934</v>
      </c>
      <c r="AA487" s="33">
        <f t="shared" si="548"/>
        <v>1647165.4384447762</v>
      </c>
      <c r="AB487" s="33">
        <f t="shared" si="548"/>
        <v>1219722.645408215</v>
      </c>
      <c r="AC487" s="33">
        <f t="shared" si="548"/>
        <v>871532.2159938066</v>
      </c>
      <c r="AD487" s="33">
        <f t="shared" si="548"/>
        <v>1428136.8279597762</v>
      </c>
      <c r="AE487" s="33"/>
      <c r="AF487" s="33">
        <f>AF462+AF471+AF485</f>
        <v>17777817.799582291</v>
      </c>
      <c r="AG487" s="33"/>
      <c r="AH487" s="33">
        <f>AH462+AH471+AH485</f>
        <v>1679581.996757844</v>
      </c>
      <c r="AI487" s="33"/>
      <c r="AJ487" s="33">
        <f>AJ462+AJ471+AJ485</f>
        <v>0</v>
      </c>
      <c r="AK487" s="33">
        <f>SUM(H487:AJ487)</f>
        <v>106643821.29357766</v>
      </c>
      <c r="AL487" s="30" t="str">
        <f>IF(ABS(AK487-F487)&lt;1,"ok","err")</f>
        <v>ok</v>
      </c>
    </row>
    <row r="488" spans="1:38" x14ac:dyDescent="0.25">
      <c r="D488" s="113"/>
      <c r="E488" s="13"/>
      <c r="F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L488" s="30"/>
    </row>
    <row r="489" spans="1:38" x14ac:dyDescent="0.25">
      <c r="D489" s="113"/>
      <c r="E489" s="13"/>
      <c r="F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L489" s="30"/>
    </row>
    <row r="490" spans="1:38" x14ac:dyDescent="0.25">
      <c r="A490" s="3" t="s">
        <v>926</v>
      </c>
      <c r="D490" s="13"/>
      <c r="E490" s="13"/>
      <c r="F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L490" s="30"/>
    </row>
    <row r="491" spans="1:38" x14ac:dyDescent="0.25">
      <c r="D491" s="13"/>
      <c r="E491" s="13"/>
      <c r="F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L491" s="30"/>
    </row>
    <row r="492" spans="1:38" x14ac:dyDescent="0.25">
      <c r="A492" s="4" t="s">
        <v>1148</v>
      </c>
      <c r="D492" s="13"/>
      <c r="E492" s="13"/>
      <c r="F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L492" s="30"/>
    </row>
    <row r="493" spans="1:38" x14ac:dyDescent="0.25">
      <c r="A493" s="29">
        <v>920</v>
      </c>
      <c r="B493" s="29" t="s">
        <v>1149</v>
      </c>
      <c r="C493" s="29" t="s">
        <v>970</v>
      </c>
      <c r="D493" s="13" t="s">
        <v>692</v>
      </c>
      <c r="E493" s="13"/>
      <c r="F493" s="32">
        <f>'Jurisdictional Study'!F1426</f>
        <v>35568344.812148474</v>
      </c>
      <c r="H493" s="33">
        <f t="shared" ref="H493:H504" si="549">IF(VLOOKUP($D493,$C$5:$AJ$596,6,)=0,0,((VLOOKUP($D493,$C$5:$AJ$596,6,)/VLOOKUP($D493,$C$5:$AJ$596,4,))*$F493))</f>
        <v>11565376.33150588</v>
      </c>
      <c r="I493" s="33">
        <f t="shared" ref="I493:I504" si="550">IF(VLOOKUP($D493,$C$5:$AJ$596,7,)=0,0,((VLOOKUP($D493,$C$5:$AJ$596,7,)/VLOOKUP($D493,$C$5:$AJ$596,4,))*$F493))</f>
        <v>0</v>
      </c>
      <c r="J493" s="33">
        <f t="shared" ref="J493:J504" si="551">IF(VLOOKUP($D493,$C$5:$AJ$596,8,)=0,0,((VLOOKUP($D493,$C$5:$AJ$596,8,)/VLOOKUP($D493,$C$5:$AJ$596,4,))*$F493))</f>
        <v>0</v>
      </c>
      <c r="K493" s="33">
        <f t="shared" ref="K493:K504" si="552">IF(VLOOKUP($D493,$C$5:$AJ$596,9,)=0,0,((VLOOKUP($D493,$C$5:$AJ$596,9,)/VLOOKUP($D493,$C$5:$AJ$596,4,))*$F493))</f>
        <v>8061171.4673338281</v>
      </c>
      <c r="L493" s="33">
        <f t="shared" ref="L493:L504" si="553">IF(VLOOKUP($D493,$C$5:$AJ$596,10,)=0,0,((VLOOKUP($D493,$C$5:$AJ$596,10,)/VLOOKUP($D493,$C$5:$AJ$596,4,))*$F493))</f>
        <v>0</v>
      </c>
      <c r="M493" s="33">
        <f t="shared" ref="M493:M504" si="554">IF(VLOOKUP($D493,$C$5:$AJ$596,11,)=0,0,((VLOOKUP($D493,$C$5:$AJ$596,11,)/VLOOKUP($D493,$C$5:$AJ$596,4,))*$F493))</f>
        <v>0</v>
      </c>
      <c r="N493" s="33"/>
      <c r="O493" s="33">
        <f t="shared" ref="O493:O504" si="555">IF(VLOOKUP($D493,$C$5:$AJ$596,13,)=0,0,((VLOOKUP($D493,$C$5:$AJ$596,13,)/VLOOKUP($D493,$C$5:$AJ$596,4,))*$F493))</f>
        <v>2238466.005754808</v>
      </c>
      <c r="P493" s="33">
        <f t="shared" ref="P493:P504" si="556">IF(VLOOKUP($D493,$C$5:$AJ$596,14,)=0,0,((VLOOKUP($D493,$C$5:$AJ$596,14,)/VLOOKUP($D493,$C$5:$AJ$596,4,))*$F493))</f>
        <v>0</v>
      </c>
      <c r="Q493" s="33">
        <f t="shared" ref="Q493:Q504" si="557">IF(VLOOKUP($D493,$C$5:$AJ$596,15,)=0,0,((VLOOKUP($D493,$C$5:$AJ$596,15,)/VLOOKUP($D493,$C$5:$AJ$596,4,))*$F493))</f>
        <v>0</v>
      </c>
      <c r="R493" s="33"/>
      <c r="S493" s="33">
        <f t="shared" ref="S493:S504" si="558">IF(VLOOKUP($D493,$C$5:$AJ$596,17,)=0,0,((VLOOKUP($D493,$C$5:$AJ$596,17,)/VLOOKUP($D493,$C$5:$AJ$596,4,))*$F493))</f>
        <v>0</v>
      </c>
      <c r="T493" s="33">
        <f t="shared" ref="T493:T504" si="559">IF(VLOOKUP($D493,$C$5:$AJ$596,18,)=0,0,((VLOOKUP($D493,$C$5:$AJ$596,18,)/VLOOKUP($D493,$C$5:$AJ$596,4,))*$F493))</f>
        <v>1049320.6725344893</v>
      </c>
      <c r="U493" s="33">
        <f t="shared" ref="U493:U504" si="560">IF(VLOOKUP($D493,$C$5:$AJ$596,19,)=0,0,((VLOOKUP($D493,$C$5:$AJ$596,19,)/VLOOKUP($D493,$C$5:$AJ$596,4,))*$F493))</f>
        <v>0</v>
      </c>
      <c r="V493" s="33">
        <f t="shared" ref="V493:V504" si="561">IF(VLOOKUP($D493,$C$5:$AJ$596,20,)=0,0,((VLOOKUP($D493,$C$5:$AJ$596,20,)/VLOOKUP($D493,$C$5:$AJ$596,4,))*$F493))</f>
        <v>858484.42724818469</v>
      </c>
      <c r="W493" s="33">
        <f t="shared" ref="W493:W504" si="562">IF(VLOOKUP($D493,$C$5:$AJ$596,21,)=0,0,((VLOOKUP($D493,$C$5:$AJ$596,21,)/VLOOKUP($D493,$C$5:$AJ$596,4,))*$F493))</f>
        <v>1615462.4296774657</v>
      </c>
      <c r="X493" s="33">
        <f t="shared" ref="X493:X504" si="563">IF(VLOOKUP($D493,$C$5:$AJ$596,22,)=0,0,((VLOOKUP($D493,$C$5:$AJ$596,22,)/VLOOKUP($D493,$C$5:$AJ$596,4,))*$F493))</f>
        <v>467630.43800863583</v>
      </c>
      <c r="Y493" s="33">
        <f t="shared" ref="Y493:Y504" si="564">IF(VLOOKUP($D493,$C$5:$AJ$596,23,)=0,0,((VLOOKUP($D493,$C$5:$AJ$596,23,)/VLOOKUP($D493,$C$5:$AJ$596,4,))*$F493))</f>
        <v>866275.02397129673</v>
      </c>
      <c r="Z493" s="33">
        <f t="shared" ref="Z493:Z504" si="565">IF(VLOOKUP($D493,$C$5:$AJ$596,24,)=0,0,((VLOOKUP($D493,$C$5:$AJ$596,24,)/VLOOKUP($D493,$C$5:$AJ$596,4,))*$F493))</f>
        <v>633461.02257239586</v>
      </c>
      <c r="AA493" s="33">
        <f t="shared" ref="AA493:AA504" si="566">IF(VLOOKUP($D493,$C$5:$AJ$596,25,)=0,0,((VLOOKUP($D493,$C$5:$AJ$596,25,)/VLOOKUP($D493,$C$5:$AJ$596,4,))*$F493))</f>
        <v>549370.30168840883</v>
      </c>
      <c r="AB493" s="33">
        <f t="shared" ref="AB493:AB504" si="567">IF(VLOOKUP($D493,$C$5:$AJ$596,26,)=0,0,((VLOOKUP($D493,$C$5:$AJ$596,26,)/VLOOKUP($D493,$C$5:$AJ$596,4,))*$F493))</f>
        <v>406807.58717034035</v>
      </c>
      <c r="AC493" s="33">
        <f t="shared" ref="AC493:AC504" si="568">IF(VLOOKUP($D493,$C$5:$AJ$596,27,)=0,0,((VLOOKUP($D493,$C$5:$AJ$596,27,)/VLOOKUP($D493,$C$5:$AJ$596,4,))*$F493))</f>
        <v>290677.49071019457</v>
      </c>
      <c r="AD493" s="33">
        <f t="shared" ref="AD493:AD504" si="569">IF(VLOOKUP($D493,$C$5:$AJ$596,28,)=0,0,((VLOOKUP($D493,$C$5:$AJ$596,28,)/VLOOKUP($D493,$C$5:$AJ$596,4,))*$F493))</f>
        <v>476318.85766700632</v>
      </c>
      <c r="AE493" s="33"/>
      <c r="AF493" s="33">
        <f t="shared" ref="AF493:AF504" si="570">IF(VLOOKUP($D493,$C$5:$AJ$596,30,)=0,0,((VLOOKUP($D493,$C$5:$AJ$596,30,)/VLOOKUP($D493,$C$5:$AJ$596,4,))*$F493))</f>
        <v>5929340.7328528818</v>
      </c>
      <c r="AG493" s="33"/>
      <c r="AH493" s="33">
        <f t="shared" ref="AH493:AH504" si="571">IF(VLOOKUP($D493,$C$5:$AJ$596,32,)=0,0,((VLOOKUP($D493,$C$5:$AJ$596,32,)/VLOOKUP($D493,$C$5:$AJ$596,4,))*$F493))</f>
        <v>560182.02345265646</v>
      </c>
      <c r="AI493" s="33"/>
      <c r="AJ493" s="33">
        <f t="shared" ref="AJ493:AJ504" si="572">IF(VLOOKUP($D493,$C$5:$AJ$596,34,)=0,0,((VLOOKUP($D493,$C$5:$AJ$596,34,)/VLOOKUP($D493,$C$5:$AJ$596,4,))*$F493))</f>
        <v>0</v>
      </c>
      <c r="AK493" s="33">
        <f t="shared" ref="AK493:AK504" si="573">SUM(H493:AJ493)</f>
        <v>35568344.812148467</v>
      </c>
      <c r="AL493" s="30" t="str">
        <f t="shared" ref="AL493:AL504" si="574">IF(ABS(AK493-F493)&lt;1,"ok","err")</f>
        <v>ok</v>
      </c>
    </row>
    <row r="494" spans="1:38" x14ac:dyDescent="0.25">
      <c r="A494" s="29">
        <v>921</v>
      </c>
      <c r="B494" s="29" t="s">
        <v>1151</v>
      </c>
      <c r="C494" s="29" t="s">
        <v>971</v>
      </c>
      <c r="D494" s="13" t="s">
        <v>692</v>
      </c>
      <c r="E494" s="13"/>
      <c r="F494" s="33">
        <f>'Jurisdictional Study'!F1427</f>
        <v>72081.034427123217</v>
      </c>
      <c r="H494" s="33">
        <f t="shared" si="549"/>
        <v>23437.815111069707</v>
      </c>
      <c r="I494" s="33">
        <f t="shared" si="550"/>
        <v>0</v>
      </c>
      <c r="J494" s="33">
        <f t="shared" si="551"/>
        <v>0</v>
      </c>
      <c r="K494" s="33">
        <f t="shared" si="552"/>
        <v>16336.368226540897</v>
      </c>
      <c r="L494" s="33">
        <f t="shared" si="553"/>
        <v>0</v>
      </c>
      <c r="M494" s="33">
        <f t="shared" si="554"/>
        <v>0</v>
      </c>
      <c r="N494" s="33"/>
      <c r="O494" s="33">
        <f t="shared" si="555"/>
        <v>4536.3636142451987</v>
      </c>
      <c r="P494" s="33">
        <f t="shared" si="556"/>
        <v>0</v>
      </c>
      <c r="Q494" s="33">
        <f t="shared" si="557"/>
        <v>0</v>
      </c>
      <c r="R494" s="33"/>
      <c r="S494" s="33">
        <f t="shared" si="558"/>
        <v>0</v>
      </c>
      <c r="T494" s="33">
        <f t="shared" si="559"/>
        <v>2126.500963750691</v>
      </c>
      <c r="U494" s="33">
        <f t="shared" si="560"/>
        <v>0</v>
      </c>
      <c r="V494" s="33">
        <f t="shared" si="561"/>
        <v>1739.7617427080866</v>
      </c>
      <c r="W494" s="33">
        <f t="shared" si="562"/>
        <v>3273.8156252222807</v>
      </c>
      <c r="X494" s="33">
        <f t="shared" si="563"/>
        <v>947.67653314467316</v>
      </c>
      <c r="Y494" s="33">
        <f t="shared" si="564"/>
        <v>1755.5497776468017</v>
      </c>
      <c r="Z494" s="33">
        <f t="shared" si="565"/>
        <v>1283.7405287604515</v>
      </c>
      <c r="AA494" s="33">
        <f t="shared" si="566"/>
        <v>1113.3264659455294</v>
      </c>
      <c r="AB494" s="33">
        <f t="shared" si="567"/>
        <v>824.41597580399173</v>
      </c>
      <c r="AC494" s="33">
        <f t="shared" si="568"/>
        <v>589.07251168783625</v>
      </c>
      <c r="AD494" s="33">
        <f t="shared" si="569"/>
        <v>965.28405128530915</v>
      </c>
      <c r="AE494" s="33"/>
      <c r="AF494" s="33">
        <f t="shared" si="570"/>
        <v>12016.10633702964</v>
      </c>
      <c r="AG494" s="33"/>
      <c r="AH494" s="33">
        <f t="shared" si="571"/>
        <v>1135.2369622821211</v>
      </c>
      <c r="AI494" s="33"/>
      <c r="AJ494" s="33">
        <f t="shared" si="572"/>
        <v>0</v>
      </c>
      <c r="AK494" s="33">
        <f t="shared" si="573"/>
        <v>72081.034427123232</v>
      </c>
      <c r="AL494" s="30" t="str">
        <f t="shared" si="574"/>
        <v>ok</v>
      </c>
    </row>
    <row r="495" spans="1:38" x14ac:dyDescent="0.25">
      <c r="A495" s="29">
        <v>922</v>
      </c>
      <c r="B495" s="29" t="s">
        <v>865</v>
      </c>
      <c r="C495" s="29" t="s">
        <v>1709</v>
      </c>
      <c r="D495" s="13" t="s">
        <v>692</v>
      </c>
      <c r="E495" s="13"/>
      <c r="F495" s="33">
        <f>'Jurisdictional Study'!F1428</f>
        <v>-4253605.0832219096</v>
      </c>
      <c r="H495" s="33">
        <f t="shared" si="549"/>
        <v>-1383099.0396906305</v>
      </c>
      <c r="I495" s="33">
        <f t="shared" si="550"/>
        <v>0</v>
      </c>
      <c r="J495" s="33">
        <f t="shared" si="551"/>
        <v>0</v>
      </c>
      <c r="K495" s="33">
        <f t="shared" si="552"/>
        <v>-964032.48763105413</v>
      </c>
      <c r="L495" s="33">
        <f t="shared" si="553"/>
        <v>0</v>
      </c>
      <c r="M495" s="33">
        <f t="shared" si="554"/>
        <v>0</v>
      </c>
      <c r="N495" s="33"/>
      <c r="O495" s="33">
        <f t="shared" si="555"/>
        <v>-267697.31431095389</v>
      </c>
      <c r="P495" s="33">
        <f t="shared" si="556"/>
        <v>0</v>
      </c>
      <c r="Q495" s="33">
        <f t="shared" si="557"/>
        <v>0</v>
      </c>
      <c r="R495" s="33"/>
      <c r="S495" s="33">
        <f t="shared" si="558"/>
        <v>0</v>
      </c>
      <c r="T495" s="33">
        <f t="shared" si="559"/>
        <v>-125487.86765860554</v>
      </c>
      <c r="U495" s="33">
        <f t="shared" si="560"/>
        <v>0</v>
      </c>
      <c r="V495" s="33">
        <f t="shared" si="561"/>
        <v>-102665.83229823208</v>
      </c>
      <c r="W495" s="33">
        <f t="shared" si="562"/>
        <v>-193192.54913102085</v>
      </c>
      <c r="X495" s="33">
        <f t="shared" si="563"/>
        <v>-55923.74957812018</v>
      </c>
      <c r="Y495" s="33">
        <f t="shared" si="564"/>
        <v>-103597.50685317068</v>
      </c>
      <c r="Z495" s="33">
        <f t="shared" si="565"/>
        <v>-75755.367303923005</v>
      </c>
      <c r="AA495" s="33">
        <f t="shared" si="566"/>
        <v>-65698.989373124481</v>
      </c>
      <c r="AB495" s="33">
        <f t="shared" si="567"/>
        <v>-48649.967543330182</v>
      </c>
      <c r="AC495" s="33">
        <f t="shared" si="568"/>
        <v>-34762.012643353803</v>
      </c>
      <c r="AD495" s="33">
        <f t="shared" si="569"/>
        <v>-56962.794442850216</v>
      </c>
      <c r="AE495" s="33"/>
      <c r="AF495" s="33">
        <f t="shared" si="570"/>
        <v>-709087.64561918576</v>
      </c>
      <c r="AG495" s="33"/>
      <c r="AH495" s="33">
        <f t="shared" si="571"/>
        <v>-66991.959144354245</v>
      </c>
      <c r="AI495" s="33"/>
      <c r="AJ495" s="33">
        <f t="shared" si="572"/>
        <v>0</v>
      </c>
      <c r="AK495" s="33">
        <f>SUM(H495:AJ495)</f>
        <v>-4253605.0832219096</v>
      </c>
      <c r="AL495" s="30" t="str">
        <f>IF(ABS(AK495-F495)&lt;1,"ok","err")</f>
        <v>ok</v>
      </c>
    </row>
    <row r="496" spans="1:38" x14ac:dyDescent="0.25">
      <c r="A496" s="29">
        <v>923</v>
      </c>
      <c r="B496" s="29" t="s">
        <v>1153</v>
      </c>
      <c r="C496" s="29" t="s">
        <v>972</v>
      </c>
      <c r="D496" s="13" t="s">
        <v>692</v>
      </c>
      <c r="E496" s="13"/>
      <c r="F496" s="33">
        <f>'Jurisdictional Study'!F1429</f>
        <v>0</v>
      </c>
      <c r="H496" s="33">
        <f t="shared" si="549"/>
        <v>0</v>
      </c>
      <c r="I496" s="33">
        <f t="shared" si="550"/>
        <v>0</v>
      </c>
      <c r="J496" s="33">
        <f t="shared" si="551"/>
        <v>0</v>
      </c>
      <c r="K496" s="33">
        <f t="shared" si="552"/>
        <v>0</v>
      </c>
      <c r="L496" s="33">
        <f t="shared" si="553"/>
        <v>0</v>
      </c>
      <c r="M496" s="33">
        <f t="shared" si="554"/>
        <v>0</v>
      </c>
      <c r="N496" s="33"/>
      <c r="O496" s="33">
        <f t="shared" si="555"/>
        <v>0</v>
      </c>
      <c r="P496" s="33">
        <f t="shared" si="556"/>
        <v>0</v>
      </c>
      <c r="Q496" s="33">
        <f t="shared" si="557"/>
        <v>0</v>
      </c>
      <c r="R496" s="33"/>
      <c r="S496" s="33">
        <f t="shared" si="558"/>
        <v>0</v>
      </c>
      <c r="T496" s="33">
        <f t="shared" si="559"/>
        <v>0</v>
      </c>
      <c r="U496" s="33">
        <f t="shared" si="560"/>
        <v>0</v>
      </c>
      <c r="V496" s="33">
        <f t="shared" si="561"/>
        <v>0</v>
      </c>
      <c r="W496" s="33">
        <f t="shared" si="562"/>
        <v>0</v>
      </c>
      <c r="X496" s="33">
        <f t="shared" si="563"/>
        <v>0</v>
      </c>
      <c r="Y496" s="33">
        <f t="shared" si="564"/>
        <v>0</v>
      </c>
      <c r="Z496" s="33">
        <f t="shared" si="565"/>
        <v>0</v>
      </c>
      <c r="AA496" s="33">
        <f t="shared" si="566"/>
        <v>0</v>
      </c>
      <c r="AB496" s="33">
        <f t="shared" si="567"/>
        <v>0</v>
      </c>
      <c r="AC496" s="33">
        <f t="shared" si="568"/>
        <v>0</v>
      </c>
      <c r="AD496" s="33">
        <f t="shared" si="569"/>
        <v>0</v>
      </c>
      <c r="AE496" s="33"/>
      <c r="AF496" s="33">
        <f t="shared" si="570"/>
        <v>0</v>
      </c>
      <c r="AG496" s="33"/>
      <c r="AH496" s="33">
        <f t="shared" si="571"/>
        <v>0</v>
      </c>
      <c r="AI496" s="33"/>
      <c r="AJ496" s="33">
        <f t="shared" si="572"/>
        <v>0</v>
      </c>
      <c r="AK496" s="33">
        <f t="shared" si="573"/>
        <v>0</v>
      </c>
      <c r="AL496" s="30" t="str">
        <f t="shared" si="574"/>
        <v>ok</v>
      </c>
    </row>
    <row r="497" spans="1:38" x14ac:dyDescent="0.25">
      <c r="A497" s="29">
        <v>924</v>
      </c>
      <c r="B497" s="29" t="s">
        <v>1155</v>
      </c>
      <c r="C497" s="29" t="s">
        <v>973</v>
      </c>
      <c r="D497" s="13" t="s">
        <v>184</v>
      </c>
      <c r="E497" s="13"/>
      <c r="F497" s="33">
        <f>'Jurisdictional Study'!F1430</f>
        <v>0</v>
      </c>
      <c r="H497" s="33">
        <f t="shared" si="549"/>
        <v>0</v>
      </c>
      <c r="I497" s="33">
        <f t="shared" si="550"/>
        <v>0</v>
      </c>
      <c r="J497" s="33">
        <f t="shared" si="551"/>
        <v>0</v>
      </c>
      <c r="K497" s="33">
        <f t="shared" si="552"/>
        <v>0</v>
      </c>
      <c r="L497" s="33">
        <f t="shared" si="553"/>
        <v>0</v>
      </c>
      <c r="M497" s="33">
        <f t="shared" si="554"/>
        <v>0</v>
      </c>
      <c r="N497" s="33"/>
      <c r="O497" s="33">
        <f t="shared" si="555"/>
        <v>0</v>
      </c>
      <c r="P497" s="33">
        <f t="shared" si="556"/>
        <v>0</v>
      </c>
      <c r="Q497" s="33">
        <f t="shared" si="557"/>
        <v>0</v>
      </c>
      <c r="R497" s="33"/>
      <c r="S497" s="33">
        <f t="shared" si="558"/>
        <v>0</v>
      </c>
      <c r="T497" s="33">
        <f t="shared" si="559"/>
        <v>0</v>
      </c>
      <c r="U497" s="33">
        <f t="shared" si="560"/>
        <v>0</v>
      </c>
      <c r="V497" s="33">
        <f t="shared" si="561"/>
        <v>0</v>
      </c>
      <c r="W497" s="33">
        <f t="shared" si="562"/>
        <v>0</v>
      </c>
      <c r="X497" s="33">
        <f t="shared" si="563"/>
        <v>0</v>
      </c>
      <c r="Y497" s="33">
        <f t="shared" si="564"/>
        <v>0</v>
      </c>
      <c r="Z497" s="33">
        <f t="shared" si="565"/>
        <v>0</v>
      </c>
      <c r="AA497" s="33">
        <f t="shared" si="566"/>
        <v>0</v>
      </c>
      <c r="AB497" s="33">
        <f t="shared" si="567"/>
        <v>0</v>
      </c>
      <c r="AC497" s="33">
        <f t="shared" si="568"/>
        <v>0</v>
      </c>
      <c r="AD497" s="33">
        <f t="shared" si="569"/>
        <v>0</v>
      </c>
      <c r="AE497" s="33"/>
      <c r="AF497" s="33">
        <f t="shared" si="570"/>
        <v>0</v>
      </c>
      <c r="AG497" s="33"/>
      <c r="AH497" s="33">
        <f t="shared" si="571"/>
        <v>0</v>
      </c>
      <c r="AI497" s="33"/>
      <c r="AJ497" s="33">
        <f t="shared" si="572"/>
        <v>0</v>
      </c>
      <c r="AK497" s="33">
        <f t="shared" si="573"/>
        <v>0</v>
      </c>
      <c r="AL497" s="30" t="str">
        <f t="shared" si="574"/>
        <v>ok</v>
      </c>
    </row>
    <row r="498" spans="1:38" x14ac:dyDescent="0.25">
      <c r="A498" s="29">
        <v>925</v>
      </c>
      <c r="B498" s="29" t="s">
        <v>1131</v>
      </c>
      <c r="C498" s="29" t="s">
        <v>974</v>
      </c>
      <c r="D498" s="13" t="s">
        <v>692</v>
      </c>
      <c r="E498" s="13"/>
      <c r="F498" s="33">
        <f>'Jurisdictional Study'!F1431</f>
        <v>712328.06450053887</v>
      </c>
      <c r="H498" s="33">
        <f t="shared" si="549"/>
        <v>231620.05938010631</v>
      </c>
      <c r="I498" s="33">
        <f t="shared" si="550"/>
        <v>0</v>
      </c>
      <c r="J498" s="33">
        <f t="shared" si="551"/>
        <v>0</v>
      </c>
      <c r="K498" s="33">
        <f t="shared" si="552"/>
        <v>161441.26748826416</v>
      </c>
      <c r="L498" s="33">
        <f t="shared" si="553"/>
        <v>0</v>
      </c>
      <c r="M498" s="33">
        <f t="shared" si="554"/>
        <v>0</v>
      </c>
      <c r="N498" s="33"/>
      <c r="O498" s="33">
        <f t="shared" si="555"/>
        <v>44829.810488818715</v>
      </c>
      <c r="P498" s="33">
        <f t="shared" si="556"/>
        <v>0</v>
      </c>
      <c r="Q498" s="33">
        <f t="shared" si="557"/>
        <v>0</v>
      </c>
      <c r="R498" s="33"/>
      <c r="S498" s="33">
        <f t="shared" si="558"/>
        <v>0</v>
      </c>
      <c r="T498" s="33">
        <f t="shared" si="559"/>
        <v>21014.769387064622</v>
      </c>
      <c r="U498" s="33">
        <f t="shared" si="560"/>
        <v>0</v>
      </c>
      <c r="V498" s="33">
        <f t="shared" si="561"/>
        <v>17192.887487322314</v>
      </c>
      <c r="W498" s="33">
        <f t="shared" si="562"/>
        <v>32352.903456234166</v>
      </c>
      <c r="X498" s="33">
        <f t="shared" si="563"/>
        <v>9365.2456016018295</v>
      </c>
      <c r="Y498" s="33">
        <f t="shared" si="564"/>
        <v>17348.909948147739</v>
      </c>
      <c r="Z498" s="33">
        <f t="shared" si="565"/>
        <v>12686.338555495764</v>
      </c>
      <c r="AA498" s="33">
        <f t="shared" si="566"/>
        <v>11002.251742738414</v>
      </c>
      <c r="AB498" s="33">
        <f t="shared" si="567"/>
        <v>8147.1449606001179</v>
      </c>
      <c r="AC498" s="33">
        <f t="shared" si="568"/>
        <v>5821.4048318814393</v>
      </c>
      <c r="AD498" s="33">
        <f t="shared" si="569"/>
        <v>9539.2487831246781</v>
      </c>
      <c r="AE498" s="33"/>
      <c r="AF498" s="33">
        <f t="shared" si="570"/>
        <v>118747.04404447587</v>
      </c>
      <c r="AG498" s="33"/>
      <c r="AH498" s="33">
        <f t="shared" si="571"/>
        <v>11218.778344662674</v>
      </c>
      <c r="AI498" s="33"/>
      <c r="AJ498" s="33">
        <f t="shared" si="572"/>
        <v>0</v>
      </c>
      <c r="AK498" s="33">
        <f t="shared" si="573"/>
        <v>712328.06450053875</v>
      </c>
      <c r="AL498" s="30" t="str">
        <f t="shared" si="574"/>
        <v>ok</v>
      </c>
    </row>
    <row r="499" spans="1:38" x14ac:dyDescent="0.25">
      <c r="A499" s="29">
        <v>926</v>
      </c>
      <c r="B499" s="29" t="s">
        <v>1133</v>
      </c>
      <c r="C499" s="29" t="s">
        <v>975</v>
      </c>
      <c r="D499" s="13" t="s">
        <v>692</v>
      </c>
      <c r="E499" s="13"/>
      <c r="F499" s="33">
        <f>'Jurisdictional Study'!F1432</f>
        <v>28726255.927650578</v>
      </c>
      <c r="H499" s="33">
        <f t="shared" si="549"/>
        <v>9340607.8397259675</v>
      </c>
      <c r="I499" s="33">
        <f t="shared" si="550"/>
        <v>0</v>
      </c>
      <c r="J499" s="33">
        <f t="shared" si="551"/>
        <v>0</v>
      </c>
      <c r="K499" s="33">
        <f t="shared" si="552"/>
        <v>6510487.7910487866</v>
      </c>
      <c r="L499" s="33">
        <f t="shared" si="553"/>
        <v>0</v>
      </c>
      <c r="M499" s="33">
        <f t="shared" si="554"/>
        <v>0</v>
      </c>
      <c r="N499" s="33"/>
      <c r="O499" s="33">
        <f t="shared" si="555"/>
        <v>1807864.4847340654</v>
      </c>
      <c r="P499" s="33">
        <f t="shared" si="556"/>
        <v>0</v>
      </c>
      <c r="Q499" s="33">
        <f t="shared" si="557"/>
        <v>0</v>
      </c>
      <c r="R499" s="33"/>
      <c r="S499" s="33">
        <f t="shared" si="558"/>
        <v>0</v>
      </c>
      <c r="T499" s="33">
        <f t="shared" si="559"/>
        <v>847468.56646263495</v>
      </c>
      <c r="U499" s="33">
        <f t="shared" si="560"/>
        <v>0</v>
      </c>
      <c r="V499" s="33">
        <f t="shared" si="561"/>
        <v>693342.45091469155</v>
      </c>
      <c r="W499" s="33">
        <f t="shared" si="562"/>
        <v>1304704.715429123</v>
      </c>
      <c r="X499" s="33">
        <f t="shared" si="563"/>
        <v>377674.91607332928</v>
      </c>
      <c r="Y499" s="33">
        <f t="shared" si="564"/>
        <v>699634.41295226139</v>
      </c>
      <c r="Z499" s="33">
        <f t="shared" si="565"/>
        <v>511605.57374012686</v>
      </c>
      <c r="AA499" s="33">
        <f t="shared" si="566"/>
        <v>443690.92710666906</v>
      </c>
      <c r="AB499" s="33">
        <f t="shared" si="567"/>
        <v>328552.22597745986</v>
      </c>
      <c r="AC499" s="33">
        <f t="shared" si="568"/>
        <v>234761.44404943829</v>
      </c>
      <c r="AD499" s="33">
        <f t="shared" si="569"/>
        <v>384691.99173516704</v>
      </c>
      <c r="AE499" s="33"/>
      <c r="AF499" s="33">
        <f t="shared" si="570"/>
        <v>4788745.7308949381</v>
      </c>
      <c r="AG499" s="33"/>
      <c r="AH499" s="33">
        <f t="shared" si="571"/>
        <v>452422.8568059181</v>
      </c>
      <c r="AI499" s="33"/>
      <c r="AJ499" s="33">
        <f t="shared" si="572"/>
        <v>0</v>
      </c>
      <c r="AK499" s="33">
        <f t="shared" si="573"/>
        <v>28726255.927650578</v>
      </c>
      <c r="AL499" s="30" t="str">
        <f t="shared" si="574"/>
        <v>ok</v>
      </c>
    </row>
    <row r="500" spans="1:38" x14ac:dyDescent="0.25">
      <c r="A500" s="29">
        <v>928</v>
      </c>
      <c r="B500" s="29" t="s">
        <v>530</v>
      </c>
      <c r="C500" s="29" t="s">
        <v>976</v>
      </c>
      <c r="D500" s="13" t="s">
        <v>184</v>
      </c>
      <c r="E500" s="13"/>
      <c r="F500" s="33">
        <f>'Jurisdictional Study'!F1433</f>
        <v>0</v>
      </c>
      <c r="H500" s="33">
        <f t="shared" si="549"/>
        <v>0</v>
      </c>
      <c r="I500" s="33">
        <f t="shared" si="550"/>
        <v>0</v>
      </c>
      <c r="J500" s="33">
        <f t="shared" si="551"/>
        <v>0</v>
      </c>
      <c r="K500" s="33">
        <f t="shared" si="552"/>
        <v>0</v>
      </c>
      <c r="L500" s="33">
        <f t="shared" si="553"/>
        <v>0</v>
      </c>
      <c r="M500" s="33">
        <f t="shared" si="554"/>
        <v>0</v>
      </c>
      <c r="N500" s="33"/>
      <c r="O500" s="33">
        <f t="shared" si="555"/>
        <v>0</v>
      </c>
      <c r="P500" s="33">
        <f t="shared" si="556"/>
        <v>0</v>
      </c>
      <c r="Q500" s="33">
        <f t="shared" si="557"/>
        <v>0</v>
      </c>
      <c r="R500" s="33"/>
      <c r="S500" s="33">
        <f t="shared" si="558"/>
        <v>0</v>
      </c>
      <c r="T500" s="33">
        <f t="shared" si="559"/>
        <v>0</v>
      </c>
      <c r="U500" s="33">
        <f t="shared" si="560"/>
        <v>0</v>
      </c>
      <c r="V500" s="33">
        <f t="shared" si="561"/>
        <v>0</v>
      </c>
      <c r="W500" s="33">
        <f t="shared" si="562"/>
        <v>0</v>
      </c>
      <c r="X500" s="33">
        <f t="shared" si="563"/>
        <v>0</v>
      </c>
      <c r="Y500" s="33">
        <f t="shared" si="564"/>
        <v>0</v>
      </c>
      <c r="Z500" s="33">
        <f t="shared" si="565"/>
        <v>0</v>
      </c>
      <c r="AA500" s="33">
        <f t="shared" si="566"/>
        <v>0</v>
      </c>
      <c r="AB500" s="33">
        <f t="shared" si="567"/>
        <v>0</v>
      </c>
      <c r="AC500" s="33">
        <f t="shared" si="568"/>
        <v>0</v>
      </c>
      <c r="AD500" s="33">
        <f t="shared" si="569"/>
        <v>0</v>
      </c>
      <c r="AE500" s="33"/>
      <c r="AF500" s="33">
        <f t="shared" si="570"/>
        <v>0</v>
      </c>
      <c r="AG500" s="33"/>
      <c r="AH500" s="33">
        <f t="shared" si="571"/>
        <v>0</v>
      </c>
      <c r="AI500" s="33"/>
      <c r="AJ500" s="33">
        <f t="shared" si="572"/>
        <v>0</v>
      </c>
      <c r="AK500" s="33">
        <f t="shared" si="573"/>
        <v>0</v>
      </c>
      <c r="AL500" s="30" t="str">
        <f t="shared" si="574"/>
        <v>ok</v>
      </c>
    </row>
    <row r="501" spans="1:38" x14ac:dyDescent="0.25">
      <c r="A501" s="29">
        <v>929</v>
      </c>
      <c r="B501" s="29" t="s">
        <v>451</v>
      </c>
      <c r="C501" s="29" t="s">
        <v>977</v>
      </c>
      <c r="D501" s="13" t="s">
        <v>692</v>
      </c>
      <c r="E501" s="13"/>
      <c r="F501" s="33">
        <f>'Jurisdictional Study'!F1434</f>
        <v>0</v>
      </c>
      <c r="H501" s="33">
        <f t="shared" si="549"/>
        <v>0</v>
      </c>
      <c r="I501" s="33">
        <f t="shared" si="550"/>
        <v>0</v>
      </c>
      <c r="J501" s="33">
        <f t="shared" si="551"/>
        <v>0</v>
      </c>
      <c r="K501" s="33">
        <f t="shared" si="552"/>
        <v>0</v>
      </c>
      <c r="L501" s="33">
        <f t="shared" si="553"/>
        <v>0</v>
      </c>
      <c r="M501" s="33">
        <f t="shared" si="554"/>
        <v>0</v>
      </c>
      <c r="N501" s="33"/>
      <c r="O501" s="33">
        <f t="shared" si="555"/>
        <v>0</v>
      </c>
      <c r="P501" s="33">
        <f t="shared" si="556"/>
        <v>0</v>
      </c>
      <c r="Q501" s="33">
        <f t="shared" si="557"/>
        <v>0</v>
      </c>
      <c r="R501" s="33"/>
      <c r="S501" s="33">
        <f t="shared" si="558"/>
        <v>0</v>
      </c>
      <c r="T501" s="33">
        <f t="shared" si="559"/>
        <v>0</v>
      </c>
      <c r="U501" s="33">
        <f t="shared" si="560"/>
        <v>0</v>
      </c>
      <c r="V501" s="33">
        <f t="shared" si="561"/>
        <v>0</v>
      </c>
      <c r="W501" s="33">
        <f t="shared" si="562"/>
        <v>0</v>
      </c>
      <c r="X501" s="33">
        <f t="shared" si="563"/>
        <v>0</v>
      </c>
      <c r="Y501" s="33">
        <f t="shared" si="564"/>
        <v>0</v>
      </c>
      <c r="Z501" s="33">
        <f t="shared" si="565"/>
        <v>0</v>
      </c>
      <c r="AA501" s="33">
        <f t="shared" si="566"/>
        <v>0</v>
      </c>
      <c r="AB501" s="33">
        <f t="shared" si="567"/>
        <v>0</v>
      </c>
      <c r="AC501" s="33">
        <f t="shared" si="568"/>
        <v>0</v>
      </c>
      <c r="AD501" s="33">
        <f t="shared" si="569"/>
        <v>0</v>
      </c>
      <c r="AE501" s="33"/>
      <c r="AF501" s="33">
        <f t="shared" si="570"/>
        <v>0</v>
      </c>
      <c r="AG501" s="33"/>
      <c r="AH501" s="33">
        <f t="shared" si="571"/>
        <v>0</v>
      </c>
      <c r="AI501" s="33"/>
      <c r="AJ501" s="33">
        <f t="shared" si="572"/>
        <v>0</v>
      </c>
      <c r="AK501" s="33">
        <f t="shared" si="573"/>
        <v>0</v>
      </c>
      <c r="AL501" s="30" t="str">
        <f t="shared" si="574"/>
        <v>ok</v>
      </c>
    </row>
    <row r="502" spans="1:38" x14ac:dyDescent="0.25">
      <c r="A502" s="29">
        <v>930</v>
      </c>
      <c r="B502" s="29" t="s">
        <v>240</v>
      </c>
      <c r="C502" s="29" t="s">
        <v>978</v>
      </c>
      <c r="D502" s="13" t="s">
        <v>692</v>
      </c>
      <c r="E502" s="13"/>
      <c r="F502" s="33">
        <f>'Jurisdictional Study'!F1435</f>
        <v>0</v>
      </c>
      <c r="H502" s="33">
        <f t="shared" si="549"/>
        <v>0</v>
      </c>
      <c r="I502" s="33">
        <f t="shared" si="550"/>
        <v>0</v>
      </c>
      <c r="J502" s="33">
        <f t="shared" si="551"/>
        <v>0</v>
      </c>
      <c r="K502" s="33">
        <f t="shared" si="552"/>
        <v>0</v>
      </c>
      <c r="L502" s="33">
        <f t="shared" si="553"/>
        <v>0</v>
      </c>
      <c r="M502" s="33">
        <f t="shared" si="554"/>
        <v>0</v>
      </c>
      <c r="N502" s="33"/>
      <c r="O502" s="33">
        <f t="shared" si="555"/>
        <v>0</v>
      </c>
      <c r="P502" s="33">
        <f t="shared" si="556"/>
        <v>0</v>
      </c>
      <c r="Q502" s="33">
        <f t="shared" si="557"/>
        <v>0</v>
      </c>
      <c r="R502" s="33"/>
      <c r="S502" s="33">
        <f t="shared" si="558"/>
        <v>0</v>
      </c>
      <c r="T502" s="33">
        <f t="shared" si="559"/>
        <v>0</v>
      </c>
      <c r="U502" s="33">
        <f t="shared" si="560"/>
        <v>0</v>
      </c>
      <c r="V502" s="33">
        <f t="shared" si="561"/>
        <v>0</v>
      </c>
      <c r="W502" s="33">
        <f t="shared" si="562"/>
        <v>0</v>
      </c>
      <c r="X502" s="33">
        <f t="shared" si="563"/>
        <v>0</v>
      </c>
      <c r="Y502" s="33">
        <f t="shared" si="564"/>
        <v>0</v>
      </c>
      <c r="Z502" s="33">
        <f t="shared" si="565"/>
        <v>0</v>
      </c>
      <c r="AA502" s="33">
        <f t="shared" si="566"/>
        <v>0</v>
      </c>
      <c r="AB502" s="33">
        <f t="shared" si="567"/>
        <v>0</v>
      </c>
      <c r="AC502" s="33">
        <f t="shared" si="568"/>
        <v>0</v>
      </c>
      <c r="AD502" s="33">
        <f t="shared" si="569"/>
        <v>0</v>
      </c>
      <c r="AE502" s="33"/>
      <c r="AF502" s="33">
        <f t="shared" si="570"/>
        <v>0</v>
      </c>
      <c r="AG502" s="33"/>
      <c r="AH502" s="33">
        <f t="shared" si="571"/>
        <v>0</v>
      </c>
      <c r="AI502" s="33"/>
      <c r="AJ502" s="33">
        <f t="shared" si="572"/>
        <v>0</v>
      </c>
      <c r="AK502" s="33">
        <f t="shared" si="573"/>
        <v>0</v>
      </c>
      <c r="AL502" s="30" t="str">
        <f t="shared" si="574"/>
        <v>ok</v>
      </c>
    </row>
    <row r="503" spans="1:38" x14ac:dyDescent="0.25">
      <c r="A503" s="29">
        <v>931</v>
      </c>
      <c r="B503" s="29" t="s">
        <v>242</v>
      </c>
      <c r="C503" s="29" t="s">
        <v>979</v>
      </c>
      <c r="D503" s="13" t="s">
        <v>174</v>
      </c>
      <c r="E503" s="13"/>
      <c r="F503" s="33">
        <f>'Jurisdictional Study'!F1436</f>
        <v>0</v>
      </c>
      <c r="H503" s="33">
        <f t="shared" si="549"/>
        <v>0</v>
      </c>
      <c r="I503" s="33">
        <f t="shared" si="550"/>
        <v>0</v>
      </c>
      <c r="J503" s="33">
        <f t="shared" si="551"/>
        <v>0</v>
      </c>
      <c r="K503" s="33">
        <f t="shared" si="552"/>
        <v>0</v>
      </c>
      <c r="L503" s="33">
        <f t="shared" si="553"/>
        <v>0</v>
      </c>
      <c r="M503" s="33">
        <f t="shared" si="554"/>
        <v>0</v>
      </c>
      <c r="N503" s="33"/>
      <c r="O503" s="33">
        <f t="shared" si="555"/>
        <v>0</v>
      </c>
      <c r="P503" s="33">
        <f t="shared" si="556"/>
        <v>0</v>
      </c>
      <c r="Q503" s="33">
        <f t="shared" si="557"/>
        <v>0</v>
      </c>
      <c r="R503" s="33"/>
      <c r="S503" s="33">
        <f t="shared" si="558"/>
        <v>0</v>
      </c>
      <c r="T503" s="33">
        <f t="shared" si="559"/>
        <v>0</v>
      </c>
      <c r="U503" s="33">
        <f t="shared" si="560"/>
        <v>0</v>
      </c>
      <c r="V503" s="33">
        <f t="shared" si="561"/>
        <v>0</v>
      </c>
      <c r="W503" s="33">
        <f t="shared" si="562"/>
        <v>0</v>
      </c>
      <c r="X503" s="33">
        <f t="shared" si="563"/>
        <v>0</v>
      </c>
      <c r="Y503" s="33">
        <f t="shared" si="564"/>
        <v>0</v>
      </c>
      <c r="Z503" s="33">
        <f t="shared" si="565"/>
        <v>0</v>
      </c>
      <c r="AA503" s="33">
        <f t="shared" si="566"/>
        <v>0</v>
      </c>
      <c r="AB503" s="33">
        <f t="shared" si="567"/>
        <v>0</v>
      </c>
      <c r="AC503" s="33">
        <f t="shared" si="568"/>
        <v>0</v>
      </c>
      <c r="AD503" s="33">
        <f t="shared" si="569"/>
        <v>0</v>
      </c>
      <c r="AE503" s="33"/>
      <c r="AF503" s="33">
        <f t="shared" si="570"/>
        <v>0</v>
      </c>
      <c r="AG503" s="33"/>
      <c r="AH503" s="33">
        <f t="shared" si="571"/>
        <v>0</v>
      </c>
      <c r="AI503" s="33"/>
      <c r="AJ503" s="33">
        <f t="shared" si="572"/>
        <v>0</v>
      </c>
      <c r="AK503" s="33">
        <f t="shared" si="573"/>
        <v>0</v>
      </c>
      <c r="AL503" s="30" t="str">
        <f t="shared" si="574"/>
        <v>ok</v>
      </c>
    </row>
    <row r="504" spans="1:38" x14ac:dyDescent="0.25">
      <c r="A504" s="29">
        <v>935</v>
      </c>
      <c r="B504" s="29" t="s">
        <v>244</v>
      </c>
      <c r="C504" s="29" t="s">
        <v>1710</v>
      </c>
      <c r="D504" s="13" t="s">
        <v>174</v>
      </c>
      <c r="E504" s="13"/>
      <c r="F504" s="33">
        <f>'Jurisdictional Study'!F1437</f>
        <v>790883.9277689266</v>
      </c>
      <c r="H504" s="33">
        <f t="shared" si="549"/>
        <v>475373.84640591167</v>
      </c>
      <c r="I504" s="33">
        <f t="shared" si="550"/>
        <v>0</v>
      </c>
      <c r="J504" s="33">
        <f t="shared" si="551"/>
        <v>0</v>
      </c>
      <c r="K504" s="33">
        <f t="shared" si="552"/>
        <v>0</v>
      </c>
      <c r="L504" s="33">
        <f t="shared" si="553"/>
        <v>0</v>
      </c>
      <c r="M504" s="33">
        <f t="shared" si="554"/>
        <v>0</v>
      </c>
      <c r="N504" s="33"/>
      <c r="O504" s="33">
        <f t="shared" si="555"/>
        <v>110114.85578843992</v>
      </c>
      <c r="P504" s="33">
        <f t="shared" si="556"/>
        <v>0</v>
      </c>
      <c r="Q504" s="33">
        <f t="shared" si="557"/>
        <v>0</v>
      </c>
      <c r="R504" s="33"/>
      <c r="S504" s="33">
        <f t="shared" si="558"/>
        <v>0</v>
      </c>
      <c r="T504" s="33">
        <f t="shared" si="559"/>
        <v>29876.793051435408</v>
      </c>
      <c r="U504" s="33">
        <f t="shared" si="560"/>
        <v>0</v>
      </c>
      <c r="V504" s="33">
        <f t="shared" si="561"/>
        <v>24443.206201992594</v>
      </c>
      <c r="W504" s="33">
        <f t="shared" si="562"/>
        <v>45996.269736367256</v>
      </c>
      <c r="X504" s="33">
        <f t="shared" si="563"/>
        <v>13314.612193039486</v>
      </c>
      <c r="Y504" s="33">
        <f t="shared" si="564"/>
        <v>24665.024042940506</v>
      </c>
      <c r="Z504" s="33">
        <f t="shared" si="565"/>
        <v>18036.225124425982</v>
      </c>
      <c r="AA504" s="33">
        <f t="shared" si="566"/>
        <v>15641.951256430377</v>
      </c>
      <c r="AB504" s="33">
        <f t="shared" si="567"/>
        <v>11582.832981156715</v>
      </c>
      <c r="AC504" s="33">
        <f t="shared" si="568"/>
        <v>8276.3176805454386</v>
      </c>
      <c r="AD504" s="33">
        <f t="shared" si="569"/>
        <v>13561.993306241207</v>
      </c>
      <c r="AE504" s="33"/>
      <c r="AF504" s="33">
        <f t="shared" si="570"/>
        <v>0</v>
      </c>
      <c r="AG504" s="33"/>
      <c r="AH504" s="33">
        <f t="shared" si="571"/>
        <v>0</v>
      </c>
      <c r="AI504" s="33"/>
      <c r="AJ504" s="33">
        <f t="shared" si="572"/>
        <v>0</v>
      </c>
      <c r="AK504" s="33">
        <f t="shared" si="573"/>
        <v>790883.92776892649</v>
      </c>
      <c r="AL504" s="30" t="str">
        <f t="shared" si="574"/>
        <v>ok</v>
      </c>
    </row>
    <row r="505" spans="1:38" x14ac:dyDescent="0.25">
      <c r="D505" s="13"/>
      <c r="E505" s="13"/>
      <c r="F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0"/>
    </row>
    <row r="506" spans="1:38" x14ac:dyDescent="0.25">
      <c r="A506" s="29" t="s">
        <v>245</v>
      </c>
      <c r="C506" s="29" t="s">
        <v>980</v>
      </c>
      <c r="D506" s="13"/>
      <c r="E506" s="13"/>
      <c r="F506" s="32">
        <f t="shared" ref="F506:M506" si="575">SUM(F493:F505)</f>
        <v>61616288.683273725</v>
      </c>
      <c r="G506" s="32">
        <f t="shared" si="575"/>
        <v>0</v>
      </c>
      <c r="H506" s="32">
        <f t="shared" si="575"/>
        <v>20253316.852438305</v>
      </c>
      <c r="I506" s="32">
        <f t="shared" si="575"/>
        <v>0</v>
      </c>
      <c r="J506" s="32">
        <f t="shared" si="575"/>
        <v>0</v>
      </c>
      <c r="K506" s="32">
        <f t="shared" si="575"/>
        <v>13785404.406466367</v>
      </c>
      <c r="L506" s="32">
        <f t="shared" si="575"/>
        <v>0</v>
      </c>
      <c r="M506" s="32">
        <f t="shared" si="575"/>
        <v>0</v>
      </c>
      <c r="N506" s="33"/>
      <c r="O506" s="32">
        <f>SUM(O493:O505)</f>
        <v>3938114.2060694234</v>
      </c>
      <c r="P506" s="32">
        <f>SUM(P493:P505)</f>
        <v>0</v>
      </c>
      <c r="Q506" s="32">
        <f>SUM(Q493:Q505)</f>
        <v>0</v>
      </c>
      <c r="R506" s="33"/>
      <c r="S506" s="32">
        <f t="shared" ref="S506:AD506" si="576">SUM(S493:S505)</f>
        <v>0</v>
      </c>
      <c r="T506" s="32">
        <f t="shared" si="576"/>
        <v>1824319.4347407694</v>
      </c>
      <c r="U506" s="32">
        <f t="shared" si="576"/>
        <v>0</v>
      </c>
      <c r="V506" s="32">
        <f t="shared" si="576"/>
        <v>1492536.9012966671</v>
      </c>
      <c r="W506" s="32">
        <f t="shared" si="576"/>
        <v>2808597.5847933916</v>
      </c>
      <c r="X506" s="32">
        <f t="shared" si="576"/>
        <v>813009.13883163093</v>
      </c>
      <c r="Y506" s="32">
        <f t="shared" si="576"/>
        <v>1506081.4138391225</v>
      </c>
      <c r="Z506" s="32">
        <f t="shared" si="576"/>
        <v>1101317.5332172818</v>
      </c>
      <c r="AA506" s="32">
        <f t="shared" si="576"/>
        <v>955119.7688870678</v>
      </c>
      <c r="AB506" s="32">
        <f t="shared" si="576"/>
        <v>707264.23952203093</v>
      </c>
      <c r="AC506" s="32">
        <f t="shared" si="576"/>
        <v>505363.71714039374</v>
      </c>
      <c r="AD506" s="32">
        <f t="shared" si="576"/>
        <v>828114.58109997434</v>
      </c>
      <c r="AE506" s="33"/>
      <c r="AF506" s="32">
        <f>SUM(AF493:AF505)</f>
        <v>10139761.96851014</v>
      </c>
      <c r="AG506" s="33"/>
      <c r="AH506" s="32">
        <f>SUM(AH493:AH505)</f>
        <v>957966.93642116513</v>
      </c>
      <c r="AI506" s="33"/>
      <c r="AJ506" s="32">
        <f>SUM(AJ493:AJ505)</f>
        <v>0</v>
      </c>
      <c r="AK506" s="33">
        <f>SUM(H506:AJ506)</f>
        <v>61616288.683273725</v>
      </c>
      <c r="AL506" s="30" t="str">
        <f>IF(ABS(AK506-F506)&lt;1,"ok","err")</f>
        <v>ok</v>
      </c>
    </row>
    <row r="507" spans="1:38" x14ac:dyDescent="0.25">
      <c r="D507" s="13"/>
      <c r="E507" s="13"/>
      <c r="F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0"/>
    </row>
    <row r="508" spans="1:38" x14ac:dyDescent="0.25">
      <c r="A508" s="29" t="s">
        <v>784</v>
      </c>
      <c r="C508" s="29" t="s">
        <v>981</v>
      </c>
      <c r="D508" s="13"/>
      <c r="E508" s="13"/>
      <c r="F508" s="32">
        <f>F462+F471+F485+F506</f>
        <v>168260109.9768514</v>
      </c>
      <c r="G508" s="32"/>
      <c r="H508" s="32">
        <f t="shared" ref="H508:M508" si="577">H462+H471+H485+H506</f>
        <v>54929541.827316046</v>
      </c>
      <c r="I508" s="32">
        <f t="shared" si="577"/>
        <v>0</v>
      </c>
      <c r="J508" s="32">
        <f t="shared" si="577"/>
        <v>0</v>
      </c>
      <c r="K508" s="32">
        <f t="shared" si="577"/>
        <v>37955045.527512059</v>
      </c>
      <c r="L508" s="32">
        <f t="shared" si="577"/>
        <v>0</v>
      </c>
      <c r="M508" s="32">
        <f t="shared" si="577"/>
        <v>0</v>
      </c>
      <c r="N508" s="32"/>
      <c r="O508" s="32">
        <f>O462+O471+O485+O506</f>
        <v>10649659.821988253</v>
      </c>
      <c r="P508" s="32">
        <f>P462+P471+P485+P506</f>
        <v>0</v>
      </c>
      <c r="Q508" s="32">
        <f>Q462+Q471+Q485+Q506</f>
        <v>0</v>
      </c>
      <c r="R508" s="32"/>
      <c r="S508" s="32">
        <f t="shared" ref="S508:AD508" si="578">S462+S471+S485+S506</f>
        <v>0</v>
      </c>
      <c r="T508" s="32">
        <f t="shared" si="578"/>
        <v>4970475.5708341142</v>
      </c>
      <c r="U508" s="32">
        <f t="shared" si="578"/>
        <v>0</v>
      </c>
      <c r="V508" s="32">
        <f t="shared" si="578"/>
        <v>4066512.730824301</v>
      </c>
      <c r="W508" s="32">
        <f t="shared" si="578"/>
        <v>7652204.6620102655</v>
      </c>
      <c r="X508" s="32">
        <f t="shared" si="578"/>
        <v>2215095.6605917662</v>
      </c>
      <c r="Y508" s="32">
        <f t="shared" si="578"/>
        <v>4103415.6259144349</v>
      </c>
      <c r="Z508" s="32">
        <f t="shared" si="578"/>
        <v>3000610.4141326752</v>
      </c>
      <c r="AA508" s="32">
        <f t="shared" si="578"/>
        <v>2602285.2073318441</v>
      </c>
      <c r="AB508" s="32">
        <f t="shared" si="578"/>
        <v>1926986.884930246</v>
      </c>
      <c r="AC508" s="32">
        <f t="shared" si="578"/>
        <v>1376895.9331342003</v>
      </c>
      <c r="AD508" s="32">
        <f t="shared" si="578"/>
        <v>2256251.4090597504</v>
      </c>
      <c r="AE508" s="32"/>
      <c r="AF508" s="32">
        <f>AF462+AF471+AF485+AF506</f>
        <v>27917579.768092431</v>
      </c>
      <c r="AG508" s="32"/>
      <c r="AH508" s="32">
        <f>AH462+AH471+AH485+AH506</f>
        <v>2637548.9331790092</v>
      </c>
      <c r="AI508" s="32"/>
      <c r="AJ508" s="32">
        <f>AJ462+AJ471+AJ485+AJ506</f>
        <v>0</v>
      </c>
      <c r="AK508" s="33">
        <f>SUM(H508:AJ508)</f>
        <v>168260109.97685143</v>
      </c>
      <c r="AL508" s="30" t="str">
        <f>IF(ABS(AK508-F508)&lt;1,"ok","err")</f>
        <v>ok</v>
      </c>
    </row>
    <row r="509" spans="1:38" x14ac:dyDescent="0.25">
      <c r="D509" s="13"/>
      <c r="E509" s="13"/>
      <c r="F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0"/>
    </row>
    <row r="510" spans="1:38" x14ac:dyDescent="0.25">
      <c r="A510" s="29" t="s">
        <v>1260</v>
      </c>
      <c r="C510" s="29" t="s">
        <v>982</v>
      </c>
      <c r="D510" s="13"/>
      <c r="E510" s="13"/>
      <c r="F510" s="34">
        <f t="shared" ref="F510:M510" si="579">F508-F405</f>
        <v>168260109.9768514</v>
      </c>
      <c r="G510" s="34">
        <f t="shared" si="579"/>
        <v>0</v>
      </c>
      <c r="H510" s="34">
        <f t="shared" si="579"/>
        <v>54929541.827316046</v>
      </c>
      <c r="I510" s="34">
        <f t="shared" si="579"/>
        <v>0</v>
      </c>
      <c r="J510" s="34">
        <f t="shared" si="579"/>
        <v>0</v>
      </c>
      <c r="K510" s="34">
        <f t="shared" si="579"/>
        <v>37955045.527512059</v>
      </c>
      <c r="L510" s="34">
        <f t="shared" si="579"/>
        <v>0</v>
      </c>
      <c r="M510" s="34">
        <f t="shared" si="579"/>
        <v>0</v>
      </c>
      <c r="N510" s="34"/>
      <c r="O510" s="34">
        <f>O508-O405</f>
        <v>10649659.821988253</v>
      </c>
      <c r="P510" s="34">
        <f>P508-P405</f>
        <v>0</v>
      </c>
      <c r="Q510" s="34">
        <f>Q508-Q405</f>
        <v>0</v>
      </c>
      <c r="R510" s="34"/>
      <c r="S510" s="34">
        <f t="shared" ref="S510:AD510" si="580">S508-S405</f>
        <v>0</v>
      </c>
      <c r="T510" s="34">
        <f t="shared" si="580"/>
        <v>4970475.5708341142</v>
      </c>
      <c r="U510" s="34">
        <f t="shared" si="580"/>
        <v>0</v>
      </c>
      <c r="V510" s="34">
        <f t="shared" si="580"/>
        <v>4066512.730824301</v>
      </c>
      <c r="W510" s="34">
        <f t="shared" si="580"/>
        <v>7652204.6620102655</v>
      </c>
      <c r="X510" s="34">
        <f t="shared" si="580"/>
        <v>2215095.6605917662</v>
      </c>
      <c r="Y510" s="34">
        <f t="shared" si="580"/>
        <v>4103415.6259144349</v>
      </c>
      <c r="Z510" s="34">
        <f t="shared" si="580"/>
        <v>3000610.4141326752</v>
      </c>
      <c r="AA510" s="34">
        <f t="shared" si="580"/>
        <v>2602285.2073318441</v>
      </c>
      <c r="AB510" s="34">
        <f t="shared" si="580"/>
        <v>1926986.884930246</v>
      </c>
      <c r="AC510" s="34">
        <f t="shared" si="580"/>
        <v>1376895.9331342003</v>
      </c>
      <c r="AD510" s="34">
        <f t="shared" si="580"/>
        <v>2256251.4090597504</v>
      </c>
      <c r="AE510" s="34"/>
      <c r="AF510" s="34">
        <f>AF508-AF405</f>
        <v>27917579.768092431</v>
      </c>
      <c r="AG510" s="34"/>
      <c r="AH510" s="34">
        <f>AH508-AH405</f>
        <v>2637548.9331790092</v>
      </c>
      <c r="AI510" s="34"/>
      <c r="AJ510" s="34">
        <f>AJ508-AJ405</f>
        <v>0</v>
      </c>
      <c r="AK510" s="33">
        <f>SUM(H510:AJ510)</f>
        <v>168260109.97685143</v>
      </c>
      <c r="AL510" s="30" t="str">
        <f>IF(ABS(AK510-F510)&lt;1,"ok","err")</f>
        <v>ok</v>
      </c>
    </row>
    <row r="511" spans="1:38" x14ac:dyDescent="0.25">
      <c r="D511" s="13"/>
      <c r="E511" s="13"/>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3"/>
      <c r="AL511" s="30"/>
    </row>
    <row r="512" spans="1:38" x14ac:dyDescent="0.25">
      <c r="D512" s="105"/>
      <c r="E512" s="105"/>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3"/>
      <c r="AL512" s="30"/>
    </row>
    <row r="513" spans="1:38" x14ac:dyDescent="0.25">
      <c r="A513" s="3" t="s">
        <v>787</v>
      </c>
      <c r="D513" s="105"/>
      <c r="E513" s="105"/>
      <c r="AL513" s="30"/>
    </row>
    <row r="514" spans="1:38" x14ac:dyDescent="0.25">
      <c r="D514" s="105"/>
      <c r="E514" s="105"/>
      <c r="AL514" s="30"/>
    </row>
    <row r="515" spans="1:38" x14ac:dyDescent="0.25">
      <c r="A515" s="4" t="s">
        <v>788</v>
      </c>
      <c r="D515" s="105"/>
      <c r="E515" s="105"/>
      <c r="AL515" s="30"/>
    </row>
    <row r="516" spans="1:38" x14ac:dyDescent="0.25">
      <c r="A516" s="39" t="s">
        <v>1559</v>
      </c>
      <c r="C516" s="29" t="s">
        <v>1262</v>
      </c>
      <c r="D516" s="105" t="s">
        <v>1445</v>
      </c>
      <c r="E516" s="105"/>
      <c r="F516" s="32">
        <f>'Jurisdictional Study'!F1135-65540979.29</f>
        <v>128277456.27159262</v>
      </c>
      <c r="H516" s="33">
        <f t="shared" ref="H516:H524" si="581">IF(VLOOKUP($D516,$C$5:$AJ$596,6,)=0,0,((VLOOKUP($D516,$C$5:$AJ$596,6,)/VLOOKUP($D516,$C$5:$AJ$596,4,))*$F516))</f>
        <v>128277456.27159262</v>
      </c>
      <c r="I516" s="33">
        <f t="shared" ref="I516:I524" si="582">IF(VLOOKUP($D516,$C$5:$AJ$596,7,)=0,0,((VLOOKUP($D516,$C$5:$AJ$596,7,)/VLOOKUP($D516,$C$5:$AJ$596,4,))*$F516))</f>
        <v>0</v>
      </c>
      <c r="J516" s="33">
        <f t="shared" ref="J516:J524" si="583">IF(VLOOKUP($D516,$C$5:$AJ$596,8,)=0,0,((VLOOKUP($D516,$C$5:$AJ$596,8,)/VLOOKUP($D516,$C$5:$AJ$596,4,))*$F516))</f>
        <v>0</v>
      </c>
      <c r="K516" s="33">
        <f t="shared" ref="K516:K524" si="584">IF(VLOOKUP($D516,$C$5:$AJ$596,9,)=0,0,((VLOOKUP($D516,$C$5:$AJ$596,9,)/VLOOKUP($D516,$C$5:$AJ$596,4,))*$F516))</f>
        <v>0</v>
      </c>
      <c r="L516" s="33">
        <f t="shared" ref="L516:L524" si="585">IF(VLOOKUP($D516,$C$5:$AJ$596,10,)=0,0,((VLOOKUP($D516,$C$5:$AJ$596,10,)/VLOOKUP($D516,$C$5:$AJ$596,4,))*$F516))</f>
        <v>0</v>
      </c>
      <c r="M516" s="33">
        <f t="shared" ref="M516:M524" si="586">IF(VLOOKUP($D516,$C$5:$AJ$596,11,)=0,0,((VLOOKUP($D516,$C$5:$AJ$596,11,)/VLOOKUP($D516,$C$5:$AJ$596,4,))*$F516))</f>
        <v>0</v>
      </c>
      <c r="N516" s="33"/>
      <c r="O516" s="33">
        <f t="shared" ref="O516:O524" si="587">IF(VLOOKUP($D516,$C$5:$AJ$596,13,)=0,0,((VLOOKUP($D516,$C$5:$AJ$596,13,)/VLOOKUP($D516,$C$5:$AJ$596,4,))*$F516))</f>
        <v>0</v>
      </c>
      <c r="P516" s="33">
        <f t="shared" ref="P516:P524" si="588">IF(VLOOKUP($D516,$C$5:$AJ$596,14,)=0,0,((VLOOKUP($D516,$C$5:$AJ$596,14,)/VLOOKUP($D516,$C$5:$AJ$596,4,))*$F516))</f>
        <v>0</v>
      </c>
      <c r="Q516" s="33">
        <f t="shared" ref="Q516:Q524" si="589">IF(VLOOKUP($D516,$C$5:$AJ$596,15,)=0,0,((VLOOKUP($D516,$C$5:$AJ$596,15,)/VLOOKUP($D516,$C$5:$AJ$596,4,))*$F516))</f>
        <v>0</v>
      </c>
      <c r="R516" s="33"/>
      <c r="S516" s="33">
        <f t="shared" ref="S516:S524" si="590">IF(VLOOKUP($D516,$C$5:$AJ$596,17,)=0,0,((VLOOKUP($D516,$C$5:$AJ$596,17,)/VLOOKUP($D516,$C$5:$AJ$596,4,))*$F516))</f>
        <v>0</v>
      </c>
      <c r="T516" s="33">
        <f t="shared" ref="T516:T524" si="591">IF(VLOOKUP($D516,$C$5:$AJ$596,18,)=0,0,((VLOOKUP($D516,$C$5:$AJ$596,18,)/VLOOKUP($D516,$C$5:$AJ$596,4,))*$F516))</f>
        <v>0</v>
      </c>
      <c r="U516" s="33">
        <f t="shared" ref="U516:U524" si="592">IF(VLOOKUP($D516,$C$5:$AJ$596,19,)=0,0,((VLOOKUP($D516,$C$5:$AJ$596,19,)/VLOOKUP($D516,$C$5:$AJ$596,4,))*$F516))</f>
        <v>0</v>
      </c>
      <c r="V516" s="33">
        <f t="shared" ref="V516:V524" si="593">IF(VLOOKUP($D516,$C$5:$AJ$596,20,)=0,0,((VLOOKUP($D516,$C$5:$AJ$596,20,)/VLOOKUP($D516,$C$5:$AJ$596,4,))*$F516))</f>
        <v>0</v>
      </c>
      <c r="W516" s="33">
        <f t="shared" ref="W516:W524" si="594">IF(VLOOKUP($D516,$C$5:$AJ$596,21,)=0,0,((VLOOKUP($D516,$C$5:$AJ$596,21,)/VLOOKUP($D516,$C$5:$AJ$596,4,))*$F516))</f>
        <v>0</v>
      </c>
      <c r="X516" s="33">
        <f t="shared" ref="X516:X524" si="595">IF(VLOOKUP($D516,$C$5:$AJ$596,22,)=0,0,((VLOOKUP($D516,$C$5:$AJ$596,22,)/VLOOKUP($D516,$C$5:$AJ$596,4,))*$F516))</f>
        <v>0</v>
      </c>
      <c r="Y516" s="33">
        <f t="shared" ref="Y516:Y524" si="596">IF(VLOOKUP($D516,$C$5:$AJ$596,23,)=0,0,((VLOOKUP($D516,$C$5:$AJ$596,23,)/VLOOKUP($D516,$C$5:$AJ$596,4,))*$F516))</f>
        <v>0</v>
      </c>
      <c r="Z516" s="33">
        <f t="shared" ref="Z516:Z524" si="597">IF(VLOOKUP($D516,$C$5:$AJ$596,24,)=0,0,((VLOOKUP($D516,$C$5:$AJ$596,24,)/VLOOKUP($D516,$C$5:$AJ$596,4,))*$F516))</f>
        <v>0</v>
      </c>
      <c r="AA516" s="33">
        <f t="shared" ref="AA516:AA524" si="598">IF(VLOOKUP($D516,$C$5:$AJ$596,25,)=0,0,((VLOOKUP($D516,$C$5:$AJ$596,25,)/VLOOKUP($D516,$C$5:$AJ$596,4,))*$F516))</f>
        <v>0</v>
      </c>
      <c r="AB516" s="33">
        <f t="shared" ref="AB516:AB524" si="599">IF(VLOOKUP($D516,$C$5:$AJ$596,26,)=0,0,((VLOOKUP($D516,$C$5:$AJ$596,26,)/VLOOKUP($D516,$C$5:$AJ$596,4,))*$F516))</f>
        <v>0</v>
      </c>
      <c r="AC516" s="33">
        <f t="shared" ref="AC516:AC524" si="600">IF(VLOOKUP($D516,$C$5:$AJ$596,27,)=0,0,((VLOOKUP($D516,$C$5:$AJ$596,27,)/VLOOKUP($D516,$C$5:$AJ$596,4,))*$F516))</f>
        <v>0</v>
      </c>
      <c r="AD516" s="33">
        <f t="shared" ref="AD516:AD524" si="601">IF(VLOOKUP($D516,$C$5:$AJ$596,28,)=0,0,((VLOOKUP($D516,$C$5:$AJ$596,28,)/VLOOKUP($D516,$C$5:$AJ$596,4,))*$F516))</f>
        <v>0</v>
      </c>
      <c r="AE516" s="33"/>
      <c r="AF516" s="33">
        <f t="shared" ref="AF516:AF524" si="602">IF(VLOOKUP($D516,$C$5:$AJ$596,30,)=0,0,((VLOOKUP($D516,$C$5:$AJ$596,30,)/VLOOKUP($D516,$C$5:$AJ$596,4,))*$F516))</f>
        <v>0</v>
      </c>
      <c r="AG516" s="33"/>
      <c r="AH516" s="33">
        <f t="shared" ref="AH516:AH524" si="603">IF(VLOOKUP($D516,$C$5:$AJ$596,32,)=0,0,((VLOOKUP($D516,$C$5:$AJ$596,32,)/VLOOKUP($D516,$C$5:$AJ$596,4,))*$F516))</f>
        <v>0</v>
      </c>
      <c r="AI516" s="33"/>
      <c r="AJ516" s="33">
        <f t="shared" ref="AJ516:AJ524" si="604">IF(VLOOKUP($D516,$C$5:$AJ$596,34,)=0,0,((VLOOKUP($D516,$C$5:$AJ$596,34,)/VLOOKUP($D516,$C$5:$AJ$596,4,))*$F516))</f>
        <v>0</v>
      </c>
      <c r="AK516" s="33">
        <f t="shared" ref="AK516:AK524" si="605">SUM(H516:AJ516)</f>
        <v>128277456.27159262</v>
      </c>
      <c r="AL516" s="30" t="str">
        <f t="shared" ref="AL516:AL524" si="606">IF(ABS(AK516-F516)&lt;1,"ok","err")</f>
        <v>ok</v>
      </c>
    </row>
    <row r="517" spans="1:38" x14ac:dyDescent="0.25">
      <c r="A517" s="39" t="s">
        <v>1558</v>
      </c>
      <c r="C517" s="29" t="s">
        <v>917</v>
      </c>
      <c r="D517" s="105" t="s">
        <v>1445</v>
      </c>
      <c r="E517" s="105"/>
      <c r="F517" s="33">
        <f>'Jurisdictional Study'!F1141</f>
        <v>1216001.9414173376</v>
      </c>
      <c r="H517" s="33">
        <f t="shared" si="581"/>
        <v>1216001.9414173376</v>
      </c>
      <c r="I517" s="33">
        <f t="shared" si="582"/>
        <v>0</v>
      </c>
      <c r="J517" s="33">
        <f t="shared" si="583"/>
        <v>0</v>
      </c>
      <c r="K517" s="33">
        <f t="shared" si="584"/>
        <v>0</v>
      </c>
      <c r="L517" s="33">
        <f t="shared" si="585"/>
        <v>0</v>
      </c>
      <c r="M517" s="33">
        <f t="shared" si="586"/>
        <v>0</v>
      </c>
      <c r="N517" s="33"/>
      <c r="O517" s="33">
        <f t="shared" si="587"/>
        <v>0</v>
      </c>
      <c r="P517" s="33">
        <f t="shared" si="588"/>
        <v>0</v>
      </c>
      <c r="Q517" s="33">
        <f t="shared" si="589"/>
        <v>0</v>
      </c>
      <c r="R517" s="33"/>
      <c r="S517" s="33">
        <f t="shared" si="590"/>
        <v>0</v>
      </c>
      <c r="T517" s="33">
        <f t="shared" si="591"/>
        <v>0</v>
      </c>
      <c r="U517" s="33">
        <f t="shared" si="592"/>
        <v>0</v>
      </c>
      <c r="V517" s="33">
        <f t="shared" si="593"/>
        <v>0</v>
      </c>
      <c r="W517" s="33">
        <f t="shared" si="594"/>
        <v>0</v>
      </c>
      <c r="X517" s="33">
        <f t="shared" si="595"/>
        <v>0</v>
      </c>
      <c r="Y517" s="33">
        <f t="shared" si="596"/>
        <v>0</v>
      </c>
      <c r="Z517" s="33">
        <f t="shared" si="597"/>
        <v>0</v>
      </c>
      <c r="AA517" s="33">
        <f t="shared" si="598"/>
        <v>0</v>
      </c>
      <c r="AB517" s="33">
        <f t="shared" si="599"/>
        <v>0</v>
      </c>
      <c r="AC517" s="33">
        <f t="shared" si="600"/>
        <v>0</v>
      </c>
      <c r="AD517" s="33">
        <f t="shared" si="601"/>
        <v>0</v>
      </c>
      <c r="AE517" s="33"/>
      <c r="AF517" s="33">
        <f t="shared" si="602"/>
        <v>0</v>
      </c>
      <c r="AG517" s="33"/>
      <c r="AH517" s="33">
        <f t="shared" si="603"/>
        <v>0</v>
      </c>
      <c r="AI517" s="33"/>
      <c r="AJ517" s="33">
        <f t="shared" si="604"/>
        <v>0</v>
      </c>
      <c r="AK517" s="33">
        <f t="shared" si="605"/>
        <v>1216001.9414173376</v>
      </c>
      <c r="AL517" s="30" t="str">
        <f t="shared" si="606"/>
        <v>ok</v>
      </c>
    </row>
    <row r="518" spans="1:38" x14ac:dyDescent="0.25">
      <c r="A518" s="40" t="s">
        <v>1557</v>
      </c>
      <c r="C518" s="29" t="s">
        <v>918</v>
      </c>
      <c r="D518" s="105" t="s">
        <v>1445</v>
      </c>
      <c r="E518" s="105"/>
      <c r="F518" s="33">
        <f>'Jurisdictional Study'!F1147</f>
        <v>39294287.14586772</v>
      </c>
      <c r="H518" s="33">
        <f t="shared" si="581"/>
        <v>39294287.14586772</v>
      </c>
      <c r="I518" s="33">
        <f t="shared" si="582"/>
        <v>0</v>
      </c>
      <c r="J518" s="33">
        <f t="shared" si="583"/>
        <v>0</v>
      </c>
      <c r="K518" s="33">
        <f t="shared" si="584"/>
        <v>0</v>
      </c>
      <c r="L518" s="33">
        <f t="shared" si="585"/>
        <v>0</v>
      </c>
      <c r="M518" s="33">
        <f t="shared" si="586"/>
        <v>0</v>
      </c>
      <c r="N518" s="33"/>
      <c r="O518" s="33">
        <f t="shared" si="587"/>
        <v>0</v>
      </c>
      <c r="P518" s="33">
        <f t="shared" si="588"/>
        <v>0</v>
      </c>
      <c r="Q518" s="33">
        <f t="shared" si="589"/>
        <v>0</v>
      </c>
      <c r="R518" s="33"/>
      <c r="S518" s="33">
        <f t="shared" si="590"/>
        <v>0</v>
      </c>
      <c r="T518" s="33">
        <f t="shared" si="591"/>
        <v>0</v>
      </c>
      <c r="U518" s="33">
        <f t="shared" si="592"/>
        <v>0</v>
      </c>
      <c r="V518" s="33">
        <f t="shared" si="593"/>
        <v>0</v>
      </c>
      <c r="W518" s="33">
        <f t="shared" si="594"/>
        <v>0</v>
      </c>
      <c r="X518" s="33">
        <f t="shared" si="595"/>
        <v>0</v>
      </c>
      <c r="Y518" s="33">
        <f t="shared" si="596"/>
        <v>0</v>
      </c>
      <c r="Z518" s="33">
        <f t="shared" si="597"/>
        <v>0</v>
      </c>
      <c r="AA518" s="33">
        <f t="shared" si="598"/>
        <v>0</v>
      </c>
      <c r="AB518" s="33">
        <f t="shared" si="599"/>
        <v>0</v>
      </c>
      <c r="AC518" s="33">
        <f t="shared" si="600"/>
        <v>0</v>
      </c>
      <c r="AD518" s="33">
        <f t="shared" si="601"/>
        <v>0</v>
      </c>
      <c r="AE518" s="33"/>
      <c r="AF518" s="33">
        <f t="shared" si="602"/>
        <v>0</v>
      </c>
      <c r="AG518" s="33"/>
      <c r="AH518" s="33">
        <f t="shared" si="603"/>
        <v>0</v>
      </c>
      <c r="AI518" s="33"/>
      <c r="AJ518" s="33">
        <f t="shared" si="604"/>
        <v>0</v>
      </c>
      <c r="AK518" s="33">
        <f t="shared" si="605"/>
        <v>39294287.14586772</v>
      </c>
      <c r="AL518" s="30" t="str">
        <f t="shared" si="606"/>
        <v>ok</v>
      </c>
    </row>
    <row r="519" spans="1:38" x14ac:dyDescent="0.25">
      <c r="A519" s="29" t="s">
        <v>1560</v>
      </c>
      <c r="C519" s="29" t="s">
        <v>919</v>
      </c>
      <c r="D519" s="105" t="s">
        <v>454</v>
      </c>
      <c r="E519" s="105"/>
      <c r="F519" s="33">
        <f>'Jurisdictional Study'!F1152</f>
        <v>23941155.528574456</v>
      </c>
      <c r="H519" s="33">
        <f t="shared" si="581"/>
        <v>0</v>
      </c>
      <c r="I519" s="33">
        <f t="shared" si="582"/>
        <v>0</v>
      </c>
      <c r="J519" s="33">
        <f t="shared" si="583"/>
        <v>0</v>
      </c>
      <c r="K519" s="33">
        <f t="shared" si="584"/>
        <v>0</v>
      </c>
      <c r="L519" s="33">
        <f t="shared" si="585"/>
        <v>0</v>
      </c>
      <c r="M519" s="33">
        <f t="shared" si="586"/>
        <v>0</v>
      </c>
      <c r="N519" s="33"/>
      <c r="O519" s="33">
        <f t="shared" si="587"/>
        <v>23941155.528574456</v>
      </c>
      <c r="P519" s="33">
        <f t="shared" si="588"/>
        <v>0</v>
      </c>
      <c r="Q519" s="33">
        <f t="shared" si="589"/>
        <v>0</v>
      </c>
      <c r="R519" s="33"/>
      <c r="S519" s="33">
        <f t="shared" si="590"/>
        <v>0</v>
      </c>
      <c r="T519" s="33">
        <f t="shared" si="591"/>
        <v>0</v>
      </c>
      <c r="U519" s="33">
        <f t="shared" si="592"/>
        <v>0</v>
      </c>
      <c r="V519" s="33">
        <f t="shared" si="593"/>
        <v>0</v>
      </c>
      <c r="W519" s="33">
        <f t="shared" si="594"/>
        <v>0</v>
      </c>
      <c r="X519" s="33">
        <f t="shared" si="595"/>
        <v>0</v>
      </c>
      <c r="Y519" s="33">
        <f t="shared" si="596"/>
        <v>0</v>
      </c>
      <c r="Z519" s="33">
        <f t="shared" si="597"/>
        <v>0</v>
      </c>
      <c r="AA519" s="33">
        <f t="shared" si="598"/>
        <v>0</v>
      </c>
      <c r="AB519" s="33">
        <f t="shared" si="599"/>
        <v>0</v>
      </c>
      <c r="AC519" s="33">
        <f t="shared" si="600"/>
        <v>0</v>
      </c>
      <c r="AD519" s="33">
        <f t="shared" si="601"/>
        <v>0</v>
      </c>
      <c r="AE519" s="33"/>
      <c r="AF519" s="33">
        <f t="shared" si="602"/>
        <v>0</v>
      </c>
      <c r="AG519" s="33"/>
      <c r="AH519" s="33">
        <f t="shared" si="603"/>
        <v>0</v>
      </c>
      <c r="AI519" s="33"/>
      <c r="AJ519" s="33">
        <f t="shared" si="604"/>
        <v>0</v>
      </c>
      <c r="AK519" s="33">
        <f t="shared" si="605"/>
        <v>23941155.528574456</v>
      </c>
      <c r="AL519" s="30" t="str">
        <f t="shared" si="606"/>
        <v>ok</v>
      </c>
    </row>
    <row r="520" spans="1:38" x14ac:dyDescent="0.25">
      <c r="A520" s="29" t="s">
        <v>1561</v>
      </c>
      <c r="C520" s="29" t="s">
        <v>920</v>
      </c>
      <c r="D520" s="105" t="s">
        <v>454</v>
      </c>
      <c r="E520" s="105"/>
      <c r="F520" s="33">
        <f>'Jurisdictional Study'!F1153</f>
        <v>184158.40107167442</v>
      </c>
      <c r="H520" s="33">
        <f t="shared" si="581"/>
        <v>0</v>
      </c>
      <c r="I520" s="33">
        <f t="shared" si="582"/>
        <v>0</v>
      </c>
      <c r="J520" s="33">
        <f t="shared" si="583"/>
        <v>0</v>
      </c>
      <c r="K520" s="33">
        <f t="shared" si="584"/>
        <v>0</v>
      </c>
      <c r="L520" s="33">
        <f t="shared" si="585"/>
        <v>0</v>
      </c>
      <c r="M520" s="33">
        <f t="shared" si="586"/>
        <v>0</v>
      </c>
      <c r="N520" s="33"/>
      <c r="O520" s="33">
        <f t="shared" si="587"/>
        <v>184158.40107167442</v>
      </c>
      <c r="P520" s="33">
        <f t="shared" si="588"/>
        <v>0</v>
      </c>
      <c r="Q520" s="33">
        <f t="shared" si="589"/>
        <v>0</v>
      </c>
      <c r="R520" s="33"/>
      <c r="S520" s="33">
        <f t="shared" si="590"/>
        <v>0</v>
      </c>
      <c r="T520" s="33">
        <f t="shared" si="591"/>
        <v>0</v>
      </c>
      <c r="U520" s="33">
        <f t="shared" si="592"/>
        <v>0</v>
      </c>
      <c r="V520" s="33">
        <f t="shared" si="593"/>
        <v>0</v>
      </c>
      <c r="W520" s="33">
        <f t="shared" si="594"/>
        <v>0</v>
      </c>
      <c r="X520" s="33">
        <f t="shared" si="595"/>
        <v>0</v>
      </c>
      <c r="Y520" s="33">
        <f t="shared" si="596"/>
        <v>0</v>
      </c>
      <c r="Z520" s="33">
        <f t="shared" si="597"/>
        <v>0</v>
      </c>
      <c r="AA520" s="33">
        <f t="shared" si="598"/>
        <v>0</v>
      </c>
      <c r="AB520" s="33">
        <f t="shared" si="599"/>
        <v>0</v>
      </c>
      <c r="AC520" s="33">
        <f t="shared" si="600"/>
        <v>0</v>
      </c>
      <c r="AD520" s="33">
        <f t="shared" si="601"/>
        <v>0</v>
      </c>
      <c r="AE520" s="33"/>
      <c r="AF520" s="33">
        <f t="shared" si="602"/>
        <v>0</v>
      </c>
      <c r="AG520" s="33"/>
      <c r="AH520" s="33">
        <f t="shared" si="603"/>
        <v>0</v>
      </c>
      <c r="AI520" s="33"/>
      <c r="AJ520" s="33">
        <f t="shared" si="604"/>
        <v>0</v>
      </c>
      <c r="AK520" s="33">
        <f t="shared" si="605"/>
        <v>184158.40107167442</v>
      </c>
      <c r="AL520" s="30" t="str">
        <f t="shared" si="606"/>
        <v>ok</v>
      </c>
    </row>
    <row r="521" spans="1:38" x14ac:dyDescent="0.25">
      <c r="A521" s="29" t="s">
        <v>1561</v>
      </c>
      <c r="C521" s="29" t="s">
        <v>921</v>
      </c>
      <c r="D521" s="105" t="s">
        <v>454</v>
      </c>
      <c r="E521" s="105"/>
      <c r="F521" s="33">
        <f>'Jurisdictional Study'!F1154+'Jurisdictional Study'!F1155</f>
        <v>58175.882430763173</v>
      </c>
      <c r="H521" s="33">
        <f t="shared" si="581"/>
        <v>0</v>
      </c>
      <c r="I521" s="33">
        <f t="shared" si="582"/>
        <v>0</v>
      </c>
      <c r="J521" s="33">
        <f t="shared" si="583"/>
        <v>0</v>
      </c>
      <c r="K521" s="33">
        <f t="shared" si="584"/>
        <v>0</v>
      </c>
      <c r="L521" s="33">
        <f t="shared" si="585"/>
        <v>0</v>
      </c>
      <c r="M521" s="33">
        <f t="shared" si="586"/>
        <v>0</v>
      </c>
      <c r="N521" s="33"/>
      <c r="O521" s="33">
        <f t="shared" si="587"/>
        <v>58175.882430763173</v>
      </c>
      <c r="P521" s="33">
        <f t="shared" si="588"/>
        <v>0</v>
      </c>
      <c r="Q521" s="33">
        <f t="shared" si="589"/>
        <v>0</v>
      </c>
      <c r="R521" s="33"/>
      <c r="S521" s="33">
        <f t="shared" si="590"/>
        <v>0</v>
      </c>
      <c r="T521" s="33">
        <f t="shared" si="591"/>
        <v>0</v>
      </c>
      <c r="U521" s="33">
        <f t="shared" si="592"/>
        <v>0</v>
      </c>
      <c r="V521" s="33">
        <f t="shared" si="593"/>
        <v>0</v>
      </c>
      <c r="W521" s="33">
        <f t="shared" si="594"/>
        <v>0</v>
      </c>
      <c r="X521" s="33">
        <f t="shared" si="595"/>
        <v>0</v>
      </c>
      <c r="Y521" s="33">
        <f t="shared" si="596"/>
        <v>0</v>
      </c>
      <c r="Z521" s="33">
        <f t="shared" si="597"/>
        <v>0</v>
      </c>
      <c r="AA521" s="33">
        <f t="shared" si="598"/>
        <v>0</v>
      </c>
      <c r="AB521" s="33">
        <f t="shared" si="599"/>
        <v>0</v>
      </c>
      <c r="AC521" s="33">
        <f t="shared" si="600"/>
        <v>0</v>
      </c>
      <c r="AD521" s="33">
        <f t="shared" si="601"/>
        <v>0</v>
      </c>
      <c r="AE521" s="33"/>
      <c r="AF521" s="33">
        <f t="shared" si="602"/>
        <v>0</v>
      </c>
      <c r="AG521" s="33"/>
      <c r="AH521" s="33">
        <f t="shared" si="603"/>
        <v>0</v>
      </c>
      <c r="AI521" s="33"/>
      <c r="AJ521" s="33">
        <f t="shared" si="604"/>
        <v>0</v>
      </c>
      <c r="AK521" s="33">
        <f t="shared" ref="AK521" si="607">SUM(H521:AJ521)</f>
        <v>58175.882430763173</v>
      </c>
      <c r="AL521" s="30" t="str">
        <f t="shared" ref="AL521" si="608">IF(ABS(AK521-F521)&lt;1,"ok","err")</f>
        <v>ok</v>
      </c>
    </row>
    <row r="522" spans="1:38" x14ac:dyDescent="0.25">
      <c r="A522" s="29" t="s">
        <v>1563</v>
      </c>
      <c r="C522" s="29" t="s">
        <v>922</v>
      </c>
      <c r="D522" s="105" t="s">
        <v>109</v>
      </c>
      <c r="E522" s="105"/>
      <c r="F522" s="33">
        <f>'Jurisdictional Study'!F1162-1213841.11</f>
        <v>46280246.804362223</v>
      </c>
      <c r="H522" s="33">
        <f t="shared" si="581"/>
        <v>0</v>
      </c>
      <c r="I522" s="33">
        <f t="shared" si="582"/>
        <v>0</v>
      </c>
      <c r="J522" s="33">
        <f t="shared" si="583"/>
        <v>0</v>
      </c>
      <c r="K522" s="33">
        <f t="shared" si="584"/>
        <v>0</v>
      </c>
      <c r="L522" s="33">
        <f t="shared" si="585"/>
        <v>0</v>
      </c>
      <c r="M522" s="33">
        <f t="shared" si="586"/>
        <v>0</v>
      </c>
      <c r="N522" s="33"/>
      <c r="O522" s="33">
        <f t="shared" si="587"/>
        <v>0</v>
      </c>
      <c r="P522" s="33">
        <f t="shared" si="588"/>
        <v>0</v>
      </c>
      <c r="Q522" s="33">
        <f t="shared" si="589"/>
        <v>0</v>
      </c>
      <c r="R522" s="33"/>
      <c r="S522" s="33">
        <f t="shared" si="590"/>
        <v>0</v>
      </c>
      <c r="T522" s="33">
        <f t="shared" si="591"/>
        <v>6731925.4976608595</v>
      </c>
      <c r="U522" s="33">
        <f t="shared" si="592"/>
        <v>0</v>
      </c>
      <c r="V522" s="33">
        <f t="shared" si="593"/>
        <v>5507613.979602484</v>
      </c>
      <c r="W522" s="33">
        <f t="shared" si="594"/>
        <v>10364012.646955114</v>
      </c>
      <c r="X522" s="33">
        <f t="shared" si="595"/>
        <v>3000086.9624620685</v>
      </c>
      <c r="Y522" s="33">
        <f t="shared" si="596"/>
        <v>5557594.6176429363</v>
      </c>
      <c r="Z522" s="33">
        <f t="shared" si="597"/>
        <v>4063974.4562825901</v>
      </c>
      <c r="AA522" s="33">
        <f t="shared" si="598"/>
        <v>3524489.7374041588</v>
      </c>
      <c r="AB522" s="33">
        <f t="shared" si="599"/>
        <v>2609877.4572878662</v>
      </c>
      <c r="AC522" s="33">
        <f t="shared" si="600"/>
        <v>1864843.8580568603</v>
      </c>
      <c r="AD522" s="33">
        <f t="shared" si="601"/>
        <v>3055827.5910072853</v>
      </c>
      <c r="AE522" s="33"/>
      <c r="AF522" s="33">
        <f t="shared" si="602"/>
        <v>0</v>
      </c>
      <c r="AG522" s="33"/>
      <c r="AH522" s="33">
        <f t="shared" si="603"/>
        <v>0</v>
      </c>
      <c r="AI522" s="33"/>
      <c r="AJ522" s="33">
        <f t="shared" si="604"/>
        <v>0</v>
      </c>
      <c r="AK522" s="33">
        <f t="shared" si="605"/>
        <v>46280246.804362215</v>
      </c>
      <c r="AL522" s="30" t="str">
        <f t="shared" si="606"/>
        <v>ok</v>
      </c>
    </row>
    <row r="523" spans="1:38" x14ac:dyDescent="0.25">
      <c r="A523" s="39" t="s">
        <v>186</v>
      </c>
      <c r="C523" s="29" t="s">
        <v>2192</v>
      </c>
      <c r="D523" s="105" t="s">
        <v>174</v>
      </c>
      <c r="E523" s="105"/>
      <c r="F523" s="33">
        <f>'Jurisdictional Study'!F1164</f>
        <v>12484170.978525421</v>
      </c>
      <c r="H523" s="33">
        <f t="shared" si="581"/>
        <v>7503817.1454466777</v>
      </c>
      <c r="I523" s="33">
        <f t="shared" si="582"/>
        <v>0</v>
      </c>
      <c r="J523" s="33">
        <f t="shared" si="583"/>
        <v>0</v>
      </c>
      <c r="K523" s="33">
        <f t="shared" si="584"/>
        <v>0</v>
      </c>
      <c r="L523" s="33">
        <f t="shared" si="585"/>
        <v>0</v>
      </c>
      <c r="M523" s="33">
        <f t="shared" si="586"/>
        <v>0</v>
      </c>
      <c r="N523" s="33"/>
      <c r="O523" s="33">
        <f t="shared" si="587"/>
        <v>1738172.4911473976</v>
      </c>
      <c r="P523" s="33">
        <f t="shared" si="588"/>
        <v>0</v>
      </c>
      <c r="Q523" s="33">
        <f t="shared" si="589"/>
        <v>0</v>
      </c>
      <c r="R523" s="33"/>
      <c r="S523" s="33">
        <f t="shared" si="590"/>
        <v>0</v>
      </c>
      <c r="T523" s="33">
        <f t="shared" si="591"/>
        <v>471607.75386640028</v>
      </c>
      <c r="U523" s="33">
        <f t="shared" si="592"/>
        <v>0</v>
      </c>
      <c r="V523" s="33">
        <f t="shared" si="593"/>
        <v>385838.1170418543</v>
      </c>
      <c r="W523" s="33">
        <f t="shared" si="594"/>
        <v>726055.08292862307</v>
      </c>
      <c r="X523" s="33">
        <f t="shared" si="595"/>
        <v>210172.30126242933</v>
      </c>
      <c r="Y523" s="33">
        <f t="shared" si="596"/>
        <v>389339.5307831766</v>
      </c>
      <c r="Z523" s="33">
        <f t="shared" si="597"/>
        <v>284703.36841425521</v>
      </c>
      <c r="AA523" s="33">
        <f t="shared" si="598"/>
        <v>246909.54900791912</v>
      </c>
      <c r="AB523" s="33">
        <f t="shared" si="599"/>
        <v>182836.01711364184</v>
      </c>
      <c r="AC523" s="33">
        <f t="shared" si="600"/>
        <v>130642.38805306733</v>
      </c>
      <c r="AD523" s="33">
        <f t="shared" si="601"/>
        <v>214077.23345997752</v>
      </c>
      <c r="AE523" s="33"/>
      <c r="AF523" s="33">
        <f t="shared" si="602"/>
        <v>0</v>
      </c>
      <c r="AG523" s="33"/>
      <c r="AH523" s="33">
        <f t="shared" si="603"/>
        <v>0</v>
      </c>
      <c r="AI523" s="33"/>
      <c r="AJ523" s="33">
        <f t="shared" si="604"/>
        <v>0</v>
      </c>
      <c r="AK523" s="33">
        <f t="shared" si="605"/>
        <v>12484170.978525417</v>
      </c>
      <c r="AL523" s="30" t="str">
        <f t="shared" si="606"/>
        <v>ok</v>
      </c>
    </row>
    <row r="524" spans="1:38" x14ac:dyDescent="0.25">
      <c r="A524" s="39" t="s">
        <v>1562</v>
      </c>
      <c r="C524" s="29" t="s">
        <v>2193</v>
      </c>
      <c r="D524" s="105" t="s">
        <v>111</v>
      </c>
      <c r="E524" s="105"/>
      <c r="F524" s="33">
        <f>'Jurisdictional Study'!F1166+'Jurisdictional Study'!F1168</f>
        <v>17218495.364882454</v>
      </c>
      <c r="H524" s="33">
        <f t="shared" si="581"/>
        <v>10349461.006265409</v>
      </c>
      <c r="I524" s="33">
        <f t="shared" si="582"/>
        <v>0</v>
      </c>
      <c r="J524" s="33">
        <f t="shared" si="583"/>
        <v>0</v>
      </c>
      <c r="K524" s="33">
        <f t="shared" si="584"/>
        <v>0</v>
      </c>
      <c r="L524" s="33">
        <f t="shared" si="585"/>
        <v>0</v>
      </c>
      <c r="M524" s="33">
        <f t="shared" si="586"/>
        <v>0</v>
      </c>
      <c r="N524" s="33"/>
      <c r="O524" s="33">
        <f t="shared" si="587"/>
        <v>2397332.993409764</v>
      </c>
      <c r="P524" s="33">
        <f t="shared" si="588"/>
        <v>0</v>
      </c>
      <c r="Q524" s="33">
        <f t="shared" si="589"/>
        <v>0</v>
      </c>
      <c r="R524" s="33"/>
      <c r="S524" s="33">
        <f t="shared" si="590"/>
        <v>0</v>
      </c>
      <c r="T524" s="33">
        <f t="shared" si="591"/>
        <v>650453.75763913034</v>
      </c>
      <c r="U524" s="33">
        <f t="shared" si="592"/>
        <v>0</v>
      </c>
      <c r="V524" s="33">
        <f t="shared" si="593"/>
        <v>532158.02966076101</v>
      </c>
      <c r="W524" s="33">
        <f t="shared" si="594"/>
        <v>1001394.1735947354</v>
      </c>
      <c r="X524" s="33">
        <f t="shared" si="595"/>
        <v>289875.13879285735</v>
      </c>
      <c r="Y524" s="33">
        <f t="shared" si="596"/>
        <v>536987.27113616199</v>
      </c>
      <c r="Z524" s="33">
        <f t="shared" si="597"/>
        <v>392670.33732874255</v>
      </c>
      <c r="AA524" s="33">
        <f t="shared" si="598"/>
        <v>340544.11241652438</v>
      </c>
      <c r="AB524" s="33">
        <f t="shared" si="599"/>
        <v>252172.22021551154</v>
      </c>
      <c r="AC524" s="33">
        <f t="shared" si="600"/>
        <v>180185.40093838191</v>
      </c>
      <c r="AD524" s="33">
        <f t="shared" si="601"/>
        <v>295260.92348447372</v>
      </c>
      <c r="AE524" s="33"/>
      <c r="AF524" s="33">
        <f t="shared" si="602"/>
        <v>0</v>
      </c>
      <c r="AG524" s="33"/>
      <c r="AH524" s="33">
        <f t="shared" si="603"/>
        <v>0</v>
      </c>
      <c r="AI524" s="33"/>
      <c r="AJ524" s="33">
        <f t="shared" si="604"/>
        <v>0</v>
      </c>
      <c r="AK524" s="33">
        <f t="shared" si="605"/>
        <v>17218495.364882458</v>
      </c>
      <c r="AL524" s="30" t="str">
        <f t="shared" si="606"/>
        <v>ok</v>
      </c>
    </row>
    <row r="525" spans="1:38" x14ac:dyDescent="0.25">
      <c r="D525" s="105"/>
      <c r="E525" s="105"/>
      <c r="F525" s="33"/>
      <c r="AL525" s="30"/>
    </row>
    <row r="526" spans="1:38" x14ac:dyDescent="0.25">
      <c r="A526" s="29" t="s">
        <v>789</v>
      </c>
      <c r="C526" s="29" t="s">
        <v>790</v>
      </c>
      <c r="D526" s="105"/>
      <c r="E526" s="105"/>
      <c r="F526" s="32">
        <f>SUM(F516:F525)</f>
        <v>268954148.31872463</v>
      </c>
      <c r="H526" s="33">
        <f t="shared" ref="H526:M526" si="609">SUM(H516:H525)</f>
        <v>186641023.51058975</v>
      </c>
      <c r="I526" s="33">
        <f t="shared" si="609"/>
        <v>0</v>
      </c>
      <c r="J526" s="33">
        <f t="shared" si="609"/>
        <v>0</v>
      </c>
      <c r="K526" s="33">
        <f t="shared" si="609"/>
        <v>0</v>
      </c>
      <c r="L526" s="33">
        <f t="shared" si="609"/>
        <v>0</v>
      </c>
      <c r="M526" s="33">
        <f t="shared" si="609"/>
        <v>0</v>
      </c>
      <c r="N526" s="33"/>
      <c r="O526" s="33">
        <f>SUM(O516:O525)</f>
        <v>28318995.296634056</v>
      </c>
      <c r="P526" s="33">
        <f>SUM(P516:P525)</f>
        <v>0</v>
      </c>
      <c r="Q526" s="33">
        <f>SUM(Q516:Q525)</f>
        <v>0</v>
      </c>
      <c r="S526" s="33">
        <f t="shared" ref="S526:AD526" si="610">SUM(S516:S525)</f>
        <v>0</v>
      </c>
      <c r="T526" s="33">
        <f t="shared" si="610"/>
        <v>7853987.0091663906</v>
      </c>
      <c r="U526" s="33">
        <f t="shared" si="610"/>
        <v>0</v>
      </c>
      <c r="V526" s="33">
        <f t="shared" si="610"/>
        <v>6425610.1263050996</v>
      </c>
      <c r="W526" s="33">
        <f t="shared" si="610"/>
        <v>12091461.903478473</v>
      </c>
      <c r="X526" s="33">
        <f t="shared" si="610"/>
        <v>3500134.4025173555</v>
      </c>
      <c r="Y526" s="33">
        <f t="shared" si="610"/>
        <v>6483921.4195622746</v>
      </c>
      <c r="Z526" s="33">
        <f t="shared" si="610"/>
        <v>4741348.1620255876</v>
      </c>
      <c r="AA526" s="33">
        <f t="shared" si="610"/>
        <v>4111943.3988286024</v>
      </c>
      <c r="AB526" s="33">
        <f t="shared" si="610"/>
        <v>3044885.6946170195</v>
      </c>
      <c r="AC526" s="33">
        <f t="shared" si="610"/>
        <v>2175671.6470483094</v>
      </c>
      <c r="AD526" s="33">
        <f t="shared" si="610"/>
        <v>3565165.7479517367</v>
      </c>
      <c r="AF526" s="33">
        <f>SUM(AF516:AF525)</f>
        <v>0</v>
      </c>
      <c r="AH526" s="33">
        <f>SUM(AH516:AH525)</f>
        <v>0</v>
      </c>
      <c r="AJ526" s="33">
        <f>SUM(AJ516:AJ525)</f>
        <v>0</v>
      </c>
      <c r="AK526" s="33">
        <f>SUM(H526:AJ526)</f>
        <v>268954148.31872469</v>
      </c>
      <c r="AL526" s="30" t="str">
        <f>IF(ABS(AK526-F526)&lt;1,"ok","err")</f>
        <v>ok</v>
      </c>
    </row>
    <row r="527" spans="1:38" x14ac:dyDescent="0.25">
      <c r="D527" s="105"/>
      <c r="E527" s="105"/>
      <c r="F527" s="33"/>
      <c r="AL527" s="30"/>
    </row>
    <row r="528" spans="1:38" x14ac:dyDescent="0.25">
      <c r="A528" s="4" t="s">
        <v>247</v>
      </c>
      <c r="D528" s="105"/>
      <c r="E528" s="105"/>
      <c r="AL528" s="30"/>
    </row>
    <row r="529" spans="1:38" x14ac:dyDescent="0.25">
      <c r="A529" s="39" t="s">
        <v>64</v>
      </c>
      <c r="C529" s="29" t="s">
        <v>67</v>
      </c>
      <c r="D529" s="105" t="s">
        <v>1445</v>
      </c>
      <c r="E529" s="105"/>
      <c r="F529" s="32">
        <f>'Jurisdictional Study'!F1205</f>
        <v>0</v>
      </c>
      <c r="H529" s="33">
        <f>IF(VLOOKUP($D529,$C$5:$AJ$596,6,)=0,0,((VLOOKUP($D529,$C$5:$AJ$596,6,)/VLOOKUP($D529,$C$5:$AJ$596,4,))*$F529))</f>
        <v>0</v>
      </c>
      <c r="I529" s="33">
        <f>IF(VLOOKUP($D529,$C$5:$AJ$596,7,)=0,0,((VLOOKUP($D529,$C$5:$AJ$596,7,)/VLOOKUP($D529,$C$5:$AJ$596,4,))*$F529))</f>
        <v>0</v>
      </c>
      <c r="J529" s="33">
        <f>IF(VLOOKUP($D529,$C$5:$AJ$596,8,)=0,0,((VLOOKUP($D529,$C$5:$AJ$596,8,)/VLOOKUP($D529,$C$5:$AJ$596,4,))*$F529))</f>
        <v>0</v>
      </c>
      <c r="K529" s="33">
        <f>IF(VLOOKUP($D529,$C$5:$AJ$596,9,)=0,0,((VLOOKUP($D529,$C$5:$AJ$596,9,)/VLOOKUP($D529,$C$5:$AJ$596,4,))*$F529))</f>
        <v>0</v>
      </c>
      <c r="L529" s="33">
        <f>IF(VLOOKUP($D529,$C$5:$AJ$596,10,)=0,0,((VLOOKUP($D529,$C$5:$AJ$596,10,)/VLOOKUP($D529,$C$5:$AJ$596,4,))*$F529))</f>
        <v>0</v>
      </c>
      <c r="M529" s="33">
        <f>IF(VLOOKUP($D529,$C$5:$AJ$596,11,)=0,0,((VLOOKUP($D529,$C$5:$AJ$596,11,)/VLOOKUP($D529,$C$5:$AJ$596,4,))*$F529))</f>
        <v>0</v>
      </c>
      <c r="N529" s="33"/>
      <c r="O529" s="33">
        <f>IF(VLOOKUP($D529,$C$5:$AJ$596,13,)=0,0,((VLOOKUP($D529,$C$5:$AJ$596,13,)/VLOOKUP($D529,$C$5:$AJ$596,4,))*$F529))</f>
        <v>0</v>
      </c>
      <c r="P529" s="33">
        <f>IF(VLOOKUP($D529,$C$5:$AJ$596,14,)=0,0,((VLOOKUP($D529,$C$5:$AJ$596,14,)/VLOOKUP($D529,$C$5:$AJ$596,4,))*$F529))</f>
        <v>0</v>
      </c>
      <c r="Q529" s="33">
        <f>IF(VLOOKUP($D529,$C$5:$AJ$596,15,)=0,0,((VLOOKUP($D529,$C$5:$AJ$596,15,)/VLOOKUP($D529,$C$5:$AJ$596,4,))*$F529))</f>
        <v>0</v>
      </c>
      <c r="R529" s="33"/>
      <c r="S529" s="33">
        <f>IF(VLOOKUP($D529,$C$5:$AJ$596,17,)=0,0,((VLOOKUP($D529,$C$5:$AJ$596,17,)/VLOOKUP($D529,$C$5:$AJ$596,4,))*$F529))</f>
        <v>0</v>
      </c>
      <c r="T529" s="33">
        <f>IF(VLOOKUP($D529,$C$5:$AJ$596,18,)=0,0,((VLOOKUP($D529,$C$5:$AJ$596,18,)/VLOOKUP($D529,$C$5:$AJ$596,4,))*$F529))</f>
        <v>0</v>
      </c>
      <c r="U529" s="33">
        <f>IF(VLOOKUP($D529,$C$5:$AJ$596,19,)=0,0,((VLOOKUP($D529,$C$5:$AJ$596,19,)/VLOOKUP($D529,$C$5:$AJ$596,4,))*$F529))</f>
        <v>0</v>
      </c>
      <c r="V529" s="33">
        <f>IF(VLOOKUP($D529,$C$5:$AJ$596,20,)=0,0,((VLOOKUP($D529,$C$5:$AJ$596,20,)/VLOOKUP($D529,$C$5:$AJ$596,4,))*$F529))</f>
        <v>0</v>
      </c>
      <c r="W529" s="33">
        <f>IF(VLOOKUP($D529,$C$5:$AJ$596,21,)=0,0,((VLOOKUP($D529,$C$5:$AJ$596,21,)/VLOOKUP($D529,$C$5:$AJ$596,4,))*$F529))</f>
        <v>0</v>
      </c>
      <c r="X529" s="33">
        <f>IF(VLOOKUP($D529,$C$5:$AJ$596,22,)=0,0,((VLOOKUP($D529,$C$5:$AJ$596,22,)/VLOOKUP($D529,$C$5:$AJ$596,4,))*$F529))</f>
        <v>0</v>
      </c>
      <c r="Y529" s="33">
        <f>IF(VLOOKUP($D529,$C$5:$AJ$596,23,)=0,0,((VLOOKUP($D529,$C$5:$AJ$596,23,)/VLOOKUP($D529,$C$5:$AJ$596,4,))*$F529))</f>
        <v>0</v>
      </c>
      <c r="Z529" s="33">
        <f>IF(VLOOKUP($D529,$C$5:$AJ$596,24,)=0,0,((VLOOKUP($D529,$C$5:$AJ$596,24,)/VLOOKUP($D529,$C$5:$AJ$596,4,))*$F529))</f>
        <v>0</v>
      </c>
      <c r="AA529" s="33">
        <f>IF(VLOOKUP($D529,$C$5:$AJ$596,25,)=0,0,((VLOOKUP($D529,$C$5:$AJ$596,25,)/VLOOKUP($D529,$C$5:$AJ$596,4,))*$F529))</f>
        <v>0</v>
      </c>
      <c r="AB529" s="33">
        <f>IF(VLOOKUP($D529,$C$5:$AJ$596,26,)=0,0,((VLOOKUP($D529,$C$5:$AJ$596,26,)/VLOOKUP($D529,$C$5:$AJ$596,4,))*$F529))</f>
        <v>0</v>
      </c>
      <c r="AC529" s="33">
        <f>IF(VLOOKUP($D529,$C$5:$AJ$596,27,)=0,0,((VLOOKUP($D529,$C$5:$AJ$596,27,)/VLOOKUP($D529,$C$5:$AJ$596,4,))*$F529))</f>
        <v>0</v>
      </c>
      <c r="AD529" s="33">
        <f>IF(VLOOKUP($D529,$C$5:$AJ$596,28,)=0,0,((VLOOKUP($D529,$C$5:$AJ$596,28,)/VLOOKUP($D529,$C$5:$AJ$596,4,))*$F529))</f>
        <v>0</v>
      </c>
      <c r="AE529" s="33"/>
      <c r="AF529" s="33">
        <f>IF(VLOOKUP($D529,$C$5:$AJ$596,30,)=0,0,((VLOOKUP($D529,$C$5:$AJ$596,30,)/VLOOKUP($D529,$C$5:$AJ$596,4,))*$F529))</f>
        <v>0</v>
      </c>
      <c r="AG529" s="33"/>
      <c r="AH529" s="33">
        <f>IF(VLOOKUP($D529,$C$5:$AJ$596,32,)=0,0,((VLOOKUP($D529,$C$5:$AJ$596,32,)/VLOOKUP($D529,$C$5:$AJ$596,4,))*$F529))</f>
        <v>0</v>
      </c>
      <c r="AI529" s="33"/>
      <c r="AJ529" s="33">
        <f>IF(VLOOKUP($D529,$C$5:$AJ$596,34,)=0,0,((VLOOKUP($D529,$C$5:$AJ$596,34,)/VLOOKUP($D529,$C$5:$AJ$596,4,))*$F529))</f>
        <v>0</v>
      </c>
      <c r="AK529" s="33">
        <f>SUM(H529:AJ529)</f>
        <v>0</v>
      </c>
      <c r="AL529" s="30" t="str">
        <f>IF(ABS(AK529-F529)&lt;1,"ok","err")</f>
        <v>ok</v>
      </c>
    </row>
    <row r="530" spans="1:38" x14ac:dyDescent="0.25">
      <c r="A530" s="39" t="s">
        <v>65</v>
      </c>
      <c r="C530" s="29" t="s">
        <v>68</v>
      </c>
      <c r="D530" s="105" t="s">
        <v>454</v>
      </c>
      <c r="E530" s="105"/>
      <c r="F530" s="33">
        <f>'Jurisdictional Study'!F1211</f>
        <v>0</v>
      </c>
      <c r="H530" s="33">
        <f>IF(VLOOKUP($D530,$C$5:$AJ$596,6,)=0,0,((VLOOKUP($D530,$C$5:$AJ$596,6,)/VLOOKUP($D530,$C$5:$AJ$596,4,))*$F530))</f>
        <v>0</v>
      </c>
      <c r="I530" s="33">
        <f>IF(VLOOKUP($D530,$C$5:$AJ$596,7,)=0,0,((VLOOKUP($D530,$C$5:$AJ$596,7,)/VLOOKUP($D530,$C$5:$AJ$596,4,))*$F530))</f>
        <v>0</v>
      </c>
      <c r="J530" s="33">
        <f>IF(VLOOKUP($D530,$C$5:$AJ$596,8,)=0,0,((VLOOKUP($D530,$C$5:$AJ$596,8,)/VLOOKUP($D530,$C$5:$AJ$596,4,))*$F530))</f>
        <v>0</v>
      </c>
      <c r="K530" s="33">
        <f>IF(VLOOKUP($D530,$C$5:$AJ$596,9,)=0,0,((VLOOKUP($D530,$C$5:$AJ$596,9,)/VLOOKUP($D530,$C$5:$AJ$596,4,))*$F530))</f>
        <v>0</v>
      </c>
      <c r="L530" s="33">
        <f>IF(VLOOKUP($D530,$C$5:$AJ$596,10,)=0,0,((VLOOKUP($D530,$C$5:$AJ$596,10,)/VLOOKUP($D530,$C$5:$AJ$596,4,))*$F530))</f>
        <v>0</v>
      </c>
      <c r="M530" s="33">
        <f>IF(VLOOKUP($D530,$C$5:$AJ$596,11,)=0,0,((VLOOKUP($D530,$C$5:$AJ$596,11,)/VLOOKUP($D530,$C$5:$AJ$596,4,))*$F530))</f>
        <v>0</v>
      </c>
      <c r="N530" s="33"/>
      <c r="O530" s="33">
        <f>IF(VLOOKUP($D530,$C$5:$AJ$596,13,)=0,0,((VLOOKUP($D530,$C$5:$AJ$596,13,)/VLOOKUP($D530,$C$5:$AJ$596,4,))*$F530))</f>
        <v>0</v>
      </c>
      <c r="P530" s="33">
        <f>IF(VLOOKUP($D530,$C$5:$AJ$596,14,)=0,0,((VLOOKUP($D530,$C$5:$AJ$596,14,)/VLOOKUP($D530,$C$5:$AJ$596,4,))*$F530))</f>
        <v>0</v>
      </c>
      <c r="Q530" s="33">
        <f>IF(VLOOKUP($D530,$C$5:$AJ$596,15,)=0,0,((VLOOKUP($D530,$C$5:$AJ$596,15,)/VLOOKUP($D530,$C$5:$AJ$596,4,))*$F530))</f>
        <v>0</v>
      </c>
      <c r="R530" s="33"/>
      <c r="S530" s="33">
        <f>IF(VLOOKUP($D530,$C$5:$AJ$596,17,)=0,0,((VLOOKUP($D530,$C$5:$AJ$596,17,)/VLOOKUP($D530,$C$5:$AJ$596,4,))*$F530))</f>
        <v>0</v>
      </c>
      <c r="T530" s="33">
        <f>IF(VLOOKUP($D530,$C$5:$AJ$596,18,)=0,0,((VLOOKUP($D530,$C$5:$AJ$596,18,)/VLOOKUP($D530,$C$5:$AJ$596,4,))*$F530))</f>
        <v>0</v>
      </c>
      <c r="U530" s="33">
        <f>IF(VLOOKUP($D530,$C$5:$AJ$596,19,)=0,0,((VLOOKUP($D530,$C$5:$AJ$596,19,)/VLOOKUP($D530,$C$5:$AJ$596,4,))*$F530))</f>
        <v>0</v>
      </c>
      <c r="V530" s="33">
        <f>IF(VLOOKUP($D530,$C$5:$AJ$596,20,)=0,0,((VLOOKUP($D530,$C$5:$AJ$596,20,)/VLOOKUP($D530,$C$5:$AJ$596,4,))*$F530))</f>
        <v>0</v>
      </c>
      <c r="W530" s="33">
        <f>IF(VLOOKUP($D530,$C$5:$AJ$596,21,)=0,0,((VLOOKUP($D530,$C$5:$AJ$596,21,)/VLOOKUP($D530,$C$5:$AJ$596,4,))*$F530))</f>
        <v>0</v>
      </c>
      <c r="X530" s="33">
        <f>IF(VLOOKUP($D530,$C$5:$AJ$596,22,)=0,0,((VLOOKUP($D530,$C$5:$AJ$596,22,)/VLOOKUP($D530,$C$5:$AJ$596,4,))*$F530))</f>
        <v>0</v>
      </c>
      <c r="Y530" s="33">
        <f>IF(VLOOKUP($D530,$C$5:$AJ$596,23,)=0,0,((VLOOKUP($D530,$C$5:$AJ$596,23,)/VLOOKUP($D530,$C$5:$AJ$596,4,))*$F530))</f>
        <v>0</v>
      </c>
      <c r="Z530" s="33">
        <f>IF(VLOOKUP($D530,$C$5:$AJ$596,24,)=0,0,((VLOOKUP($D530,$C$5:$AJ$596,24,)/VLOOKUP($D530,$C$5:$AJ$596,4,))*$F530))</f>
        <v>0</v>
      </c>
      <c r="AA530" s="33">
        <f>IF(VLOOKUP($D530,$C$5:$AJ$596,25,)=0,0,((VLOOKUP($D530,$C$5:$AJ$596,25,)/VLOOKUP($D530,$C$5:$AJ$596,4,))*$F530))</f>
        <v>0</v>
      </c>
      <c r="AB530" s="33">
        <f>IF(VLOOKUP($D530,$C$5:$AJ$596,26,)=0,0,((VLOOKUP($D530,$C$5:$AJ$596,26,)/VLOOKUP($D530,$C$5:$AJ$596,4,))*$F530))</f>
        <v>0</v>
      </c>
      <c r="AC530" s="33">
        <f>IF(VLOOKUP($D530,$C$5:$AJ$596,27,)=0,0,((VLOOKUP($D530,$C$5:$AJ$596,27,)/VLOOKUP($D530,$C$5:$AJ$596,4,))*$F530))</f>
        <v>0</v>
      </c>
      <c r="AD530" s="33">
        <f>IF(VLOOKUP($D530,$C$5:$AJ$596,28,)=0,0,((VLOOKUP($D530,$C$5:$AJ$596,28,)/VLOOKUP($D530,$C$5:$AJ$596,4,))*$F530))</f>
        <v>0</v>
      </c>
      <c r="AE530" s="33"/>
      <c r="AF530" s="33">
        <f>IF(VLOOKUP($D530,$C$5:$AJ$596,30,)=0,0,((VLOOKUP($D530,$C$5:$AJ$596,30,)/VLOOKUP($D530,$C$5:$AJ$596,4,))*$F530))</f>
        <v>0</v>
      </c>
      <c r="AG530" s="33"/>
      <c r="AH530" s="33">
        <f>IF(VLOOKUP($D530,$C$5:$AJ$596,32,)=0,0,((VLOOKUP($D530,$C$5:$AJ$596,32,)/VLOOKUP($D530,$C$5:$AJ$596,4,))*$F530))</f>
        <v>0</v>
      </c>
      <c r="AI530" s="33"/>
      <c r="AJ530" s="33">
        <f>IF(VLOOKUP($D530,$C$5:$AJ$596,34,)=0,0,((VLOOKUP($D530,$C$5:$AJ$596,34,)/VLOOKUP($D530,$C$5:$AJ$596,4,))*$F530))</f>
        <v>0</v>
      </c>
      <c r="AK530" s="33">
        <f>SUM(H530:AJ530)</f>
        <v>0</v>
      </c>
      <c r="AL530" s="30" t="str">
        <f>IF(ABS(AK530-F530)&lt;1,"ok","err")</f>
        <v>ok</v>
      </c>
    </row>
    <row r="531" spans="1:38" x14ac:dyDescent="0.25">
      <c r="A531" s="39" t="s">
        <v>543</v>
      </c>
      <c r="D531" s="105" t="s">
        <v>109</v>
      </c>
      <c r="E531" s="105"/>
      <c r="F531" s="33">
        <f>'Jurisdictional Study'!F1217</f>
        <v>0</v>
      </c>
      <c r="H531" s="33">
        <f>IF(VLOOKUP($D531,$C$5:$AJ$596,6,)=0,0,((VLOOKUP($D531,$C$5:$AJ$596,6,)/VLOOKUP($D531,$C$5:$AJ$596,4,))*$F531))</f>
        <v>0</v>
      </c>
      <c r="I531" s="33">
        <f>IF(VLOOKUP($D531,$C$5:$AJ$596,7,)=0,0,((VLOOKUP($D531,$C$5:$AJ$596,7,)/VLOOKUP($D531,$C$5:$AJ$596,4,))*$F531))</f>
        <v>0</v>
      </c>
      <c r="J531" s="33">
        <f>IF(VLOOKUP($D531,$C$5:$AJ$596,8,)=0,0,((VLOOKUP($D531,$C$5:$AJ$596,8,)/VLOOKUP($D531,$C$5:$AJ$596,4,))*$F531))</f>
        <v>0</v>
      </c>
      <c r="K531" s="33">
        <f>IF(VLOOKUP($D531,$C$5:$AJ$596,9,)=0,0,((VLOOKUP($D531,$C$5:$AJ$596,9,)/VLOOKUP($D531,$C$5:$AJ$596,4,))*$F531))</f>
        <v>0</v>
      </c>
      <c r="L531" s="33">
        <f>IF(VLOOKUP($D531,$C$5:$AJ$596,10,)=0,0,((VLOOKUP($D531,$C$5:$AJ$596,10,)/VLOOKUP($D531,$C$5:$AJ$596,4,))*$F531))</f>
        <v>0</v>
      </c>
      <c r="M531" s="33">
        <f>IF(VLOOKUP($D531,$C$5:$AJ$596,11,)=0,0,((VLOOKUP($D531,$C$5:$AJ$596,11,)/VLOOKUP($D531,$C$5:$AJ$596,4,))*$F531))</f>
        <v>0</v>
      </c>
      <c r="N531" s="33"/>
      <c r="O531" s="33">
        <f>IF(VLOOKUP($D531,$C$5:$AJ$596,13,)=0,0,((VLOOKUP($D531,$C$5:$AJ$596,13,)/VLOOKUP($D531,$C$5:$AJ$596,4,))*$F531))</f>
        <v>0</v>
      </c>
      <c r="P531" s="33">
        <f>IF(VLOOKUP($D531,$C$5:$AJ$596,14,)=0,0,((VLOOKUP($D531,$C$5:$AJ$596,14,)/VLOOKUP($D531,$C$5:$AJ$596,4,))*$F531))</f>
        <v>0</v>
      </c>
      <c r="Q531" s="33">
        <f>IF(VLOOKUP($D531,$C$5:$AJ$596,15,)=0,0,((VLOOKUP($D531,$C$5:$AJ$596,15,)/VLOOKUP($D531,$C$5:$AJ$596,4,))*$F531))</f>
        <v>0</v>
      </c>
      <c r="R531" s="33"/>
      <c r="S531" s="33">
        <f>IF(VLOOKUP($D531,$C$5:$AJ$596,17,)=0,0,((VLOOKUP($D531,$C$5:$AJ$596,17,)/VLOOKUP($D531,$C$5:$AJ$596,4,))*$F531))</f>
        <v>0</v>
      </c>
      <c r="T531" s="33">
        <f>IF(VLOOKUP($D531,$C$5:$AJ$596,18,)=0,0,((VLOOKUP($D531,$C$5:$AJ$596,18,)/VLOOKUP($D531,$C$5:$AJ$596,4,))*$F531))</f>
        <v>0</v>
      </c>
      <c r="U531" s="33">
        <f>IF(VLOOKUP($D531,$C$5:$AJ$596,19,)=0,0,((VLOOKUP($D531,$C$5:$AJ$596,19,)/VLOOKUP($D531,$C$5:$AJ$596,4,))*$F531))</f>
        <v>0</v>
      </c>
      <c r="V531" s="33">
        <f>IF(VLOOKUP($D531,$C$5:$AJ$596,20,)=0,0,((VLOOKUP($D531,$C$5:$AJ$596,20,)/VLOOKUP($D531,$C$5:$AJ$596,4,))*$F531))</f>
        <v>0</v>
      </c>
      <c r="W531" s="33">
        <f>IF(VLOOKUP($D531,$C$5:$AJ$596,21,)=0,0,((VLOOKUP($D531,$C$5:$AJ$596,21,)/VLOOKUP($D531,$C$5:$AJ$596,4,))*$F531))</f>
        <v>0</v>
      </c>
      <c r="X531" s="33">
        <f>IF(VLOOKUP($D531,$C$5:$AJ$596,22,)=0,0,((VLOOKUP($D531,$C$5:$AJ$596,22,)/VLOOKUP($D531,$C$5:$AJ$596,4,))*$F531))</f>
        <v>0</v>
      </c>
      <c r="Y531" s="33">
        <f>IF(VLOOKUP($D531,$C$5:$AJ$596,23,)=0,0,((VLOOKUP($D531,$C$5:$AJ$596,23,)/VLOOKUP($D531,$C$5:$AJ$596,4,))*$F531))</f>
        <v>0</v>
      </c>
      <c r="Z531" s="33">
        <f>IF(VLOOKUP($D531,$C$5:$AJ$596,24,)=0,0,((VLOOKUP($D531,$C$5:$AJ$596,24,)/VLOOKUP($D531,$C$5:$AJ$596,4,))*$F531))</f>
        <v>0</v>
      </c>
      <c r="AA531" s="33">
        <f>IF(VLOOKUP($D531,$C$5:$AJ$596,25,)=0,0,((VLOOKUP($D531,$C$5:$AJ$596,25,)/VLOOKUP($D531,$C$5:$AJ$596,4,))*$F531))</f>
        <v>0</v>
      </c>
      <c r="AB531" s="33">
        <f>IF(VLOOKUP($D531,$C$5:$AJ$596,26,)=0,0,((VLOOKUP($D531,$C$5:$AJ$596,26,)/VLOOKUP($D531,$C$5:$AJ$596,4,))*$F531))</f>
        <v>0</v>
      </c>
      <c r="AC531" s="33">
        <f>IF(VLOOKUP($D531,$C$5:$AJ$596,27,)=0,0,((VLOOKUP($D531,$C$5:$AJ$596,27,)/VLOOKUP($D531,$C$5:$AJ$596,4,))*$F531))</f>
        <v>0</v>
      </c>
      <c r="AD531" s="33">
        <f>IF(VLOOKUP($D531,$C$5:$AJ$596,28,)=0,0,((VLOOKUP($D531,$C$5:$AJ$596,28,)/VLOOKUP($D531,$C$5:$AJ$596,4,))*$F531))</f>
        <v>0</v>
      </c>
      <c r="AE531" s="33"/>
      <c r="AF531" s="33">
        <f>IF(VLOOKUP($D531,$C$5:$AJ$596,30,)=0,0,((VLOOKUP($D531,$C$5:$AJ$596,30,)/VLOOKUP($D531,$C$5:$AJ$596,4,))*$F531))</f>
        <v>0</v>
      </c>
      <c r="AG531" s="33"/>
      <c r="AH531" s="33">
        <f>IF(VLOOKUP($D531,$C$5:$AJ$596,32,)=0,0,((VLOOKUP($D531,$C$5:$AJ$596,32,)/VLOOKUP($D531,$C$5:$AJ$596,4,))*$F531))</f>
        <v>0</v>
      </c>
      <c r="AI531" s="33"/>
      <c r="AJ531" s="33">
        <f>IF(VLOOKUP($D531,$C$5:$AJ$596,34,)=0,0,((VLOOKUP($D531,$C$5:$AJ$596,34,)/VLOOKUP($D531,$C$5:$AJ$596,4,))*$F531))</f>
        <v>0</v>
      </c>
      <c r="AK531" s="33">
        <f>SUM(H531:AJ531)</f>
        <v>0</v>
      </c>
      <c r="AL531" s="30" t="str">
        <f>IF(ABS(AK531-F531)&lt;1,"ok","err")</f>
        <v>ok</v>
      </c>
    </row>
    <row r="532" spans="1:38" x14ac:dyDescent="0.25">
      <c r="D532" s="105"/>
      <c r="E532" s="105"/>
      <c r="F532" s="33"/>
      <c r="AL532" s="30"/>
    </row>
    <row r="533" spans="1:38" x14ac:dyDescent="0.25">
      <c r="A533" s="29" t="s">
        <v>248</v>
      </c>
      <c r="C533" s="29" t="s">
        <v>66</v>
      </c>
      <c r="D533" s="105"/>
      <c r="E533" s="105"/>
      <c r="F533" s="32">
        <f>SUM(F529:F531)</f>
        <v>0</v>
      </c>
      <c r="H533" s="32">
        <f t="shared" ref="H533:M533" si="611">SUM(H529:H531)</f>
        <v>0</v>
      </c>
      <c r="I533" s="32">
        <f t="shared" si="611"/>
        <v>0</v>
      </c>
      <c r="J533" s="32">
        <f t="shared" si="611"/>
        <v>0</v>
      </c>
      <c r="K533" s="32">
        <f t="shared" si="611"/>
        <v>0</v>
      </c>
      <c r="L533" s="32">
        <f t="shared" si="611"/>
        <v>0</v>
      </c>
      <c r="M533" s="32">
        <f t="shared" si="611"/>
        <v>0</v>
      </c>
      <c r="N533" s="33"/>
      <c r="O533" s="32">
        <f>SUM(O529:O531)</f>
        <v>0</v>
      </c>
      <c r="P533" s="32">
        <f>SUM(P529:P531)</f>
        <v>0</v>
      </c>
      <c r="Q533" s="32">
        <f>SUM(Q529:Q531)</f>
        <v>0</v>
      </c>
      <c r="S533" s="32">
        <f t="shared" ref="S533:AD533" si="612">SUM(S529:S531)</f>
        <v>0</v>
      </c>
      <c r="T533" s="32">
        <f t="shared" si="612"/>
        <v>0</v>
      </c>
      <c r="U533" s="32">
        <f t="shared" si="612"/>
        <v>0</v>
      </c>
      <c r="V533" s="32">
        <f t="shared" si="612"/>
        <v>0</v>
      </c>
      <c r="W533" s="32">
        <f t="shared" si="612"/>
        <v>0</v>
      </c>
      <c r="X533" s="32">
        <f t="shared" si="612"/>
        <v>0</v>
      </c>
      <c r="Y533" s="32">
        <f t="shared" si="612"/>
        <v>0</v>
      </c>
      <c r="Z533" s="32">
        <f t="shared" si="612"/>
        <v>0</v>
      </c>
      <c r="AA533" s="32">
        <f t="shared" si="612"/>
        <v>0</v>
      </c>
      <c r="AB533" s="32">
        <f t="shared" si="612"/>
        <v>0</v>
      </c>
      <c r="AC533" s="32">
        <f t="shared" si="612"/>
        <v>0</v>
      </c>
      <c r="AD533" s="32">
        <f t="shared" si="612"/>
        <v>0</v>
      </c>
      <c r="AF533" s="32">
        <f>SUM(AF529:AF531)</f>
        <v>0</v>
      </c>
      <c r="AG533" s="32">
        <f>SUM(AG529:AG531)</f>
        <v>0</v>
      </c>
      <c r="AH533" s="32">
        <f>SUM(AH529:AH531)</f>
        <v>0</v>
      </c>
      <c r="AJ533" s="32">
        <f>SUM(AJ529:AJ531)</f>
        <v>0</v>
      </c>
      <c r="AK533" s="33">
        <f>SUM(H533:AJ533)</f>
        <v>0</v>
      </c>
      <c r="AL533" s="30" t="str">
        <f>IF(ABS(AK533-F533)&lt;1,"ok","err")</f>
        <v>ok</v>
      </c>
    </row>
    <row r="534" spans="1:38" x14ac:dyDescent="0.25">
      <c r="D534" s="105"/>
      <c r="E534" s="105"/>
      <c r="F534" s="33"/>
      <c r="AL534" s="30"/>
    </row>
    <row r="535" spans="1:38" x14ac:dyDescent="0.25">
      <c r="A535" s="29" t="s">
        <v>359</v>
      </c>
      <c r="C535" s="29" t="s">
        <v>360</v>
      </c>
      <c r="D535" s="105" t="s">
        <v>184</v>
      </c>
      <c r="E535" s="105"/>
      <c r="F535" s="32">
        <f>'Jurisdictional Study'!F1224-1934912.07</f>
        <v>30253263.473923538</v>
      </c>
      <c r="H535" s="33">
        <f>IF(VLOOKUP($D535,$C$5:$AJ$596,6,)=0,0,((VLOOKUP($D535,$C$5:$AJ$596,6,)/VLOOKUP($D535,$C$5:$AJ$596,4,))*$F535))</f>
        <v>18046843.290928498</v>
      </c>
      <c r="I535" s="33">
        <f>IF(VLOOKUP($D535,$C$5:$AJ$596,7,)=0,0,((VLOOKUP($D535,$C$5:$AJ$596,7,)/VLOOKUP($D535,$C$5:$AJ$596,4,))*$F535))</f>
        <v>0</v>
      </c>
      <c r="J535" s="33">
        <f>IF(VLOOKUP($D535,$C$5:$AJ$596,8,)=0,0,((VLOOKUP($D535,$C$5:$AJ$596,8,)/VLOOKUP($D535,$C$5:$AJ$596,4,))*$F535))</f>
        <v>0</v>
      </c>
      <c r="K535" s="33">
        <f>IF(VLOOKUP($D535,$C$5:$AJ$596,9,)=0,0,((VLOOKUP($D535,$C$5:$AJ$596,9,)/VLOOKUP($D535,$C$5:$AJ$596,4,))*$F535))</f>
        <v>0</v>
      </c>
      <c r="L535" s="33">
        <f>IF(VLOOKUP($D535,$C$5:$AJ$596,10,)=0,0,((VLOOKUP($D535,$C$5:$AJ$596,10,)/VLOOKUP($D535,$C$5:$AJ$596,4,))*$F535))</f>
        <v>0</v>
      </c>
      <c r="M535" s="33">
        <f>IF(VLOOKUP($D535,$C$5:$AJ$596,11,)=0,0,((VLOOKUP($D535,$C$5:$AJ$596,11,)/VLOOKUP($D535,$C$5:$AJ$596,4,))*$F535))</f>
        <v>0</v>
      </c>
      <c r="N535" s="33"/>
      <c r="O535" s="33">
        <f>IF(VLOOKUP($D535,$C$5:$AJ$596,13,)=0,0,((VLOOKUP($D535,$C$5:$AJ$596,13,)/VLOOKUP($D535,$C$5:$AJ$596,4,))*$F535))</f>
        <v>4377407.653982115</v>
      </c>
      <c r="P535" s="33">
        <f>IF(VLOOKUP($D535,$C$5:$AJ$596,14,)=0,0,((VLOOKUP($D535,$C$5:$AJ$596,14,)/VLOOKUP($D535,$C$5:$AJ$596,4,))*$F535))</f>
        <v>0</v>
      </c>
      <c r="Q535" s="33">
        <f>IF(VLOOKUP($D535,$C$5:$AJ$596,15,)=0,0,((VLOOKUP($D535,$C$5:$AJ$596,15,)/VLOOKUP($D535,$C$5:$AJ$596,4,))*$F535))</f>
        <v>0</v>
      </c>
      <c r="R535" s="33"/>
      <c r="S535" s="33">
        <f>IF(VLOOKUP($D535,$C$5:$AJ$596,17,)=0,0,((VLOOKUP($D535,$C$5:$AJ$596,17,)/VLOOKUP($D535,$C$5:$AJ$596,4,))*$F535))</f>
        <v>0</v>
      </c>
      <c r="T535" s="33">
        <f>IF(VLOOKUP($D535,$C$5:$AJ$596,18,)=0,0,((VLOOKUP($D535,$C$5:$AJ$596,18,)/VLOOKUP($D535,$C$5:$AJ$596,4,))*$F535))</f>
        <v>1138808.2973792758</v>
      </c>
      <c r="U535" s="33">
        <f>IF(VLOOKUP($D535,$C$5:$AJ$596,19,)=0,0,((VLOOKUP($D535,$C$5:$AJ$596,19,)/VLOOKUP($D535,$C$5:$AJ$596,4,))*$F535))</f>
        <v>0</v>
      </c>
      <c r="V535" s="33">
        <f>IF(VLOOKUP($D535,$C$5:$AJ$596,20,)=0,0,((VLOOKUP($D535,$C$5:$AJ$596,20,)/VLOOKUP($D535,$C$5:$AJ$596,4,))*$F535))</f>
        <v>931697.25376681215</v>
      </c>
      <c r="W535" s="33">
        <f>IF(VLOOKUP($D535,$C$5:$AJ$596,21,)=0,0,((VLOOKUP($D535,$C$5:$AJ$596,21,)/VLOOKUP($D535,$C$5:$AJ$596,4,))*$F535))</f>
        <v>1753231.4641029958</v>
      </c>
      <c r="X535" s="33">
        <f>IF(VLOOKUP($D535,$C$5:$AJ$596,22,)=0,0,((VLOOKUP($D535,$C$5:$AJ$596,22,)/VLOOKUP($D535,$C$5:$AJ$596,4,))*$F535))</f>
        <v>507510.65603716654</v>
      </c>
      <c r="Y535" s="33">
        <f>IF(VLOOKUP($D535,$C$5:$AJ$596,23,)=0,0,((VLOOKUP($D535,$C$5:$AJ$596,23,)/VLOOKUP($D535,$C$5:$AJ$596,4,))*$F535))</f>
        <v>940152.24414490757</v>
      </c>
      <c r="Z535" s="33">
        <f>IF(VLOOKUP($D535,$C$5:$AJ$596,24,)=0,0,((VLOOKUP($D535,$C$5:$AJ$596,24,)/VLOOKUP($D535,$C$5:$AJ$596,4,))*$F535))</f>
        <v>687483.5190556054</v>
      </c>
      <c r="AA535" s="33">
        <f>IF(VLOOKUP($D535,$C$5:$AJ$596,25,)=0,0,((VLOOKUP($D535,$C$5:$AJ$596,25,)/VLOOKUP($D535,$C$5:$AJ$596,4,))*$F535))</f>
        <v>596221.41664797196</v>
      </c>
      <c r="AB535" s="33">
        <f>IF(VLOOKUP($D535,$C$5:$AJ$596,26,)=0,0,((VLOOKUP($D535,$C$5:$AJ$596,26,)/VLOOKUP($D535,$C$5:$AJ$596,4,))*$F535))</f>
        <v>441500.7421777441</v>
      </c>
      <c r="AC535" s="33">
        <f>IF(VLOOKUP($D535,$C$5:$AJ$596,27,)=0,0,((VLOOKUP($D535,$C$5:$AJ$596,27,)/VLOOKUP($D535,$C$5:$AJ$596,4,))*$F535))</f>
        <v>315466.89867703599</v>
      </c>
      <c r="AD535" s="33">
        <f>IF(VLOOKUP($D535,$C$5:$AJ$596,28,)=0,0,((VLOOKUP($D535,$C$5:$AJ$596,28,)/VLOOKUP($D535,$C$5:$AJ$596,4,))*$F535))</f>
        <v>516940.03702340694</v>
      </c>
      <c r="AE535" s="33"/>
      <c r="AF535" s="33">
        <f>IF(VLOOKUP($D535,$C$5:$AJ$596,30,)=0,0,((VLOOKUP($D535,$C$5:$AJ$596,30,)/VLOOKUP($D535,$C$5:$AJ$596,4,))*$F535))</f>
        <v>0</v>
      </c>
      <c r="AG535" s="33"/>
      <c r="AH535" s="33">
        <f>IF(VLOOKUP($D535,$C$5:$AJ$596,32,)=0,0,((VLOOKUP($D535,$C$5:$AJ$596,32,)/VLOOKUP($D535,$C$5:$AJ$596,4,))*$F535))</f>
        <v>0</v>
      </c>
      <c r="AI535" s="33"/>
      <c r="AJ535" s="33">
        <f>IF(VLOOKUP($D535,$C$5:$AJ$596,34,)=0,0,((VLOOKUP($D535,$C$5:$AJ$596,34,)/VLOOKUP($D535,$C$5:$AJ$596,4,))*$F535))</f>
        <v>0</v>
      </c>
      <c r="AK535" s="33">
        <f>SUM(H535:AJ535)</f>
        <v>30253263.47392353</v>
      </c>
      <c r="AL535" s="30" t="str">
        <f>IF(ABS(AK535-F535)&lt;1,"ok","err")</f>
        <v>ok</v>
      </c>
    </row>
    <row r="536" spans="1:38" x14ac:dyDescent="0.25">
      <c r="D536" s="105"/>
      <c r="E536" s="105"/>
      <c r="AL536" s="30"/>
    </row>
    <row r="537" spans="1:38" x14ac:dyDescent="0.25">
      <c r="A537" s="29" t="s">
        <v>394</v>
      </c>
      <c r="C537" s="29" t="s">
        <v>1651</v>
      </c>
      <c r="D537" s="105" t="s">
        <v>184</v>
      </c>
      <c r="E537" s="105"/>
      <c r="F537" s="32">
        <f>SUM('Jurisdictional Study'!$F$1225:$F$1229)</f>
        <v>13428960.159154365</v>
      </c>
      <c r="G537" s="32">
        <v>600157</v>
      </c>
      <c r="H537" s="33">
        <f>IF(VLOOKUP($D537,$C$5:$AJ$596,6,)=0,0,((VLOOKUP($D537,$C$5:$AJ$596,6,)/VLOOKUP($D537,$C$5:$AJ$596,4,))*$F537))</f>
        <v>8010717.2491084207</v>
      </c>
      <c r="I537" s="33">
        <f>IF(VLOOKUP($D537,$C$5:$AJ$596,7,)=0,0,((VLOOKUP($D537,$C$5:$AJ$596,7,)/VLOOKUP($D537,$C$5:$AJ$596,4,))*$F537))</f>
        <v>0</v>
      </c>
      <c r="J537" s="33">
        <f>IF(VLOOKUP($D537,$C$5:$AJ$596,8,)=0,0,((VLOOKUP($D537,$C$5:$AJ$596,8,)/VLOOKUP($D537,$C$5:$AJ$596,4,))*$F537))</f>
        <v>0</v>
      </c>
      <c r="K537" s="33">
        <f>IF(VLOOKUP($D537,$C$5:$AJ$596,9,)=0,0,((VLOOKUP($D537,$C$5:$AJ$596,9,)/VLOOKUP($D537,$C$5:$AJ$596,4,))*$F537))</f>
        <v>0</v>
      </c>
      <c r="L537" s="33">
        <f>IF(VLOOKUP($D537,$C$5:$AJ$596,10,)=0,0,((VLOOKUP($D537,$C$5:$AJ$596,10,)/VLOOKUP($D537,$C$5:$AJ$596,4,))*$F537))</f>
        <v>0</v>
      </c>
      <c r="M537" s="33">
        <f>IF(VLOOKUP($D537,$C$5:$AJ$596,11,)=0,0,((VLOOKUP($D537,$C$5:$AJ$596,11,)/VLOOKUP($D537,$C$5:$AJ$596,4,))*$F537))</f>
        <v>0</v>
      </c>
      <c r="N537" s="33"/>
      <c r="O537" s="33">
        <f>IF(VLOOKUP($D537,$C$5:$AJ$596,13,)=0,0,((VLOOKUP($D537,$C$5:$AJ$596,13,)/VLOOKUP($D537,$C$5:$AJ$596,4,))*$F537))</f>
        <v>1943064.1932686516</v>
      </c>
      <c r="P537" s="33">
        <f>IF(VLOOKUP($D537,$C$5:$AJ$596,14,)=0,0,((VLOOKUP($D537,$C$5:$AJ$596,14,)/VLOOKUP($D537,$C$5:$AJ$596,4,))*$F537))</f>
        <v>0</v>
      </c>
      <c r="Q537" s="33">
        <f>IF(VLOOKUP($D537,$C$5:$AJ$596,15,)=0,0,((VLOOKUP($D537,$C$5:$AJ$596,15,)/VLOOKUP($D537,$C$5:$AJ$596,4,))*$F537))</f>
        <v>0</v>
      </c>
      <c r="R537" s="33"/>
      <c r="S537" s="33">
        <f>IF(VLOOKUP($D537,$C$5:$AJ$596,17,)=0,0,((VLOOKUP($D537,$C$5:$AJ$596,17,)/VLOOKUP($D537,$C$5:$AJ$596,4,))*$F537))</f>
        <v>0</v>
      </c>
      <c r="T537" s="33">
        <f>IF(VLOOKUP($D537,$C$5:$AJ$596,18,)=0,0,((VLOOKUP($D537,$C$5:$AJ$596,18,)/VLOOKUP($D537,$C$5:$AJ$596,4,))*$F537))</f>
        <v>505499.5560264879</v>
      </c>
      <c r="U537" s="33">
        <f>IF(VLOOKUP($D537,$C$5:$AJ$596,19,)=0,0,((VLOOKUP($D537,$C$5:$AJ$596,19,)/VLOOKUP($D537,$C$5:$AJ$596,4,))*$F537))</f>
        <v>0</v>
      </c>
      <c r="V537" s="33">
        <f>IF(VLOOKUP($D537,$C$5:$AJ$596,20,)=0,0,((VLOOKUP($D537,$C$5:$AJ$596,20,)/VLOOKUP($D537,$C$5:$AJ$596,4,))*$F537))</f>
        <v>413566.13682396268</v>
      </c>
      <c r="W537" s="33">
        <f>IF(VLOOKUP($D537,$C$5:$AJ$596,21,)=0,0,((VLOOKUP($D537,$C$5:$AJ$596,21,)/VLOOKUP($D537,$C$5:$AJ$596,4,))*$F537))</f>
        <v>778232.58642852062</v>
      </c>
      <c r="X537" s="33">
        <f>IF(VLOOKUP($D537,$C$5:$AJ$596,22,)=0,0,((VLOOKUP($D537,$C$5:$AJ$596,22,)/VLOOKUP($D537,$C$5:$AJ$596,4,))*$F537))</f>
        <v>225276.20486774296</v>
      </c>
      <c r="Y537" s="33">
        <f>IF(VLOOKUP($D537,$C$5:$AJ$596,23,)=0,0,((VLOOKUP($D537,$C$5:$AJ$596,23,)/VLOOKUP($D537,$C$5:$AJ$596,4,))*$F537))</f>
        <v>417319.17751761683</v>
      </c>
      <c r="Z537" s="33">
        <f>IF(VLOOKUP($D537,$C$5:$AJ$596,24,)=0,0,((VLOOKUP($D537,$C$5:$AJ$596,24,)/VLOOKUP($D537,$C$5:$AJ$596,4,))*$F537))</f>
        <v>305163.40147668857</v>
      </c>
      <c r="AA537" s="33">
        <f>IF(VLOOKUP($D537,$C$5:$AJ$596,25,)=0,0,((VLOOKUP($D537,$C$5:$AJ$596,25,)/VLOOKUP($D537,$C$5:$AJ$596,4,))*$F537))</f>
        <v>264653.55240440159</v>
      </c>
      <c r="AB537" s="33">
        <f>IF(VLOOKUP($D537,$C$5:$AJ$596,26,)=0,0,((VLOOKUP($D537,$C$5:$AJ$596,26,)/VLOOKUP($D537,$C$5:$AJ$596,4,))*$F537))</f>
        <v>195975.41541435203</v>
      </c>
      <c r="AC537" s="33">
        <f>IF(VLOOKUP($D537,$C$5:$AJ$596,27,)=0,0,((VLOOKUP($D537,$C$5:$AJ$596,27,)/VLOOKUP($D537,$C$5:$AJ$596,4,))*$F537))</f>
        <v>140030.9231933743</v>
      </c>
      <c r="AD537" s="33">
        <f>IF(VLOOKUP($D537,$C$5:$AJ$596,28,)=0,0,((VLOOKUP($D537,$C$5:$AJ$596,28,)/VLOOKUP($D537,$C$5:$AJ$596,4,))*$F537))</f>
        <v>229461.76262414351</v>
      </c>
      <c r="AE537" s="33"/>
      <c r="AF537" s="33">
        <f>IF(VLOOKUP($D537,$C$5:$AJ$596,30,)=0,0,((VLOOKUP($D537,$C$5:$AJ$596,30,)/VLOOKUP($D537,$C$5:$AJ$596,4,))*$F537))</f>
        <v>0</v>
      </c>
      <c r="AG537" s="33"/>
      <c r="AH537" s="33">
        <f>IF(VLOOKUP($D537,$C$5:$AJ$596,32,)=0,0,((VLOOKUP($D537,$C$5:$AJ$596,32,)/VLOOKUP($D537,$C$5:$AJ$596,4,))*$F537))</f>
        <v>0</v>
      </c>
      <c r="AI537" s="33"/>
      <c r="AJ537" s="33">
        <f>IF(VLOOKUP($D537,$C$5:$AJ$596,34,)=0,0,((VLOOKUP($D537,$C$5:$AJ$596,34,)/VLOOKUP($D537,$C$5:$AJ$596,4,))*$F537))</f>
        <v>0</v>
      </c>
      <c r="AK537" s="33">
        <f>SUM(H537:AJ537)</f>
        <v>13428960.159154365</v>
      </c>
      <c r="AL537" s="30" t="str">
        <f>IF(ABS(AK537-F537)&lt;1,"ok","err")</f>
        <v>ok</v>
      </c>
    </row>
    <row r="538" spans="1:38" x14ac:dyDescent="0.25">
      <c r="D538" s="105"/>
      <c r="E538" s="105"/>
      <c r="Y538" s="29"/>
    </row>
    <row r="539" spans="1:38" x14ac:dyDescent="0.25">
      <c r="A539" s="29" t="s">
        <v>681</v>
      </c>
      <c r="C539" s="29" t="s">
        <v>867</v>
      </c>
      <c r="D539" s="105" t="s">
        <v>996</v>
      </c>
      <c r="E539" s="105"/>
      <c r="F539" s="32">
        <f>'Jurisdictional Study'!F1232</f>
        <v>0</v>
      </c>
      <c r="G539" s="32">
        <v>600157</v>
      </c>
      <c r="H539" s="33">
        <f>IF(VLOOKUP($D539,$C$5:$AJ$596,6,)=0,0,((VLOOKUP($D539,$C$5:$AJ$596,6,)/VLOOKUP($D539,$C$5:$AJ$596,4,))*$F539))</f>
        <v>0</v>
      </c>
      <c r="I539" s="33">
        <f>IF(VLOOKUP($D539,$C$5:$AJ$596,7,)=0,0,((VLOOKUP($D539,$C$5:$AJ$596,7,)/VLOOKUP($D539,$C$5:$AJ$596,4,))*$F539))</f>
        <v>0</v>
      </c>
      <c r="J539" s="33">
        <f>IF(VLOOKUP($D539,$C$5:$AJ$596,8,)=0,0,((VLOOKUP($D539,$C$5:$AJ$596,8,)/VLOOKUP($D539,$C$5:$AJ$596,4,))*$F539))</f>
        <v>0</v>
      </c>
      <c r="K539" s="33">
        <f>IF(VLOOKUP($D539,$C$5:$AJ$596,9,)=0,0,((VLOOKUP($D539,$C$5:$AJ$596,9,)/VLOOKUP($D539,$C$5:$AJ$596,4,))*$F539))</f>
        <v>0</v>
      </c>
      <c r="L539" s="33">
        <f>IF(VLOOKUP($D539,$C$5:$AJ$596,10,)=0,0,((VLOOKUP($D539,$C$5:$AJ$596,10,)/VLOOKUP($D539,$C$5:$AJ$596,4,))*$F539))</f>
        <v>0</v>
      </c>
      <c r="M539" s="33">
        <f>IF(VLOOKUP($D539,$C$5:$AJ$596,11,)=0,0,((VLOOKUP($D539,$C$5:$AJ$596,11,)/VLOOKUP($D539,$C$5:$AJ$596,4,))*$F539))</f>
        <v>0</v>
      </c>
      <c r="N539" s="33"/>
      <c r="O539" s="33">
        <f>IF(VLOOKUP($D539,$C$5:$AJ$596,13,)=0,0,((VLOOKUP($D539,$C$5:$AJ$596,13,)/VLOOKUP($D539,$C$5:$AJ$596,4,))*$F539))</f>
        <v>0</v>
      </c>
      <c r="P539" s="33">
        <f>IF(VLOOKUP($D539,$C$5:$AJ$596,14,)=0,0,((VLOOKUP($D539,$C$5:$AJ$596,14,)/VLOOKUP($D539,$C$5:$AJ$596,4,))*$F539))</f>
        <v>0</v>
      </c>
      <c r="Q539" s="33">
        <f>IF(VLOOKUP($D539,$C$5:$AJ$596,15,)=0,0,((VLOOKUP($D539,$C$5:$AJ$596,15,)/VLOOKUP($D539,$C$5:$AJ$596,4,))*$F539))</f>
        <v>0</v>
      </c>
      <c r="R539" s="33"/>
      <c r="S539" s="33">
        <f>IF(VLOOKUP($D539,$C$5:$AJ$596,17,)=0,0,((VLOOKUP($D539,$C$5:$AJ$596,17,)/VLOOKUP($D539,$C$5:$AJ$596,4,))*$F539))</f>
        <v>0</v>
      </c>
      <c r="T539" s="33">
        <f>IF(VLOOKUP($D539,$C$5:$AJ$596,18,)=0,0,((VLOOKUP($D539,$C$5:$AJ$596,18,)/VLOOKUP($D539,$C$5:$AJ$596,4,))*$F539))</f>
        <v>0</v>
      </c>
      <c r="U539" s="33">
        <f>IF(VLOOKUP($D539,$C$5:$AJ$596,19,)=0,0,((VLOOKUP($D539,$C$5:$AJ$596,19,)/VLOOKUP($D539,$C$5:$AJ$596,4,))*$F539))</f>
        <v>0</v>
      </c>
      <c r="V539" s="33">
        <f>IF(VLOOKUP($D539,$C$5:$AJ$596,20,)=0,0,((VLOOKUP($D539,$C$5:$AJ$596,20,)/VLOOKUP($D539,$C$5:$AJ$596,4,))*$F539))</f>
        <v>0</v>
      </c>
      <c r="W539" s="33">
        <f>IF(VLOOKUP($D539,$C$5:$AJ$596,21,)=0,0,((VLOOKUP($D539,$C$5:$AJ$596,21,)/VLOOKUP($D539,$C$5:$AJ$596,4,))*$F539))</f>
        <v>0</v>
      </c>
      <c r="X539" s="33">
        <f>IF(VLOOKUP($D539,$C$5:$AJ$596,22,)=0,0,((VLOOKUP($D539,$C$5:$AJ$596,22,)/VLOOKUP($D539,$C$5:$AJ$596,4,))*$F539))</f>
        <v>0</v>
      </c>
      <c r="Y539" s="33">
        <f>IF(VLOOKUP($D539,$C$5:$AJ$596,23,)=0,0,((VLOOKUP($D539,$C$5:$AJ$596,23,)/VLOOKUP($D539,$C$5:$AJ$596,4,))*$F539))</f>
        <v>0</v>
      </c>
      <c r="Z539" s="33">
        <f>IF(VLOOKUP($D539,$C$5:$AJ$596,24,)=0,0,((VLOOKUP($D539,$C$5:$AJ$596,24,)/VLOOKUP($D539,$C$5:$AJ$596,4,))*$F539))</f>
        <v>0</v>
      </c>
      <c r="AA539" s="33">
        <f>IF(VLOOKUP($D539,$C$5:$AJ$596,25,)=0,0,((VLOOKUP($D539,$C$5:$AJ$596,25,)/VLOOKUP($D539,$C$5:$AJ$596,4,))*$F539))</f>
        <v>0</v>
      </c>
      <c r="AB539" s="33">
        <f>IF(VLOOKUP($D539,$C$5:$AJ$596,26,)=0,0,((VLOOKUP($D539,$C$5:$AJ$596,26,)/VLOOKUP($D539,$C$5:$AJ$596,4,))*$F539))</f>
        <v>0</v>
      </c>
      <c r="AC539" s="33">
        <f>IF(VLOOKUP($D539,$C$5:$AJ$596,27,)=0,0,((VLOOKUP($D539,$C$5:$AJ$596,27,)/VLOOKUP($D539,$C$5:$AJ$596,4,))*$F539))</f>
        <v>0</v>
      </c>
      <c r="AD539" s="33">
        <f>IF(VLOOKUP($D539,$C$5:$AJ$596,28,)=0,0,((VLOOKUP($D539,$C$5:$AJ$596,28,)/VLOOKUP($D539,$C$5:$AJ$596,4,))*$F539))</f>
        <v>0</v>
      </c>
      <c r="AE539" s="33"/>
      <c r="AF539" s="33">
        <f>IF(VLOOKUP($D539,$C$5:$AJ$596,30,)=0,0,((VLOOKUP($D539,$C$5:$AJ$596,30,)/VLOOKUP($D539,$C$5:$AJ$596,4,))*$F539))</f>
        <v>0</v>
      </c>
      <c r="AG539" s="33"/>
      <c r="AH539" s="33">
        <f>IF(VLOOKUP($D539,$C$5:$AJ$596,32,)=0,0,((VLOOKUP($D539,$C$5:$AJ$596,32,)/VLOOKUP($D539,$C$5:$AJ$596,4,))*$F539))</f>
        <v>0</v>
      </c>
      <c r="AI539" s="33"/>
      <c r="AJ539" s="33">
        <f>IF(VLOOKUP($D539,$C$5:$AJ$596,34,)=0,0,((VLOOKUP($D539,$C$5:$AJ$596,34,)/VLOOKUP($D539,$C$5:$AJ$596,4,))*$F539))</f>
        <v>0</v>
      </c>
      <c r="AK539" s="33">
        <f>SUM(H539:AJ539)</f>
        <v>0</v>
      </c>
      <c r="AL539" s="30" t="str">
        <f>IF(ABS(AK539-F539)&lt;1,"ok","err")</f>
        <v>ok</v>
      </c>
    </row>
    <row r="540" spans="1:38" x14ac:dyDescent="0.25">
      <c r="D540" s="105"/>
      <c r="E540" s="105"/>
      <c r="Y540" s="29"/>
    </row>
    <row r="541" spans="1:38" x14ac:dyDescent="0.25">
      <c r="A541" s="29" t="s">
        <v>1098</v>
      </c>
      <c r="C541" s="29" t="s">
        <v>362</v>
      </c>
      <c r="D541" s="105" t="s">
        <v>184</v>
      </c>
      <c r="E541" s="105"/>
      <c r="F541" s="32">
        <f>'Jurisdictional Study'!F1270</f>
        <v>109200167.85493115</v>
      </c>
      <c r="H541" s="33">
        <f>IF(VLOOKUP($D541,$C$5:$AJ$596,6,)=0,0,((VLOOKUP($D541,$C$5:$AJ$596,6,)/VLOOKUP($D541,$C$5:$AJ$596,4,))*$F541))</f>
        <v>65140685.345224604</v>
      </c>
      <c r="I541" s="33">
        <f>IF(VLOOKUP($D541,$C$5:$AJ$596,7,)=0,0,((VLOOKUP($D541,$C$5:$AJ$596,7,)/VLOOKUP($D541,$C$5:$AJ$596,4,))*$F541))</f>
        <v>0</v>
      </c>
      <c r="J541" s="33">
        <f>IF(VLOOKUP($D541,$C$5:$AJ$596,8,)=0,0,((VLOOKUP($D541,$C$5:$AJ$596,8,)/VLOOKUP($D541,$C$5:$AJ$596,4,))*$F541))</f>
        <v>0</v>
      </c>
      <c r="K541" s="33">
        <f>IF(VLOOKUP($D541,$C$5:$AJ$596,9,)=0,0,((VLOOKUP($D541,$C$5:$AJ$596,9,)/VLOOKUP($D541,$C$5:$AJ$596,4,))*$F541))</f>
        <v>0</v>
      </c>
      <c r="L541" s="33">
        <f>IF(VLOOKUP($D541,$C$5:$AJ$596,10,)=0,0,((VLOOKUP($D541,$C$5:$AJ$596,10,)/VLOOKUP($D541,$C$5:$AJ$596,4,))*$F541))</f>
        <v>0</v>
      </c>
      <c r="M541" s="33">
        <f>IF(VLOOKUP($D541,$C$5:$AJ$596,11,)=0,0,((VLOOKUP($D541,$C$5:$AJ$596,11,)/VLOOKUP($D541,$C$5:$AJ$596,4,))*$F541))</f>
        <v>0</v>
      </c>
      <c r="N541" s="33"/>
      <c r="O541" s="33">
        <f>IF(VLOOKUP($D541,$C$5:$AJ$596,13,)=0,0,((VLOOKUP($D541,$C$5:$AJ$596,13,)/VLOOKUP($D541,$C$5:$AJ$596,4,))*$F541))</f>
        <v>15800399.550161783</v>
      </c>
      <c r="P541" s="33">
        <f>IF(VLOOKUP($D541,$C$5:$AJ$596,14,)=0,0,((VLOOKUP($D541,$C$5:$AJ$596,14,)/VLOOKUP($D541,$C$5:$AJ$596,4,))*$F541))</f>
        <v>0</v>
      </c>
      <c r="Q541" s="33">
        <f>IF(VLOOKUP($D541,$C$5:$AJ$596,15,)=0,0,((VLOOKUP($D541,$C$5:$AJ$596,15,)/VLOOKUP($D541,$C$5:$AJ$596,4,))*$F541))</f>
        <v>0</v>
      </c>
      <c r="R541" s="33"/>
      <c r="S541" s="33">
        <f>IF(VLOOKUP($D541,$C$5:$AJ$596,17,)=0,0,((VLOOKUP($D541,$C$5:$AJ$596,17,)/VLOOKUP($D541,$C$5:$AJ$596,4,))*$F541))</f>
        <v>0</v>
      </c>
      <c r="T541" s="33">
        <f>IF(VLOOKUP($D541,$C$5:$AJ$596,18,)=0,0,((VLOOKUP($D541,$C$5:$AJ$596,18,)/VLOOKUP($D541,$C$5:$AJ$596,4,))*$F541))</f>
        <v>4110566.6942541357</v>
      </c>
      <c r="U541" s="33">
        <f>IF(VLOOKUP($D541,$C$5:$AJ$596,19,)=0,0,((VLOOKUP($D541,$C$5:$AJ$596,19,)/VLOOKUP($D541,$C$5:$AJ$596,4,))*$F541))</f>
        <v>0</v>
      </c>
      <c r="V541" s="33">
        <f>IF(VLOOKUP($D541,$C$5:$AJ$596,20,)=0,0,((VLOOKUP($D541,$C$5:$AJ$596,20,)/VLOOKUP($D541,$C$5:$AJ$596,4,))*$F541))</f>
        <v>3362992.4450632972</v>
      </c>
      <c r="W541" s="33">
        <f>IF(VLOOKUP($D541,$C$5:$AJ$596,21,)=0,0,((VLOOKUP($D541,$C$5:$AJ$596,21,)/VLOOKUP($D541,$C$5:$AJ$596,4,))*$F541))</f>
        <v>6328347.6949061956</v>
      </c>
      <c r="X541" s="33">
        <f>IF(VLOOKUP($D541,$C$5:$AJ$596,22,)=0,0,((VLOOKUP($D541,$C$5:$AJ$596,22,)/VLOOKUP($D541,$C$5:$AJ$596,4,))*$F541))</f>
        <v>1831876.7122493635</v>
      </c>
      <c r="Y541" s="33">
        <f>IF(VLOOKUP($D541,$C$5:$AJ$596,23,)=0,0,((VLOOKUP($D541,$C$5:$AJ$596,23,)/VLOOKUP($D541,$C$5:$AJ$596,4,))*$F541))</f>
        <v>3393511.016036497</v>
      </c>
      <c r="Z541" s="33">
        <f>IF(VLOOKUP($D541,$C$5:$AJ$596,24,)=0,0,((VLOOKUP($D541,$C$5:$AJ$596,24,)/VLOOKUP($D541,$C$5:$AJ$596,4,))*$F541))</f>
        <v>2481494.7895812783</v>
      </c>
      <c r="AA541" s="33">
        <f>IF(VLOOKUP($D541,$C$5:$AJ$596,25,)=0,0,((VLOOKUP($D541,$C$5:$AJ$596,25,)/VLOOKUP($D541,$C$5:$AJ$596,4,))*$F541))</f>
        <v>2152081.1740783616</v>
      </c>
      <c r="AB541" s="33">
        <f>IF(VLOOKUP($D541,$C$5:$AJ$596,26,)=0,0,((VLOOKUP($D541,$C$5:$AJ$596,26,)/VLOOKUP($D541,$C$5:$AJ$596,4,))*$F541))</f>
        <v>1593611.717143907</v>
      </c>
      <c r="AC541" s="33">
        <f>IF(VLOOKUP($D541,$C$5:$AJ$596,27,)=0,0,((VLOOKUP($D541,$C$5:$AJ$596,27,)/VLOOKUP($D541,$C$5:$AJ$596,4,))*$F541))</f>
        <v>1138688.3374714218</v>
      </c>
      <c r="AD541" s="33">
        <f>IF(VLOOKUP($D541,$C$5:$AJ$596,28,)=0,0,((VLOOKUP($D541,$C$5:$AJ$596,28,)/VLOOKUP($D541,$C$5:$AJ$596,4,))*$F541))</f>
        <v>1865912.3787602866</v>
      </c>
      <c r="AE541" s="33"/>
      <c r="AF541" s="33">
        <f>IF(VLOOKUP($D541,$C$5:$AJ$596,30,)=0,0,((VLOOKUP($D541,$C$5:$AJ$596,30,)/VLOOKUP($D541,$C$5:$AJ$596,4,))*$F541))</f>
        <v>0</v>
      </c>
      <c r="AG541" s="33"/>
      <c r="AH541" s="33">
        <f>IF(VLOOKUP($D541,$C$5:$AJ$596,32,)=0,0,((VLOOKUP($D541,$C$5:$AJ$596,32,)/VLOOKUP($D541,$C$5:$AJ$596,4,))*$F541))</f>
        <v>0</v>
      </c>
      <c r="AI541" s="33"/>
      <c r="AJ541" s="33">
        <f>IF(VLOOKUP($D541,$C$5:$AJ$596,34,)=0,0,((VLOOKUP($D541,$C$5:$AJ$596,34,)/VLOOKUP($D541,$C$5:$AJ$596,4,))*$F541))</f>
        <v>0</v>
      </c>
      <c r="AK541" s="33">
        <f>SUM(H541:AJ541)</f>
        <v>109200167.85493113</v>
      </c>
      <c r="AL541" s="30" t="str">
        <f>IF(ABS(AK541-F541)&lt;1,"ok","err")</f>
        <v>ok</v>
      </c>
    </row>
    <row r="542" spans="1:38" x14ac:dyDescent="0.25">
      <c r="D542" s="105"/>
      <c r="E542" s="105"/>
      <c r="AL542" s="30"/>
    </row>
    <row r="543" spans="1:38" x14ac:dyDescent="0.25">
      <c r="A543" s="29" t="s">
        <v>787</v>
      </c>
      <c r="C543" s="29" t="s">
        <v>361</v>
      </c>
      <c r="D543" s="114" t="s">
        <v>184</v>
      </c>
      <c r="E543" s="13"/>
      <c r="F543" s="32">
        <v>0</v>
      </c>
      <c r="H543" s="33">
        <f>IF(VLOOKUP($D543,$C$5:$AJ$596,6,)=0,0,((VLOOKUP($D543,$C$5:$AJ$596,6,)/VLOOKUP($D543,$C$5:$AJ$596,4,))*$F543))</f>
        <v>0</v>
      </c>
      <c r="I543" s="33">
        <f>IF(VLOOKUP($D543,$C$5:$AJ$596,7,)=0,0,((VLOOKUP($D543,$C$5:$AJ$596,7,)/VLOOKUP($D543,$C$5:$AJ$596,4,))*$F543))</f>
        <v>0</v>
      </c>
      <c r="J543" s="33">
        <f>IF(VLOOKUP($D543,$C$5:$AJ$596,8,)=0,0,((VLOOKUP($D543,$C$5:$AJ$596,8,)/VLOOKUP($D543,$C$5:$AJ$596,4,))*$F543))</f>
        <v>0</v>
      </c>
      <c r="K543" s="33">
        <f>IF(VLOOKUP($D543,$C$5:$AJ$596,9,)=0,0,((VLOOKUP($D543,$C$5:$AJ$596,9,)/VLOOKUP($D543,$C$5:$AJ$596,4,))*$F543))</f>
        <v>0</v>
      </c>
      <c r="L543" s="33">
        <f>IF(VLOOKUP($D543,$C$5:$AJ$596,10,)=0,0,((VLOOKUP($D543,$C$5:$AJ$596,10,)/VLOOKUP($D543,$C$5:$AJ$596,4,))*$F543))</f>
        <v>0</v>
      </c>
      <c r="M543" s="33">
        <f>IF(VLOOKUP($D543,$C$5:$AJ$596,11,)=0,0,((VLOOKUP($D543,$C$5:$AJ$596,11,)/VLOOKUP($D543,$C$5:$AJ$596,4,))*$F543))</f>
        <v>0</v>
      </c>
      <c r="N543" s="33"/>
      <c r="O543" s="33">
        <f>IF(VLOOKUP($D543,$C$5:$AJ$596,13,)=0,0,((VLOOKUP($D543,$C$5:$AJ$596,13,)/VLOOKUP($D543,$C$5:$AJ$596,4,))*$F543))</f>
        <v>0</v>
      </c>
      <c r="P543" s="33">
        <f>IF(VLOOKUP($D543,$C$5:$AJ$596,14,)=0,0,((VLOOKUP($D543,$C$5:$AJ$596,14,)/VLOOKUP($D543,$C$5:$AJ$596,4,))*$F543))</f>
        <v>0</v>
      </c>
      <c r="Q543" s="33">
        <f>IF(VLOOKUP($D543,$C$5:$AJ$596,15,)=0,0,((VLOOKUP($D543,$C$5:$AJ$596,15,)/VLOOKUP($D543,$C$5:$AJ$596,4,))*$F543))</f>
        <v>0</v>
      </c>
      <c r="R543" s="33"/>
      <c r="S543" s="33">
        <f>IF(VLOOKUP($D543,$C$5:$AJ$596,17,)=0,0,((VLOOKUP($D543,$C$5:$AJ$596,17,)/VLOOKUP($D543,$C$5:$AJ$596,4,))*$F543))</f>
        <v>0</v>
      </c>
      <c r="T543" s="33">
        <f>IF(VLOOKUP($D543,$C$5:$AJ$596,18,)=0,0,((VLOOKUP($D543,$C$5:$AJ$596,18,)/VLOOKUP($D543,$C$5:$AJ$596,4,))*$F543))</f>
        <v>0</v>
      </c>
      <c r="U543" s="33">
        <f>IF(VLOOKUP($D543,$C$5:$AJ$596,19,)=0,0,((VLOOKUP($D543,$C$5:$AJ$596,19,)/VLOOKUP($D543,$C$5:$AJ$596,4,))*$F543))</f>
        <v>0</v>
      </c>
      <c r="V543" s="33">
        <f>IF(VLOOKUP($D543,$C$5:$AJ$596,20,)=0,0,((VLOOKUP($D543,$C$5:$AJ$596,20,)/VLOOKUP($D543,$C$5:$AJ$596,4,))*$F543))</f>
        <v>0</v>
      </c>
      <c r="W543" s="33">
        <f>IF(VLOOKUP($D543,$C$5:$AJ$596,21,)=0,0,((VLOOKUP($D543,$C$5:$AJ$596,21,)/VLOOKUP($D543,$C$5:$AJ$596,4,))*$F543))</f>
        <v>0</v>
      </c>
      <c r="X543" s="33">
        <f>IF(VLOOKUP($D543,$C$5:$AJ$596,22,)=0,0,((VLOOKUP($D543,$C$5:$AJ$596,22,)/VLOOKUP($D543,$C$5:$AJ$596,4,))*$F543))</f>
        <v>0</v>
      </c>
      <c r="Y543" s="33">
        <f>IF(VLOOKUP($D543,$C$5:$AJ$596,23,)=0,0,((VLOOKUP($D543,$C$5:$AJ$596,23,)/VLOOKUP($D543,$C$5:$AJ$596,4,))*$F543))</f>
        <v>0</v>
      </c>
      <c r="Z543" s="33">
        <f>IF(VLOOKUP($D543,$C$5:$AJ$596,24,)=0,0,((VLOOKUP($D543,$C$5:$AJ$596,24,)/VLOOKUP($D543,$C$5:$AJ$596,4,))*$F543))</f>
        <v>0</v>
      </c>
      <c r="AA543" s="33">
        <f>IF(VLOOKUP($D543,$C$5:$AJ$596,25,)=0,0,((VLOOKUP($D543,$C$5:$AJ$596,25,)/VLOOKUP($D543,$C$5:$AJ$596,4,))*$F543))</f>
        <v>0</v>
      </c>
      <c r="AB543" s="33">
        <f>IF(VLOOKUP($D543,$C$5:$AJ$596,26,)=0,0,((VLOOKUP($D543,$C$5:$AJ$596,26,)/VLOOKUP($D543,$C$5:$AJ$596,4,))*$F543))</f>
        <v>0</v>
      </c>
      <c r="AC543" s="33">
        <f>IF(VLOOKUP($D543,$C$5:$AJ$596,27,)=0,0,((VLOOKUP($D543,$C$5:$AJ$596,27,)/VLOOKUP($D543,$C$5:$AJ$596,4,))*$F543))</f>
        <v>0</v>
      </c>
      <c r="AD543" s="33">
        <f>IF(VLOOKUP($D543,$C$5:$AJ$596,28,)=0,0,((VLOOKUP($D543,$C$5:$AJ$596,28,)/VLOOKUP($D543,$C$5:$AJ$596,4,))*$F543))</f>
        <v>0</v>
      </c>
      <c r="AE543" s="33"/>
      <c r="AF543" s="33">
        <f>IF(VLOOKUP($D543,$C$5:$AJ$596,30,)=0,0,((VLOOKUP($D543,$C$5:$AJ$596,30,)/VLOOKUP($D543,$C$5:$AJ$596,4,))*$F543))</f>
        <v>0</v>
      </c>
      <c r="AG543" s="33"/>
      <c r="AH543" s="33">
        <f>IF(VLOOKUP($D543,$C$5:$AJ$596,32,)=0,0,((VLOOKUP($D543,$C$5:$AJ$596,32,)/VLOOKUP($D543,$C$5:$AJ$596,4,))*$F543))</f>
        <v>0</v>
      </c>
      <c r="AI543" s="33"/>
      <c r="AJ543" s="33">
        <f>IF(VLOOKUP($D543,$C$5:$AJ$596,34,)=0,0,((VLOOKUP($D543,$C$5:$AJ$596,34,)/VLOOKUP($D543,$C$5:$AJ$596,4,))*$F543))</f>
        <v>0</v>
      </c>
      <c r="AK543" s="33">
        <f>SUM(H543:AJ543)</f>
        <v>0</v>
      </c>
      <c r="AL543" s="30" t="str">
        <f>IF(ABS(AK543-F543)&lt;1,"ok","err")</f>
        <v>ok</v>
      </c>
    </row>
    <row r="544" spans="1:38" x14ac:dyDescent="0.25">
      <c r="D544" s="13"/>
      <c r="E544" s="13"/>
      <c r="AK544" s="33"/>
      <c r="AL544" s="30"/>
    </row>
    <row r="545" spans="1:38" x14ac:dyDescent="0.25">
      <c r="A545" s="4" t="s">
        <v>363</v>
      </c>
      <c r="C545" s="29" t="s">
        <v>364</v>
      </c>
      <c r="D545" s="115"/>
      <c r="E545" s="13"/>
      <c r="F545" s="34">
        <f>F526+F533+F535+F537+F539+F541+F543</f>
        <v>421836539.80673373</v>
      </c>
      <c r="G545" s="34"/>
      <c r="H545" s="34">
        <f t="shared" ref="H545:AJ545" si="613">H526+H533+H535+H537+H539+H541+H543</f>
        <v>277839269.39585131</v>
      </c>
      <c r="I545" s="34">
        <f t="shared" si="613"/>
        <v>0</v>
      </c>
      <c r="J545" s="34">
        <f t="shared" si="613"/>
        <v>0</v>
      </c>
      <c r="K545" s="34">
        <f t="shared" si="613"/>
        <v>0</v>
      </c>
      <c r="L545" s="34">
        <f t="shared" si="613"/>
        <v>0</v>
      </c>
      <c r="M545" s="34">
        <f t="shared" si="613"/>
        <v>0</v>
      </c>
      <c r="N545" s="34"/>
      <c r="O545" s="34">
        <f t="shared" si="613"/>
        <v>50439866.694046602</v>
      </c>
      <c r="P545" s="34">
        <f t="shared" si="613"/>
        <v>0</v>
      </c>
      <c r="Q545" s="34">
        <f t="shared" si="613"/>
        <v>0</v>
      </c>
      <c r="R545" s="34"/>
      <c r="S545" s="34">
        <f t="shared" si="613"/>
        <v>0</v>
      </c>
      <c r="T545" s="34">
        <f t="shared" si="613"/>
        <v>13608861.556826292</v>
      </c>
      <c r="U545" s="34">
        <f t="shared" si="613"/>
        <v>0</v>
      </c>
      <c r="V545" s="34">
        <f t="shared" si="613"/>
        <v>11133865.961959172</v>
      </c>
      <c r="W545" s="34">
        <f t="shared" si="613"/>
        <v>20951273.648916185</v>
      </c>
      <c r="X545" s="34">
        <f t="shared" si="613"/>
        <v>6064797.9756716294</v>
      </c>
      <c r="Y545" s="34">
        <f t="shared" si="613"/>
        <v>11234903.857261296</v>
      </c>
      <c r="Z545" s="34">
        <f t="shared" si="613"/>
        <v>8215489.8721391596</v>
      </c>
      <c r="AA545" s="34">
        <f t="shared" si="613"/>
        <v>7124899.5419593379</v>
      </c>
      <c r="AB545" s="34">
        <f t="shared" si="613"/>
        <v>5275973.5693530226</v>
      </c>
      <c r="AC545" s="34">
        <f t="shared" si="613"/>
        <v>3769857.8063901416</v>
      </c>
      <c r="AD545" s="34">
        <f t="shared" si="613"/>
        <v>6177479.9263595734</v>
      </c>
      <c r="AE545" s="34"/>
      <c r="AF545" s="34">
        <f t="shared" si="613"/>
        <v>0</v>
      </c>
      <c r="AG545" s="34"/>
      <c r="AH545" s="34">
        <f t="shared" si="613"/>
        <v>0</v>
      </c>
      <c r="AI545" s="34"/>
      <c r="AJ545" s="34">
        <f t="shared" si="613"/>
        <v>0</v>
      </c>
      <c r="AK545" s="33">
        <f>SUM(H545:AJ545)</f>
        <v>421836539.80673385</v>
      </c>
      <c r="AL545" s="30" t="str">
        <f>IF(ABS(AK545-F545)&lt;1,"ok","err")</f>
        <v>ok</v>
      </c>
    </row>
    <row r="546" spans="1:38" x14ac:dyDescent="0.25">
      <c r="D546" s="13"/>
      <c r="E546" s="13"/>
      <c r="AL546" s="30"/>
    </row>
    <row r="547" spans="1:38" x14ac:dyDescent="0.25">
      <c r="A547" s="4" t="s">
        <v>453</v>
      </c>
      <c r="D547" s="13"/>
      <c r="E547" s="13"/>
      <c r="F547" s="34">
        <f t="shared" ref="F547:M547" si="614">F333+F545</f>
        <v>1306476460.7930355</v>
      </c>
      <c r="G547" s="34">
        <f t="shared" si="614"/>
        <v>0</v>
      </c>
      <c r="H547" s="34">
        <f t="shared" si="614"/>
        <v>392666794.56595576</v>
      </c>
      <c r="I547" s="34">
        <f t="shared" si="614"/>
        <v>0</v>
      </c>
      <c r="J547" s="34">
        <f t="shared" si="614"/>
        <v>0</v>
      </c>
      <c r="K547" s="34">
        <f t="shared" si="614"/>
        <v>573994723.86352992</v>
      </c>
      <c r="L547" s="34">
        <f t="shared" si="614"/>
        <v>0</v>
      </c>
      <c r="M547" s="34">
        <f t="shared" si="614"/>
        <v>0</v>
      </c>
      <c r="N547" s="34"/>
      <c r="O547" s="34">
        <f>O333+O545</f>
        <v>104539186.33981192</v>
      </c>
      <c r="P547" s="34">
        <f>P333+P545</f>
        <v>0</v>
      </c>
      <c r="Q547" s="34">
        <f>Q333+Q545</f>
        <v>0</v>
      </c>
      <c r="R547" s="34"/>
      <c r="S547" s="34">
        <f t="shared" ref="S547:AJ547" si="615">S333+S545</f>
        <v>0</v>
      </c>
      <c r="T547" s="34">
        <f t="shared" si="615"/>
        <v>21990326.497075938</v>
      </c>
      <c r="U547" s="34">
        <f t="shared" si="615"/>
        <v>0</v>
      </c>
      <c r="V547" s="34">
        <f t="shared" si="615"/>
        <v>23936284.288214117</v>
      </c>
      <c r="W547" s="34">
        <f t="shared" si="615"/>
        <v>42775558.483138338</v>
      </c>
      <c r="X547" s="34">
        <f t="shared" si="615"/>
        <v>13120460.748870894</v>
      </c>
      <c r="Y547" s="34">
        <f t="shared" si="615"/>
        <v>23184715.932571638</v>
      </c>
      <c r="Z547" s="34">
        <f t="shared" si="615"/>
        <v>11013125.929343363</v>
      </c>
      <c r="AA547" s="34">
        <f t="shared" si="615"/>
        <v>9551154.8441709168</v>
      </c>
      <c r="AB547" s="34">
        <f t="shared" si="615"/>
        <v>7035000.3987627607</v>
      </c>
      <c r="AC547" s="34">
        <f t="shared" si="615"/>
        <v>14422558.307273436</v>
      </c>
      <c r="AD547" s="34">
        <f t="shared" si="615"/>
        <v>8237071.9212336279</v>
      </c>
      <c r="AE547" s="34">
        <f t="shared" si="615"/>
        <v>0</v>
      </c>
      <c r="AF547" s="34">
        <f t="shared" si="615"/>
        <v>53856751.652274072</v>
      </c>
      <c r="AG547" s="34">
        <f t="shared" si="615"/>
        <v>0</v>
      </c>
      <c r="AH547" s="34">
        <f t="shared" si="615"/>
        <v>6152747.020808869</v>
      </c>
      <c r="AI547" s="34">
        <f t="shared" si="615"/>
        <v>0</v>
      </c>
      <c r="AJ547" s="34">
        <f t="shared" si="615"/>
        <v>0</v>
      </c>
      <c r="AK547" s="33">
        <f>SUM(H547:AJ547)</f>
        <v>1306476460.7930357</v>
      </c>
      <c r="AL547" s="30" t="str">
        <f>IF(ABS(AK547-F547)&lt;1,"ok","err")</f>
        <v>ok</v>
      </c>
    </row>
    <row r="548" spans="1:38" x14ac:dyDescent="0.25">
      <c r="D548" s="13"/>
      <c r="E548" s="13"/>
      <c r="AL548" s="30"/>
    </row>
    <row r="549" spans="1:38" hidden="1" x14ac:dyDescent="0.25">
      <c r="D549" s="13"/>
      <c r="E549" s="13"/>
      <c r="AL549" s="30"/>
    </row>
    <row r="550" spans="1:38" hidden="1" x14ac:dyDescent="0.25">
      <c r="A550" s="4" t="s">
        <v>901</v>
      </c>
      <c r="D550" s="13"/>
      <c r="E550" s="13"/>
      <c r="AL550" s="30"/>
    </row>
    <row r="551" spans="1:38" hidden="1" x14ac:dyDescent="0.25">
      <c r="A551" s="29" t="s">
        <v>902</v>
      </c>
      <c r="D551" s="105"/>
      <c r="E551" s="13"/>
      <c r="F551" s="33">
        <v>0</v>
      </c>
      <c r="AL551" s="30"/>
    </row>
    <row r="552" spans="1:38" hidden="1" x14ac:dyDescent="0.25">
      <c r="A552" s="29" t="s">
        <v>502</v>
      </c>
      <c r="D552" s="105"/>
      <c r="E552" s="13"/>
      <c r="F552" s="33">
        <v>0</v>
      </c>
      <c r="AL552" s="30"/>
    </row>
    <row r="553" spans="1:38" hidden="1" x14ac:dyDescent="0.25">
      <c r="A553" s="29" t="s">
        <v>503</v>
      </c>
      <c r="D553" s="105"/>
      <c r="E553" s="13"/>
      <c r="F553" s="33">
        <v>0</v>
      </c>
      <c r="AL553" s="30"/>
    </row>
    <row r="554" spans="1:38" hidden="1" x14ac:dyDescent="0.25">
      <c r="A554" s="29" t="s">
        <v>504</v>
      </c>
      <c r="D554" s="105"/>
      <c r="E554" s="13"/>
      <c r="F554" s="33">
        <v>0</v>
      </c>
      <c r="AL554" s="30"/>
    </row>
    <row r="555" spans="1:38" hidden="1" x14ac:dyDescent="0.25">
      <c r="A555" s="29" t="s">
        <v>505</v>
      </c>
      <c r="D555" s="13"/>
      <c r="E555" s="13"/>
      <c r="F555" s="33">
        <v>0</v>
      </c>
      <c r="AL555" s="30"/>
    </row>
    <row r="556" spans="1:38" hidden="1" x14ac:dyDescent="0.25">
      <c r="A556" s="29" t="s">
        <v>506</v>
      </c>
      <c r="D556" s="13"/>
      <c r="E556" s="13"/>
      <c r="F556" s="33">
        <v>0</v>
      </c>
      <c r="AL556" s="30"/>
    </row>
    <row r="557" spans="1:38" hidden="1" x14ac:dyDescent="0.25">
      <c r="A557" s="29" t="s">
        <v>507</v>
      </c>
      <c r="D557" s="13"/>
      <c r="E557" s="13"/>
      <c r="F557" s="33">
        <v>0</v>
      </c>
      <c r="AL557" s="30"/>
    </row>
    <row r="558" spans="1:38" hidden="1" x14ac:dyDescent="0.25">
      <c r="D558" s="105"/>
      <c r="E558" s="13"/>
      <c r="F558" s="33"/>
      <c r="AL558" s="30"/>
    </row>
    <row r="559" spans="1:38" hidden="1" x14ac:dyDescent="0.25">
      <c r="A559" s="29" t="s">
        <v>508</v>
      </c>
      <c r="D559" s="105"/>
      <c r="E559" s="13"/>
      <c r="F559" s="33">
        <v>0</v>
      </c>
      <c r="AL559" s="30"/>
    </row>
    <row r="560" spans="1:38" hidden="1" x14ac:dyDescent="0.25">
      <c r="D560" s="105"/>
      <c r="E560" s="13"/>
      <c r="F560" s="33"/>
      <c r="AL560" s="30"/>
    </row>
    <row r="561" spans="1:38" x14ac:dyDescent="0.25">
      <c r="A561" s="3" t="s">
        <v>365</v>
      </c>
      <c r="D561" s="105"/>
      <c r="E561" s="13"/>
      <c r="AL561" s="30"/>
    </row>
    <row r="562" spans="1:38" x14ac:dyDescent="0.25">
      <c r="D562" s="105"/>
      <c r="E562" s="13"/>
      <c r="AL562" s="30"/>
    </row>
    <row r="563" spans="1:38" x14ac:dyDescent="0.25">
      <c r="A563" s="29" t="s">
        <v>97</v>
      </c>
      <c r="C563" s="29" t="s">
        <v>114</v>
      </c>
      <c r="D563" s="105"/>
      <c r="E563" s="13"/>
      <c r="F563" s="46">
        <v>1</v>
      </c>
      <c r="G563" s="46"/>
      <c r="H563" s="47">
        <v>0</v>
      </c>
      <c r="I563" s="47">
        <v>0</v>
      </c>
      <c r="J563" s="47">
        <v>0</v>
      </c>
      <c r="K563" s="47">
        <v>0</v>
      </c>
      <c r="L563" s="47">
        <v>0</v>
      </c>
      <c r="M563" s="47">
        <v>0</v>
      </c>
      <c r="N563" s="47"/>
      <c r="O563" s="47">
        <v>0</v>
      </c>
      <c r="P563" s="47">
        <v>0</v>
      </c>
      <c r="Q563" s="47">
        <v>0</v>
      </c>
      <c r="R563" s="46"/>
      <c r="S563" s="47">
        <v>0</v>
      </c>
      <c r="T563" s="47">
        <v>1</v>
      </c>
      <c r="U563" s="47">
        <v>0</v>
      </c>
      <c r="V563" s="47">
        <v>0</v>
      </c>
      <c r="W563" s="47">
        <v>0</v>
      </c>
      <c r="X563" s="47">
        <v>0</v>
      </c>
      <c r="Y563" s="47">
        <v>0</v>
      </c>
      <c r="Z563" s="46">
        <v>0</v>
      </c>
      <c r="AA563" s="46">
        <v>0</v>
      </c>
      <c r="AB563" s="46">
        <v>0</v>
      </c>
      <c r="AC563" s="46">
        <v>0</v>
      </c>
      <c r="AD563" s="46">
        <v>0</v>
      </c>
      <c r="AE563" s="46"/>
      <c r="AF563" s="46">
        <v>0</v>
      </c>
      <c r="AG563" s="46"/>
      <c r="AH563" s="46">
        <v>0</v>
      </c>
      <c r="AI563" s="46"/>
      <c r="AJ563" s="46">
        <v>0</v>
      </c>
      <c r="AK563" s="47">
        <f>SUM(H563:AJ563)</f>
        <v>1</v>
      </c>
      <c r="AL563" s="30" t="str">
        <f t="shared" ref="AL563:AL587" si="616">IF(ABS(AK563-F563)&lt;0.0000001,"ok","err")</f>
        <v>ok</v>
      </c>
    </row>
    <row r="564" spans="1:38" x14ac:dyDescent="0.25">
      <c r="A564" s="29" t="s">
        <v>366</v>
      </c>
      <c r="C564" s="29" t="s">
        <v>115</v>
      </c>
      <c r="D564" s="112"/>
      <c r="E564" s="15"/>
      <c r="F564" s="46">
        <v>1</v>
      </c>
      <c r="G564" s="46"/>
      <c r="H564" s="47">
        <v>0</v>
      </c>
      <c r="I564" s="47">
        <v>0</v>
      </c>
      <c r="J564" s="47">
        <v>0</v>
      </c>
      <c r="K564" s="47">
        <v>0</v>
      </c>
      <c r="L564" s="47">
        <v>0</v>
      </c>
      <c r="M564" s="47">
        <v>0</v>
      </c>
      <c r="N564" s="47"/>
      <c r="O564" s="47">
        <v>0</v>
      </c>
      <c r="P564" s="47">
        <v>0</v>
      </c>
      <c r="Q564" s="47">
        <v>0</v>
      </c>
      <c r="R564" s="46"/>
      <c r="S564" s="47">
        <v>0</v>
      </c>
      <c r="T564" s="47">
        <v>0</v>
      </c>
      <c r="U564" s="47">
        <v>0</v>
      </c>
      <c r="V564" s="181">
        <f>0.3829*0.6433</f>
        <v>0.24631957000000002</v>
      </c>
      <c r="W564" s="181">
        <f>0.6171*0.6433</f>
        <v>0.39698043</v>
      </c>
      <c r="X564" s="181">
        <f>0.3829*0.3567</f>
        <v>0.13658043</v>
      </c>
      <c r="Y564" s="181">
        <f>0.6171*0.3567</f>
        <v>0.22011957000000001</v>
      </c>
      <c r="Z564" s="46">
        <v>0</v>
      </c>
      <c r="AA564" s="46">
        <v>0</v>
      </c>
      <c r="AB564" s="46">
        <v>0</v>
      </c>
      <c r="AC564" s="46">
        <v>0</v>
      </c>
      <c r="AD564" s="46">
        <v>0</v>
      </c>
      <c r="AE564" s="46"/>
      <c r="AF564" s="46">
        <v>0</v>
      </c>
      <c r="AG564" s="46"/>
      <c r="AH564" s="46">
        <v>0</v>
      </c>
      <c r="AI564" s="46"/>
      <c r="AJ564" s="46">
        <v>0</v>
      </c>
      <c r="AK564" s="47">
        <f t="shared" ref="AK564:AK586" si="617">SUM(H564:AJ564)</f>
        <v>1</v>
      </c>
      <c r="AL564" s="30" t="str">
        <f t="shared" si="616"/>
        <v>ok</v>
      </c>
    </row>
    <row r="565" spans="1:38" x14ac:dyDescent="0.25">
      <c r="A565" s="29" t="s">
        <v>367</v>
      </c>
      <c r="C565" s="29" t="s">
        <v>117</v>
      </c>
      <c r="D565" s="112"/>
      <c r="E565" s="15"/>
      <c r="F565" s="46">
        <v>1</v>
      </c>
      <c r="G565" s="46"/>
      <c r="H565" s="47">
        <v>0</v>
      </c>
      <c r="I565" s="47">
        <v>0</v>
      </c>
      <c r="J565" s="47">
        <v>0</v>
      </c>
      <c r="K565" s="47">
        <v>0</v>
      </c>
      <c r="L565" s="47">
        <v>0</v>
      </c>
      <c r="M565" s="47">
        <v>0</v>
      </c>
      <c r="N565" s="47"/>
      <c r="O565" s="47">
        <v>0</v>
      </c>
      <c r="P565" s="47">
        <v>0</v>
      </c>
      <c r="Q565" s="47">
        <v>0</v>
      </c>
      <c r="R565" s="46"/>
      <c r="S565" s="47">
        <v>0</v>
      </c>
      <c r="T565" s="47">
        <v>0</v>
      </c>
      <c r="U565" s="47">
        <v>0</v>
      </c>
      <c r="V565" s="181">
        <f>V564</f>
        <v>0.24631957000000002</v>
      </c>
      <c r="W565" s="181">
        <f>W564</f>
        <v>0.39698043</v>
      </c>
      <c r="X565" s="181">
        <f>X564</f>
        <v>0.13658043</v>
      </c>
      <c r="Y565" s="181">
        <f>Y564</f>
        <v>0.22011957000000001</v>
      </c>
      <c r="Z565" s="46">
        <v>0</v>
      </c>
      <c r="AA565" s="46">
        <v>0</v>
      </c>
      <c r="AB565" s="46">
        <v>0</v>
      </c>
      <c r="AC565" s="46">
        <v>0</v>
      </c>
      <c r="AD565" s="46">
        <v>0</v>
      </c>
      <c r="AE565" s="46"/>
      <c r="AF565" s="46">
        <v>0</v>
      </c>
      <c r="AG565" s="46"/>
      <c r="AH565" s="46">
        <v>0</v>
      </c>
      <c r="AI565" s="46"/>
      <c r="AJ565" s="46">
        <v>0</v>
      </c>
      <c r="AK565" s="47">
        <f t="shared" si="617"/>
        <v>1</v>
      </c>
      <c r="AL565" s="30" t="str">
        <f t="shared" si="616"/>
        <v>ok</v>
      </c>
    </row>
    <row r="566" spans="1:38" x14ac:dyDescent="0.25">
      <c r="A566" s="29" t="s">
        <v>368</v>
      </c>
      <c r="C566" s="29" t="s">
        <v>118</v>
      </c>
      <c r="D566" s="112"/>
      <c r="E566" s="15"/>
      <c r="F566" s="46">
        <v>1</v>
      </c>
      <c r="G566" s="46"/>
      <c r="H566" s="47">
        <v>0</v>
      </c>
      <c r="I566" s="47">
        <v>0</v>
      </c>
      <c r="J566" s="47">
        <v>0</v>
      </c>
      <c r="K566" s="47">
        <v>0</v>
      </c>
      <c r="L566" s="47">
        <v>0</v>
      </c>
      <c r="M566" s="47">
        <v>0</v>
      </c>
      <c r="N566" s="47"/>
      <c r="O566" s="47">
        <v>0</v>
      </c>
      <c r="P566" s="47">
        <v>0</v>
      </c>
      <c r="Q566" s="47">
        <v>0</v>
      </c>
      <c r="R566" s="46"/>
      <c r="S566" s="47">
        <v>0</v>
      </c>
      <c r="T566" s="47">
        <v>0</v>
      </c>
      <c r="U566" s="47">
        <v>0</v>
      </c>
      <c r="V566" s="181">
        <f>0.6731*0.2215</f>
        <v>0.14909165000000002</v>
      </c>
      <c r="W566" s="181">
        <f>0.6731*0.7785</f>
        <v>0.52400835000000001</v>
      </c>
      <c r="X566" s="181">
        <f>0.3269*0.2215</f>
        <v>7.240835000000001E-2</v>
      </c>
      <c r="Y566" s="181">
        <f>0.3269*0.7785</f>
        <v>0.25449165000000001</v>
      </c>
      <c r="Z566" s="46">
        <v>0</v>
      </c>
      <c r="AA566" s="46">
        <v>0</v>
      </c>
      <c r="AB566" s="46">
        <v>0</v>
      </c>
      <c r="AC566" s="46">
        <v>0</v>
      </c>
      <c r="AD566" s="46">
        <v>0</v>
      </c>
      <c r="AE566" s="46"/>
      <c r="AF566" s="46">
        <v>0</v>
      </c>
      <c r="AG566" s="46"/>
      <c r="AH566" s="46">
        <v>0</v>
      </c>
      <c r="AI566" s="46"/>
      <c r="AJ566" s="46">
        <v>0</v>
      </c>
      <c r="AK566" s="47">
        <f t="shared" si="617"/>
        <v>1</v>
      </c>
      <c r="AL566" s="30" t="str">
        <f t="shared" si="616"/>
        <v>ok</v>
      </c>
    </row>
    <row r="567" spans="1:38" x14ac:dyDescent="0.25">
      <c r="A567" s="29" t="s">
        <v>369</v>
      </c>
      <c r="C567" s="29" t="s">
        <v>121</v>
      </c>
      <c r="D567" s="112"/>
      <c r="E567" s="15"/>
      <c r="F567" s="46">
        <v>1</v>
      </c>
      <c r="G567" s="46"/>
      <c r="H567" s="47">
        <v>0</v>
      </c>
      <c r="I567" s="47">
        <v>0</v>
      </c>
      <c r="J567" s="47">
        <v>0</v>
      </c>
      <c r="K567" s="47">
        <v>0</v>
      </c>
      <c r="L567" s="47">
        <v>0</v>
      </c>
      <c r="M567" s="47">
        <v>0</v>
      </c>
      <c r="N567" s="47"/>
      <c r="O567" s="47">
        <v>0</v>
      </c>
      <c r="P567" s="47">
        <v>0</v>
      </c>
      <c r="Q567" s="47">
        <v>0</v>
      </c>
      <c r="R567" s="46"/>
      <c r="S567" s="47">
        <v>0</v>
      </c>
      <c r="T567" s="47">
        <v>0</v>
      </c>
      <c r="U567" s="47">
        <v>0</v>
      </c>
      <c r="V567" s="181">
        <v>0</v>
      </c>
      <c r="W567" s="181">
        <v>0</v>
      </c>
      <c r="X567" s="181">
        <v>0</v>
      </c>
      <c r="Y567" s="181">
        <v>0</v>
      </c>
      <c r="Z567" s="46">
        <v>0.53554637045841624</v>
      </c>
      <c r="AA567" s="46">
        <v>0.46445362954158381</v>
      </c>
      <c r="AB567" s="46">
        <v>0</v>
      </c>
      <c r="AC567" s="46">
        <v>0</v>
      </c>
      <c r="AD567" s="46">
        <v>0</v>
      </c>
      <c r="AE567" s="46"/>
      <c r="AF567" s="46">
        <v>0</v>
      </c>
      <c r="AG567" s="46"/>
      <c r="AH567" s="46">
        <v>0</v>
      </c>
      <c r="AI567" s="46"/>
      <c r="AJ567" s="46">
        <v>0</v>
      </c>
      <c r="AK567" s="47">
        <f t="shared" si="617"/>
        <v>1</v>
      </c>
      <c r="AL567" s="30" t="str">
        <f t="shared" si="616"/>
        <v>ok</v>
      </c>
    </row>
    <row r="568" spans="1:38" x14ac:dyDescent="0.25">
      <c r="A568" s="29" t="s">
        <v>370</v>
      </c>
      <c r="C568" s="29" t="s">
        <v>165</v>
      </c>
      <c r="D568" s="15"/>
      <c r="E568" s="15"/>
      <c r="F568" s="46">
        <v>1</v>
      </c>
      <c r="G568" s="46"/>
      <c r="H568" s="47">
        <v>0</v>
      </c>
      <c r="I568" s="47">
        <v>0</v>
      </c>
      <c r="J568" s="47">
        <v>0</v>
      </c>
      <c r="K568" s="47">
        <v>0</v>
      </c>
      <c r="L568" s="47">
        <v>0</v>
      </c>
      <c r="M568" s="47">
        <v>0</v>
      </c>
      <c r="N568" s="47"/>
      <c r="O568" s="47">
        <v>0</v>
      </c>
      <c r="P568" s="47">
        <v>0</v>
      </c>
      <c r="Q568" s="47">
        <v>0</v>
      </c>
      <c r="R568" s="46"/>
      <c r="S568" s="47">
        <v>0</v>
      </c>
      <c r="T568" s="47">
        <v>0</v>
      </c>
      <c r="U568" s="47">
        <v>0</v>
      </c>
      <c r="V568" s="47">
        <v>0</v>
      </c>
      <c r="W568" s="47">
        <v>0</v>
      </c>
      <c r="X568" s="47">
        <v>0</v>
      </c>
      <c r="Y568" s="47">
        <v>0</v>
      </c>
      <c r="Z568" s="46">
        <v>0</v>
      </c>
      <c r="AA568" s="46">
        <v>0</v>
      </c>
      <c r="AB568" s="46">
        <v>1</v>
      </c>
      <c r="AC568" s="46">
        <v>0</v>
      </c>
      <c r="AD568" s="46">
        <v>0</v>
      </c>
      <c r="AE568" s="46"/>
      <c r="AF568" s="46">
        <v>0</v>
      </c>
      <c r="AG568" s="46"/>
      <c r="AH568" s="46">
        <v>0</v>
      </c>
      <c r="AI568" s="46"/>
      <c r="AJ568" s="46">
        <v>0</v>
      </c>
      <c r="AK568" s="47">
        <f t="shared" si="617"/>
        <v>1</v>
      </c>
      <c r="AL568" s="30" t="str">
        <f t="shared" si="616"/>
        <v>ok</v>
      </c>
    </row>
    <row r="569" spans="1:38" x14ac:dyDescent="0.25">
      <c r="A569" s="29" t="s">
        <v>98</v>
      </c>
      <c r="C569" s="29" t="s">
        <v>167</v>
      </c>
      <c r="D569" s="15"/>
      <c r="E569" s="15"/>
      <c r="F569" s="46">
        <v>1</v>
      </c>
      <c r="G569" s="46"/>
      <c r="H569" s="47">
        <v>0</v>
      </c>
      <c r="I569" s="47">
        <v>0</v>
      </c>
      <c r="J569" s="47">
        <v>0</v>
      </c>
      <c r="K569" s="47">
        <v>0</v>
      </c>
      <c r="L569" s="47">
        <v>0</v>
      </c>
      <c r="M569" s="47">
        <v>0</v>
      </c>
      <c r="N569" s="47"/>
      <c r="O569" s="47">
        <v>0</v>
      </c>
      <c r="P569" s="47">
        <v>0</v>
      </c>
      <c r="Q569" s="47">
        <v>0</v>
      </c>
      <c r="R569" s="46"/>
      <c r="S569" s="47">
        <v>0</v>
      </c>
      <c r="T569" s="47">
        <v>0</v>
      </c>
      <c r="U569" s="47">
        <v>0</v>
      </c>
      <c r="V569" s="47">
        <v>0</v>
      </c>
      <c r="W569" s="47">
        <v>0</v>
      </c>
      <c r="X569" s="47">
        <v>0</v>
      </c>
      <c r="Y569" s="47">
        <v>0</v>
      </c>
      <c r="Z569" s="46">
        <v>0</v>
      </c>
      <c r="AA569" s="46">
        <v>0</v>
      </c>
      <c r="AB569" s="46">
        <v>0</v>
      </c>
      <c r="AC569" s="46">
        <v>1</v>
      </c>
      <c r="AD569" s="46">
        <v>0</v>
      </c>
      <c r="AE569" s="46"/>
      <c r="AF569" s="46">
        <v>0</v>
      </c>
      <c r="AG569" s="46"/>
      <c r="AH569" s="46">
        <v>0</v>
      </c>
      <c r="AI569" s="46"/>
      <c r="AJ569" s="46">
        <v>0</v>
      </c>
      <c r="AK569" s="47">
        <f t="shared" si="617"/>
        <v>1</v>
      </c>
      <c r="AL569" s="30" t="str">
        <f t="shared" si="616"/>
        <v>ok</v>
      </c>
    </row>
    <row r="570" spans="1:38" x14ac:dyDescent="0.25">
      <c r="A570" s="29" t="s">
        <v>371</v>
      </c>
      <c r="C570" s="29" t="s">
        <v>170</v>
      </c>
      <c r="D570" s="112"/>
      <c r="E570" s="15"/>
      <c r="F570" s="46">
        <v>1</v>
      </c>
      <c r="G570" s="46"/>
      <c r="H570" s="47">
        <v>0</v>
      </c>
      <c r="I570" s="47">
        <v>0</v>
      </c>
      <c r="J570" s="47">
        <v>0</v>
      </c>
      <c r="K570" s="47">
        <v>0</v>
      </c>
      <c r="L570" s="47">
        <v>0</v>
      </c>
      <c r="M570" s="47">
        <v>0</v>
      </c>
      <c r="N570" s="47"/>
      <c r="O570" s="47">
        <v>0</v>
      </c>
      <c r="P570" s="47">
        <v>0</v>
      </c>
      <c r="Q570" s="47">
        <v>0</v>
      </c>
      <c r="R570" s="46"/>
      <c r="S570" s="47">
        <v>0</v>
      </c>
      <c r="T570" s="47">
        <v>0</v>
      </c>
      <c r="U570" s="47">
        <v>0</v>
      </c>
      <c r="V570" s="47">
        <v>0</v>
      </c>
      <c r="W570" s="47">
        <v>0</v>
      </c>
      <c r="X570" s="47">
        <v>0</v>
      </c>
      <c r="Y570" s="47">
        <v>0</v>
      </c>
      <c r="Z570" s="46">
        <v>0</v>
      </c>
      <c r="AA570" s="46">
        <v>0</v>
      </c>
      <c r="AB570" s="46">
        <v>0</v>
      </c>
      <c r="AC570" s="46">
        <v>0</v>
      </c>
      <c r="AD570" s="46">
        <v>1</v>
      </c>
      <c r="AE570" s="46"/>
      <c r="AF570" s="46">
        <v>0</v>
      </c>
      <c r="AG570" s="46"/>
      <c r="AH570" s="46">
        <v>0</v>
      </c>
      <c r="AI570" s="46"/>
      <c r="AJ570" s="46">
        <v>0</v>
      </c>
      <c r="AK570" s="47">
        <f t="shared" si="617"/>
        <v>1</v>
      </c>
      <c r="AL570" s="30" t="str">
        <f t="shared" si="616"/>
        <v>ok</v>
      </c>
    </row>
    <row r="571" spans="1:38" x14ac:dyDescent="0.25">
      <c r="A571" s="29" t="s">
        <v>372</v>
      </c>
      <c r="C571" s="29" t="s">
        <v>282</v>
      </c>
      <c r="D571" s="112"/>
      <c r="E571" s="15"/>
      <c r="F571" s="46">
        <v>1</v>
      </c>
      <c r="G571" s="46"/>
      <c r="H571" s="47">
        <v>0</v>
      </c>
      <c r="I571" s="47">
        <v>0</v>
      </c>
      <c r="J571" s="47">
        <v>0</v>
      </c>
      <c r="K571" s="47">
        <v>0</v>
      </c>
      <c r="L571" s="47">
        <v>0</v>
      </c>
      <c r="M571" s="47">
        <v>0</v>
      </c>
      <c r="N571" s="47"/>
      <c r="O571" s="47">
        <v>0</v>
      </c>
      <c r="P571" s="47">
        <v>0</v>
      </c>
      <c r="Q571" s="47">
        <v>0</v>
      </c>
      <c r="R571" s="46"/>
      <c r="S571" s="47">
        <v>0</v>
      </c>
      <c r="T571" s="47">
        <v>0</v>
      </c>
      <c r="U571" s="47">
        <v>0</v>
      </c>
      <c r="V571" s="47">
        <v>0</v>
      </c>
      <c r="W571" s="47">
        <v>0</v>
      </c>
      <c r="X571" s="47">
        <v>0</v>
      </c>
      <c r="Y571" s="47">
        <v>0</v>
      </c>
      <c r="Z571" s="46">
        <v>0</v>
      </c>
      <c r="AA571" s="46">
        <v>0</v>
      </c>
      <c r="AB571" s="46">
        <v>0</v>
      </c>
      <c r="AC571" s="46">
        <v>0</v>
      </c>
      <c r="AD571" s="46">
        <v>0</v>
      </c>
      <c r="AE571" s="46"/>
      <c r="AF571" s="46">
        <v>0</v>
      </c>
      <c r="AG571" s="46"/>
      <c r="AH571" s="46">
        <v>1</v>
      </c>
      <c r="AI571" s="46"/>
      <c r="AJ571" s="46">
        <v>0</v>
      </c>
      <c r="AK571" s="47">
        <f t="shared" si="617"/>
        <v>1</v>
      </c>
      <c r="AL571" s="30" t="str">
        <f t="shared" si="616"/>
        <v>ok</v>
      </c>
    </row>
    <row r="572" spans="1:38" x14ac:dyDescent="0.25">
      <c r="A572" s="29" t="s">
        <v>373</v>
      </c>
      <c r="C572" s="29" t="s">
        <v>1139</v>
      </c>
      <c r="D572" s="105"/>
      <c r="E572" s="13"/>
      <c r="F572" s="46">
        <v>1</v>
      </c>
      <c r="G572" s="46"/>
      <c r="H572" s="47">
        <v>0</v>
      </c>
      <c r="I572" s="47">
        <v>0</v>
      </c>
      <c r="J572" s="47">
        <v>0</v>
      </c>
      <c r="K572" s="47">
        <v>0</v>
      </c>
      <c r="L572" s="47">
        <v>0</v>
      </c>
      <c r="M572" s="47">
        <v>0</v>
      </c>
      <c r="N572" s="47"/>
      <c r="O572" s="47">
        <v>0</v>
      </c>
      <c r="P572" s="47">
        <v>0</v>
      </c>
      <c r="Q572" s="47">
        <v>0</v>
      </c>
      <c r="R572" s="46"/>
      <c r="S572" s="47">
        <v>0</v>
      </c>
      <c r="T572" s="47">
        <v>0</v>
      </c>
      <c r="U572" s="47">
        <v>0</v>
      </c>
      <c r="V572" s="47">
        <v>0</v>
      </c>
      <c r="W572" s="47">
        <v>0</v>
      </c>
      <c r="X572" s="47">
        <v>0</v>
      </c>
      <c r="Y572" s="47">
        <v>0</v>
      </c>
      <c r="Z572" s="46">
        <v>0</v>
      </c>
      <c r="AA572" s="46">
        <v>0</v>
      </c>
      <c r="AB572" s="46">
        <v>0</v>
      </c>
      <c r="AC572" s="46">
        <v>0</v>
      </c>
      <c r="AD572" s="46">
        <v>0</v>
      </c>
      <c r="AE572" s="46"/>
      <c r="AF572" s="46">
        <v>0</v>
      </c>
      <c r="AG572" s="46"/>
      <c r="AH572" s="46">
        <v>1</v>
      </c>
      <c r="AI572" s="46"/>
      <c r="AJ572" s="46">
        <v>0</v>
      </c>
      <c r="AK572" s="47">
        <f t="shared" si="617"/>
        <v>1</v>
      </c>
      <c r="AL572" s="30" t="str">
        <f t="shared" si="616"/>
        <v>ok</v>
      </c>
    </row>
    <row r="573" spans="1:38" x14ac:dyDescent="0.25">
      <c r="A573" s="29" t="s">
        <v>424</v>
      </c>
      <c r="C573" s="29" t="s">
        <v>455</v>
      </c>
      <c r="D573" s="105"/>
      <c r="E573" s="13"/>
      <c r="F573" s="46">
        <v>1</v>
      </c>
      <c r="G573" s="46"/>
      <c r="H573" s="47">
        <v>0</v>
      </c>
      <c r="I573" s="47">
        <v>0</v>
      </c>
      <c r="J573" s="47">
        <v>0</v>
      </c>
      <c r="K573" s="47">
        <v>0</v>
      </c>
      <c r="L573" s="47">
        <v>0</v>
      </c>
      <c r="M573" s="47">
        <v>0</v>
      </c>
      <c r="N573" s="47"/>
      <c r="O573" s="47">
        <v>1</v>
      </c>
      <c r="P573" s="91">
        <v>0</v>
      </c>
      <c r="Q573" s="91">
        <v>0</v>
      </c>
      <c r="R573" s="46"/>
      <c r="S573" s="47">
        <v>0</v>
      </c>
      <c r="T573" s="47">
        <v>0</v>
      </c>
      <c r="U573" s="47">
        <v>0</v>
      </c>
      <c r="V573" s="47">
        <v>0</v>
      </c>
      <c r="W573" s="47">
        <v>0</v>
      </c>
      <c r="X573" s="47">
        <v>0</v>
      </c>
      <c r="Y573" s="47">
        <v>0</v>
      </c>
      <c r="Z573" s="46">
        <v>0</v>
      </c>
      <c r="AA573" s="46">
        <v>0</v>
      </c>
      <c r="AB573" s="46">
        <v>0</v>
      </c>
      <c r="AC573" s="46">
        <v>0</v>
      </c>
      <c r="AD573" s="46">
        <v>0</v>
      </c>
      <c r="AE573" s="46"/>
      <c r="AF573" s="46">
        <v>0</v>
      </c>
      <c r="AG573" s="46"/>
      <c r="AH573" s="46">
        <v>0</v>
      </c>
      <c r="AI573" s="46"/>
      <c r="AJ573" s="46">
        <v>0</v>
      </c>
      <c r="AK573" s="47">
        <f t="shared" si="617"/>
        <v>1</v>
      </c>
      <c r="AL573" s="30" t="str">
        <f t="shared" si="616"/>
        <v>ok</v>
      </c>
    </row>
    <row r="574" spans="1:38" x14ac:dyDescent="0.25">
      <c r="A574" s="29" t="s">
        <v>923</v>
      </c>
      <c r="C574" s="29" t="s">
        <v>924</v>
      </c>
      <c r="D574" s="105"/>
      <c r="E574" s="13"/>
      <c r="F574" s="46">
        <v>1</v>
      </c>
      <c r="G574" s="46"/>
      <c r="H574" s="47">
        <v>0</v>
      </c>
      <c r="I574" s="47">
        <v>0</v>
      </c>
      <c r="J574" s="47">
        <v>0</v>
      </c>
      <c r="K574" s="47">
        <v>0</v>
      </c>
      <c r="L574" s="47">
        <v>0</v>
      </c>
      <c r="M574" s="47">
        <v>0</v>
      </c>
      <c r="N574" s="47"/>
      <c r="O574" s="47">
        <v>0</v>
      </c>
      <c r="P574" s="47">
        <v>0</v>
      </c>
      <c r="Q574" s="47">
        <v>0</v>
      </c>
      <c r="R574" s="46"/>
      <c r="S574" s="47">
        <v>0</v>
      </c>
      <c r="T574" s="47">
        <v>0</v>
      </c>
      <c r="U574" s="47">
        <v>0</v>
      </c>
      <c r="V574" s="47">
        <v>0</v>
      </c>
      <c r="W574" s="47">
        <v>0</v>
      </c>
      <c r="X574" s="47">
        <v>0</v>
      </c>
      <c r="Y574" s="47">
        <v>0</v>
      </c>
      <c r="Z574" s="46">
        <v>0</v>
      </c>
      <c r="AA574" s="46">
        <v>0</v>
      </c>
      <c r="AB574" s="46">
        <v>0</v>
      </c>
      <c r="AC574" s="46">
        <v>0</v>
      </c>
      <c r="AD574" s="46">
        <v>0</v>
      </c>
      <c r="AE574" s="46"/>
      <c r="AF574" s="46">
        <v>0</v>
      </c>
      <c r="AG574" s="46"/>
      <c r="AH574" s="46">
        <v>0</v>
      </c>
      <c r="AI574" s="46"/>
      <c r="AJ574" s="46">
        <v>1</v>
      </c>
      <c r="AK574" s="47">
        <f t="shared" si="617"/>
        <v>1</v>
      </c>
      <c r="AL574" s="30" t="str">
        <f t="shared" si="616"/>
        <v>ok</v>
      </c>
    </row>
    <row r="575" spans="1:38" x14ac:dyDescent="0.25">
      <c r="A575" s="29" t="s">
        <v>699</v>
      </c>
      <c r="C575" s="29" t="s">
        <v>682</v>
      </c>
      <c r="D575" s="105"/>
      <c r="E575" s="13"/>
      <c r="F575" s="46">
        <v>1</v>
      </c>
      <c r="G575" s="46"/>
      <c r="H575" s="47">
        <v>1</v>
      </c>
      <c r="I575" s="47">
        <v>0</v>
      </c>
      <c r="J575" s="47">
        <v>0</v>
      </c>
      <c r="K575" s="47">
        <v>0</v>
      </c>
      <c r="L575" s="47">
        <v>0</v>
      </c>
      <c r="M575" s="47">
        <v>0</v>
      </c>
      <c r="N575" s="47"/>
      <c r="O575" s="47">
        <v>0</v>
      </c>
      <c r="P575" s="47">
        <v>0</v>
      </c>
      <c r="Q575" s="47">
        <v>0</v>
      </c>
      <c r="R575" s="46"/>
      <c r="S575" s="47">
        <v>0</v>
      </c>
      <c r="T575" s="47">
        <v>0</v>
      </c>
      <c r="U575" s="47">
        <v>0</v>
      </c>
      <c r="V575" s="47">
        <v>0</v>
      </c>
      <c r="W575" s="47">
        <v>0</v>
      </c>
      <c r="X575" s="47">
        <v>0</v>
      </c>
      <c r="Y575" s="47">
        <v>0</v>
      </c>
      <c r="Z575" s="46">
        <v>0</v>
      </c>
      <c r="AA575" s="46">
        <v>0</v>
      </c>
      <c r="AB575" s="46">
        <v>0</v>
      </c>
      <c r="AC575" s="46">
        <v>0</v>
      </c>
      <c r="AD575" s="46">
        <v>0</v>
      </c>
      <c r="AE575" s="46"/>
      <c r="AF575" s="46">
        <v>0</v>
      </c>
      <c r="AG575" s="46"/>
      <c r="AH575" s="46">
        <v>0</v>
      </c>
      <c r="AI575" s="46"/>
      <c r="AJ575" s="46">
        <v>0</v>
      </c>
      <c r="AK575" s="47">
        <f t="shared" si="617"/>
        <v>1</v>
      </c>
      <c r="AL575" s="30" t="str">
        <f t="shared" si="616"/>
        <v>ok</v>
      </c>
    </row>
    <row r="576" spans="1:38" x14ac:dyDescent="0.25">
      <c r="A576" s="29" t="s">
        <v>700</v>
      </c>
      <c r="C576" s="29" t="s">
        <v>684</v>
      </c>
      <c r="D576" s="105"/>
      <c r="E576" s="13"/>
      <c r="F576" s="46">
        <v>1</v>
      </c>
      <c r="G576" s="46"/>
      <c r="H576" s="47">
        <v>0</v>
      </c>
      <c r="I576" s="47">
        <v>0</v>
      </c>
      <c r="J576" s="47">
        <v>0</v>
      </c>
      <c r="K576" s="47">
        <v>1</v>
      </c>
      <c r="L576" s="47">
        <v>0</v>
      </c>
      <c r="M576" s="47">
        <v>0</v>
      </c>
      <c r="N576" s="47"/>
      <c r="O576" s="47">
        <v>0</v>
      </c>
      <c r="P576" s="47">
        <v>0</v>
      </c>
      <c r="Q576" s="47">
        <v>0</v>
      </c>
      <c r="R576" s="46"/>
      <c r="S576" s="47">
        <v>0</v>
      </c>
      <c r="T576" s="47">
        <v>0</v>
      </c>
      <c r="U576" s="47">
        <v>0</v>
      </c>
      <c r="V576" s="47">
        <v>0</v>
      </c>
      <c r="W576" s="47">
        <v>0</v>
      </c>
      <c r="X576" s="47">
        <v>0</v>
      </c>
      <c r="Y576" s="47">
        <v>0</v>
      </c>
      <c r="Z576" s="46">
        <v>0</v>
      </c>
      <c r="AA576" s="46">
        <v>0</v>
      </c>
      <c r="AB576" s="46">
        <v>0</v>
      </c>
      <c r="AC576" s="46">
        <v>0</v>
      </c>
      <c r="AD576" s="46">
        <v>0</v>
      </c>
      <c r="AE576" s="46"/>
      <c r="AF576" s="46">
        <v>0</v>
      </c>
      <c r="AG576" s="46"/>
      <c r="AH576" s="46">
        <v>0</v>
      </c>
      <c r="AI576" s="46"/>
      <c r="AJ576" s="46">
        <v>0</v>
      </c>
      <c r="AK576" s="47">
        <f t="shared" si="617"/>
        <v>1</v>
      </c>
      <c r="AL576" s="30" t="str">
        <f t="shared" si="616"/>
        <v>ok</v>
      </c>
    </row>
    <row r="577" spans="1:38" x14ac:dyDescent="0.25">
      <c r="A577" s="29" t="s">
        <v>701</v>
      </c>
      <c r="C577" s="29" t="s">
        <v>702</v>
      </c>
      <c r="D577" s="105"/>
      <c r="E577" s="13"/>
      <c r="F577" s="46">
        <v>1</v>
      </c>
      <c r="G577" s="46"/>
      <c r="H577" s="47">
        <v>0</v>
      </c>
      <c r="I577" s="47">
        <v>0</v>
      </c>
      <c r="J577" s="47">
        <v>0</v>
      </c>
      <c r="K577" s="47">
        <v>1</v>
      </c>
      <c r="L577" s="47">
        <v>0</v>
      </c>
      <c r="M577" s="47">
        <v>0</v>
      </c>
      <c r="N577" s="47"/>
      <c r="O577" s="47">
        <v>0</v>
      </c>
      <c r="P577" s="47">
        <v>0</v>
      </c>
      <c r="Q577" s="47">
        <v>0</v>
      </c>
      <c r="R577" s="46"/>
      <c r="S577" s="47">
        <v>0</v>
      </c>
      <c r="T577" s="47">
        <v>0</v>
      </c>
      <c r="U577" s="47">
        <v>0</v>
      </c>
      <c r="V577" s="47">
        <v>0</v>
      </c>
      <c r="W577" s="47">
        <v>0</v>
      </c>
      <c r="X577" s="47">
        <v>0</v>
      </c>
      <c r="Y577" s="47">
        <v>0</v>
      </c>
      <c r="Z577" s="46">
        <v>0</v>
      </c>
      <c r="AA577" s="46">
        <v>0</v>
      </c>
      <c r="AB577" s="46">
        <v>0</v>
      </c>
      <c r="AC577" s="46">
        <v>0</v>
      </c>
      <c r="AD577" s="46">
        <v>0</v>
      </c>
      <c r="AE577" s="46"/>
      <c r="AF577" s="46">
        <v>0</v>
      </c>
      <c r="AG577" s="46"/>
      <c r="AH577" s="46">
        <v>0</v>
      </c>
      <c r="AI577" s="46"/>
      <c r="AJ577" s="46">
        <v>0</v>
      </c>
      <c r="AK577" s="47">
        <f t="shared" si="617"/>
        <v>1</v>
      </c>
      <c r="AL577" s="30" t="str">
        <f t="shared" si="616"/>
        <v>ok</v>
      </c>
    </row>
    <row r="578" spans="1:38" x14ac:dyDescent="0.25">
      <c r="A578" s="29" t="s">
        <v>703</v>
      </c>
      <c r="C578" s="29" t="s">
        <v>693</v>
      </c>
      <c r="D578" s="105"/>
      <c r="E578" s="13"/>
      <c r="F578" s="48">
        <f>F341+F342+F343+F344+F345</f>
        <v>19752416.444800347</v>
      </c>
      <c r="G578" s="46"/>
      <c r="H578" s="33">
        <f t="shared" ref="H578:M578" si="618">H341+H342+H343+H344+H345</f>
        <v>17511683.552010812</v>
      </c>
      <c r="I578" s="33">
        <f t="shared" si="618"/>
        <v>0</v>
      </c>
      <c r="J578" s="33">
        <f t="shared" si="618"/>
        <v>0</v>
      </c>
      <c r="K578" s="33">
        <f t="shared" si="618"/>
        <v>2240732.8927895362</v>
      </c>
      <c r="L578" s="33">
        <f t="shared" si="618"/>
        <v>0</v>
      </c>
      <c r="M578" s="33">
        <f t="shared" si="618"/>
        <v>0</v>
      </c>
      <c r="N578" s="33"/>
      <c r="O578" s="33">
        <f>O341+O342+O343+O344+O345</f>
        <v>0</v>
      </c>
      <c r="P578" s="33">
        <f>P341+P342+P343+P344+P345</f>
        <v>0</v>
      </c>
      <c r="Q578" s="33">
        <f>Q341+Q342+Q343+Q344+Q345</f>
        <v>0</v>
      </c>
      <c r="R578" s="37"/>
      <c r="S578" s="33">
        <f t="shared" ref="S578:AD578" si="619">S341+S342+S343+S344+S345</f>
        <v>0</v>
      </c>
      <c r="T578" s="33">
        <f t="shared" si="619"/>
        <v>0</v>
      </c>
      <c r="U578" s="33">
        <f t="shared" si="619"/>
        <v>0</v>
      </c>
      <c r="V578" s="33">
        <f t="shared" si="619"/>
        <v>0</v>
      </c>
      <c r="W578" s="33">
        <f t="shared" si="619"/>
        <v>0</v>
      </c>
      <c r="X578" s="38">
        <f t="shared" si="619"/>
        <v>0</v>
      </c>
      <c r="Y578" s="38">
        <f t="shared" si="619"/>
        <v>0</v>
      </c>
      <c r="Z578" s="38">
        <f t="shared" si="619"/>
        <v>0</v>
      </c>
      <c r="AA578" s="38">
        <f t="shared" si="619"/>
        <v>0</v>
      </c>
      <c r="AB578" s="38">
        <f t="shared" si="619"/>
        <v>0</v>
      </c>
      <c r="AC578" s="38">
        <f t="shared" si="619"/>
        <v>0</v>
      </c>
      <c r="AD578" s="38">
        <f t="shared" si="619"/>
        <v>0</v>
      </c>
      <c r="AE578" s="46"/>
      <c r="AF578" s="38">
        <f>AF341+AF342+AF343+AF344+AF345</f>
        <v>0</v>
      </c>
      <c r="AG578" s="46"/>
      <c r="AH578" s="38">
        <f>AH341+AH342+AH343+AH344+AH345</f>
        <v>0</v>
      </c>
      <c r="AI578" s="46"/>
      <c r="AJ578" s="38">
        <f>AJ341+AJ342+AJ343+AJ344+AJ345</f>
        <v>0</v>
      </c>
      <c r="AK578" s="33">
        <f t="shared" si="617"/>
        <v>19752416.444800347</v>
      </c>
      <c r="AL578" s="30" t="str">
        <f t="shared" si="616"/>
        <v>ok</v>
      </c>
    </row>
    <row r="579" spans="1:38" x14ac:dyDescent="0.25">
      <c r="A579" s="29" t="s">
        <v>685</v>
      </c>
      <c r="C579" s="29" t="s">
        <v>685</v>
      </c>
      <c r="D579" s="105"/>
      <c r="E579" s="13"/>
      <c r="F579" s="46">
        <v>1</v>
      </c>
      <c r="G579" s="46"/>
      <c r="H579" s="47">
        <v>1</v>
      </c>
      <c r="I579" s="47">
        <v>0</v>
      </c>
      <c r="J579" s="47">
        <v>0</v>
      </c>
      <c r="K579" s="47">
        <v>0</v>
      </c>
      <c r="L579" s="47">
        <v>0</v>
      </c>
      <c r="M579" s="47">
        <v>0</v>
      </c>
      <c r="N579" s="47"/>
      <c r="O579" s="47">
        <v>0</v>
      </c>
      <c r="P579" s="47">
        <v>0</v>
      </c>
      <c r="Q579" s="47">
        <v>0</v>
      </c>
      <c r="R579" s="46"/>
      <c r="S579" s="47">
        <v>0</v>
      </c>
      <c r="T579" s="47">
        <v>0</v>
      </c>
      <c r="U579" s="47">
        <v>0</v>
      </c>
      <c r="V579" s="47">
        <v>0</v>
      </c>
      <c r="W579" s="47">
        <v>0</v>
      </c>
      <c r="X579" s="47">
        <v>0</v>
      </c>
      <c r="Y579" s="47">
        <v>0</v>
      </c>
      <c r="Z579" s="46">
        <v>0</v>
      </c>
      <c r="AA579" s="46">
        <v>0</v>
      </c>
      <c r="AB579" s="46">
        <v>0</v>
      </c>
      <c r="AC579" s="46">
        <v>0</v>
      </c>
      <c r="AD579" s="46">
        <v>0</v>
      </c>
      <c r="AE579" s="46"/>
      <c r="AF579" s="46">
        <v>0</v>
      </c>
      <c r="AG579" s="46"/>
      <c r="AH579" s="46">
        <v>0</v>
      </c>
      <c r="AI579" s="46"/>
      <c r="AJ579" s="46">
        <v>0</v>
      </c>
      <c r="AK579" s="47">
        <f t="shared" si="617"/>
        <v>1</v>
      </c>
      <c r="AL579" s="30" t="str">
        <f t="shared" si="616"/>
        <v>ok</v>
      </c>
    </row>
    <row r="580" spans="1:38" x14ac:dyDescent="0.25">
      <c r="A580" s="29" t="s">
        <v>704</v>
      </c>
      <c r="C580" s="29" t="s">
        <v>694</v>
      </c>
      <c r="D580" s="105"/>
      <c r="E580" s="13"/>
      <c r="F580" s="33">
        <f>F351+F352+F353+F354</f>
        <v>14751129.656992136</v>
      </c>
      <c r="G580" s="46"/>
      <c r="H580" s="33">
        <f t="shared" ref="H580:M580" si="620">H351+H352+H353+H354</f>
        <v>1193371.6986025632</v>
      </c>
      <c r="I580" s="33">
        <f t="shared" si="620"/>
        <v>0</v>
      </c>
      <c r="J580" s="33">
        <f t="shared" si="620"/>
        <v>0</v>
      </c>
      <c r="K580" s="33">
        <f t="shared" si="620"/>
        <v>13557757.958389575</v>
      </c>
      <c r="L580" s="33">
        <f t="shared" si="620"/>
        <v>0</v>
      </c>
      <c r="M580" s="33">
        <f t="shared" si="620"/>
        <v>0</v>
      </c>
      <c r="N580" s="33"/>
      <c r="O580" s="33">
        <f>O351+O352+O353+O354</f>
        <v>0</v>
      </c>
      <c r="P580" s="33">
        <f>P351+P352+P353+P354</f>
        <v>0</v>
      </c>
      <c r="Q580" s="33">
        <f>Q351+Q352+Q353+Q354</f>
        <v>0</v>
      </c>
      <c r="R580" s="37"/>
      <c r="S580" s="33">
        <f t="shared" ref="S580:AD580" si="621">S351+S352+S353+S354</f>
        <v>0</v>
      </c>
      <c r="T580" s="33">
        <f t="shared" si="621"/>
        <v>0</v>
      </c>
      <c r="U580" s="33">
        <f t="shared" si="621"/>
        <v>0</v>
      </c>
      <c r="V580" s="33">
        <f t="shared" si="621"/>
        <v>0</v>
      </c>
      <c r="W580" s="33">
        <f t="shared" si="621"/>
        <v>0</v>
      </c>
      <c r="X580" s="33">
        <f t="shared" si="621"/>
        <v>0</v>
      </c>
      <c r="Y580" s="33">
        <f t="shared" si="621"/>
        <v>0</v>
      </c>
      <c r="Z580" s="33">
        <f t="shared" si="621"/>
        <v>0</v>
      </c>
      <c r="AA580" s="33">
        <f t="shared" si="621"/>
        <v>0</v>
      </c>
      <c r="AB580" s="33">
        <f t="shared" si="621"/>
        <v>0</v>
      </c>
      <c r="AC580" s="33">
        <f t="shared" si="621"/>
        <v>0</v>
      </c>
      <c r="AD580" s="33">
        <f t="shared" si="621"/>
        <v>0</v>
      </c>
      <c r="AE580" s="37"/>
      <c r="AF580" s="33">
        <f>AF351+AF352+AF353+AF354</f>
        <v>0</v>
      </c>
      <c r="AG580" s="37"/>
      <c r="AH580" s="33">
        <f>AH351+AH352+AH353+AH354</f>
        <v>0</v>
      </c>
      <c r="AI580" s="37"/>
      <c r="AJ580" s="33">
        <f>AJ351+AJ352+AJ353+AJ354</f>
        <v>0</v>
      </c>
      <c r="AK580" s="33">
        <f t="shared" si="617"/>
        <v>14751129.656992137</v>
      </c>
      <c r="AL580" s="30" t="str">
        <f t="shared" si="616"/>
        <v>ok</v>
      </c>
    </row>
    <row r="581" spans="1:38" x14ac:dyDescent="0.25">
      <c r="A581" s="29" t="s">
        <v>705</v>
      </c>
      <c r="C581" s="29" t="s">
        <v>695</v>
      </c>
      <c r="D581" s="13"/>
      <c r="E581" s="13"/>
      <c r="F581" s="33">
        <f>F362+F363+F364+F365+F366</f>
        <v>0</v>
      </c>
      <c r="G581" s="46"/>
      <c r="H581" s="33">
        <f t="shared" ref="H581:M581" si="622">H362+H363+H364+H365+H366</f>
        <v>0</v>
      </c>
      <c r="I581" s="33">
        <f t="shared" si="622"/>
        <v>0</v>
      </c>
      <c r="J581" s="33">
        <f t="shared" si="622"/>
        <v>0</v>
      </c>
      <c r="K581" s="33">
        <f t="shared" si="622"/>
        <v>0</v>
      </c>
      <c r="L581" s="33">
        <f t="shared" si="622"/>
        <v>0</v>
      </c>
      <c r="M581" s="33">
        <f t="shared" si="622"/>
        <v>0</v>
      </c>
      <c r="N581" s="33"/>
      <c r="O581" s="33">
        <f>O362+O363+O364+O365+O366</f>
        <v>0</v>
      </c>
      <c r="P581" s="33">
        <f>P362+P363+P364+P365+P366</f>
        <v>0</v>
      </c>
      <c r="Q581" s="33">
        <f>Q362+Q363+Q364+Q365+Q366</f>
        <v>0</v>
      </c>
      <c r="R581" s="37"/>
      <c r="S581" s="33">
        <f t="shared" ref="S581:AD581" si="623">S362+S363+S364+S365+S366</f>
        <v>0</v>
      </c>
      <c r="T581" s="33">
        <f t="shared" si="623"/>
        <v>0</v>
      </c>
      <c r="U581" s="33">
        <f t="shared" si="623"/>
        <v>0</v>
      </c>
      <c r="V581" s="33">
        <f t="shared" si="623"/>
        <v>0</v>
      </c>
      <c r="W581" s="33">
        <f t="shared" si="623"/>
        <v>0</v>
      </c>
      <c r="X581" s="33">
        <f t="shared" si="623"/>
        <v>0</v>
      </c>
      <c r="Y581" s="33">
        <f t="shared" si="623"/>
        <v>0</v>
      </c>
      <c r="Z581" s="33">
        <f t="shared" si="623"/>
        <v>0</v>
      </c>
      <c r="AA581" s="33">
        <f t="shared" si="623"/>
        <v>0</v>
      </c>
      <c r="AB581" s="33">
        <f t="shared" si="623"/>
        <v>0</v>
      </c>
      <c r="AC581" s="33">
        <f t="shared" si="623"/>
        <v>0</v>
      </c>
      <c r="AD581" s="33">
        <f t="shared" si="623"/>
        <v>0</v>
      </c>
      <c r="AE581" s="37"/>
      <c r="AF581" s="33">
        <f>AF362+AF363+AF364+AF365+AF366</f>
        <v>0</v>
      </c>
      <c r="AG581" s="37"/>
      <c r="AH581" s="33">
        <f>AH362+AH363+AH364+AH365+AH366</f>
        <v>0</v>
      </c>
      <c r="AI581" s="37"/>
      <c r="AJ581" s="33">
        <f>AJ362+AJ363+AJ364+AJ365+AJ366</f>
        <v>0</v>
      </c>
      <c r="AK581" s="33">
        <f t="shared" si="617"/>
        <v>0</v>
      </c>
      <c r="AL581" s="30" t="str">
        <f t="shared" si="616"/>
        <v>ok</v>
      </c>
    </row>
    <row r="582" spans="1:38" x14ac:dyDescent="0.25">
      <c r="A582" s="29" t="s">
        <v>706</v>
      </c>
      <c r="C582" s="29" t="s">
        <v>696</v>
      </c>
      <c r="D582" s="13"/>
      <c r="E582" s="13"/>
      <c r="F582" s="33">
        <f>F372+F373+F374+F375</f>
        <v>58969.234602423574</v>
      </c>
      <c r="G582" s="46"/>
      <c r="H582" s="33">
        <f t="shared" ref="H582:M582" si="624">H372+H373+H374+H375</f>
        <v>56880.867579296093</v>
      </c>
      <c r="I582" s="33">
        <f t="shared" si="624"/>
        <v>0</v>
      </c>
      <c r="J582" s="33">
        <f t="shared" si="624"/>
        <v>0</v>
      </c>
      <c r="K582" s="33">
        <f t="shared" si="624"/>
        <v>2088.3670231274796</v>
      </c>
      <c r="L582" s="33">
        <f t="shared" si="624"/>
        <v>0</v>
      </c>
      <c r="M582" s="33">
        <f t="shared" si="624"/>
        <v>0</v>
      </c>
      <c r="N582" s="33"/>
      <c r="O582" s="33">
        <f>O372+O373+O374+O375</f>
        <v>0</v>
      </c>
      <c r="P582" s="33">
        <f>P372+P373+P374+P375</f>
        <v>0</v>
      </c>
      <c r="Q582" s="33">
        <f>Q372+Q373+Q374+Q375</f>
        <v>0</v>
      </c>
      <c r="R582" s="37"/>
      <c r="S582" s="33">
        <f t="shared" ref="S582:AD582" si="625">S372+S373+S374+S375</f>
        <v>0</v>
      </c>
      <c r="T582" s="33">
        <f t="shared" si="625"/>
        <v>0</v>
      </c>
      <c r="U582" s="33">
        <f t="shared" si="625"/>
        <v>0</v>
      </c>
      <c r="V582" s="33">
        <f t="shared" si="625"/>
        <v>0</v>
      </c>
      <c r="W582" s="33">
        <f t="shared" si="625"/>
        <v>0</v>
      </c>
      <c r="X582" s="33">
        <f t="shared" si="625"/>
        <v>0</v>
      </c>
      <c r="Y582" s="33">
        <f t="shared" si="625"/>
        <v>0</v>
      </c>
      <c r="Z582" s="33">
        <f t="shared" si="625"/>
        <v>0</v>
      </c>
      <c r="AA582" s="33">
        <f t="shared" si="625"/>
        <v>0</v>
      </c>
      <c r="AB582" s="33">
        <f t="shared" si="625"/>
        <v>0</v>
      </c>
      <c r="AC582" s="33">
        <f t="shared" si="625"/>
        <v>0</v>
      </c>
      <c r="AD582" s="33">
        <f t="shared" si="625"/>
        <v>0</v>
      </c>
      <c r="AE582" s="37"/>
      <c r="AF582" s="33">
        <f>AF372+AF373+AF374+AF375</f>
        <v>0</v>
      </c>
      <c r="AG582" s="37"/>
      <c r="AH582" s="33">
        <f>AH372+AH373+AH374+AH375</f>
        <v>0</v>
      </c>
      <c r="AI582" s="37"/>
      <c r="AJ582" s="33">
        <f>AJ372+AJ373+AJ374+AJ375</f>
        <v>0</v>
      </c>
      <c r="AK582" s="33">
        <f t="shared" si="617"/>
        <v>58969.234602423574</v>
      </c>
      <c r="AL582" s="30" t="str">
        <f t="shared" si="616"/>
        <v>ok</v>
      </c>
    </row>
    <row r="583" spans="1:38" x14ac:dyDescent="0.25">
      <c r="A583" s="29" t="s">
        <v>707</v>
      </c>
      <c r="C583" s="29" t="s">
        <v>697</v>
      </c>
      <c r="D583" s="105"/>
      <c r="E583" s="13"/>
      <c r="F583" s="33">
        <f>F429+F430+F431+F432+F433+F434+F435+F436+F437+F438</f>
        <v>12220037.164410966</v>
      </c>
      <c r="G583" s="46"/>
      <c r="H583" s="33">
        <f t="shared" ref="H583:M583" si="626">H429+H430+H431+H432+H433+H434+H435+H436+H437+H438</f>
        <v>0</v>
      </c>
      <c r="I583" s="33">
        <f t="shared" si="626"/>
        <v>0</v>
      </c>
      <c r="J583" s="33">
        <f t="shared" si="626"/>
        <v>0</v>
      </c>
      <c r="K583" s="33">
        <f t="shared" si="626"/>
        <v>0</v>
      </c>
      <c r="L583" s="33">
        <f t="shared" si="626"/>
        <v>0</v>
      </c>
      <c r="M583" s="33">
        <f t="shared" si="626"/>
        <v>0</v>
      </c>
      <c r="N583" s="33"/>
      <c r="O583" s="33">
        <f>O429+O430+O431+O432+O433+O434+O435+O436+O437+O438</f>
        <v>0</v>
      </c>
      <c r="P583" s="33">
        <f>P429+P430+P431+P432+P433+P434+P435+P436+P437+P438</f>
        <v>0</v>
      </c>
      <c r="Q583" s="33">
        <f>Q429+Q430+Q431+Q432+Q433+Q434+Q435+Q436+Q437+Q438</f>
        <v>0</v>
      </c>
      <c r="R583" s="37"/>
      <c r="S583" s="33">
        <f t="shared" ref="S583:AD583" si="627">S429+S430+S431+S432+S433+S434+S435+S436+S437+S438</f>
        <v>0</v>
      </c>
      <c r="T583" s="33">
        <f t="shared" si="627"/>
        <v>1904000.0706390012</v>
      </c>
      <c r="U583" s="33">
        <f t="shared" si="627"/>
        <v>0</v>
      </c>
      <c r="V583" s="33">
        <f t="shared" si="627"/>
        <v>1008976.3794336137</v>
      </c>
      <c r="W583" s="33">
        <f t="shared" si="627"/>
        <v>1730558.7450545966</v>
      </c>
      <c r="X583" s="33">
        <f t="shared" si="627"/>
        <v>555684.81993859285</v>
      </c>
      <c r="Y583" s="33">
        <f t="shared" si="627"/>
        <v>946292.93899958511</v>
      </c>
      <c r="Z583" s="33">
        <f t="shared" si="627"/>
        <v>285315.71651379816</v>
      </c>
      <c r="AA583" s="33">
        <f t="shared" si="627"/>
        <v>247440.6090861196</v>
      </c>
      <c r="AB583" s="33">
        <f t="shared" si="627"/>
        <v>183229.26601768937</v>
      </c>
      <c r="AC583" s="33">
        <f t="shared" si="627"/>
        <v>5144000.9418675685</v>
      </c>
      <c r="AD583" s="33">
        <f t="shared" si="627"/>
        <v>214537.6768604008</v>
      </c>
      <c r="AE583" s="37"/>
      <c r="AF583" s="33">
        <f>AF429+AF430+AF431+AF432+AF433+AF434+AF435+AF436+AF437+AF438</f>
        <v>0</v>
      </c>
      <c r="AG583" s="37"/>
      <c r="AH583" s="33">
        <f>AH429+AH430+AH431+AH432+AH433+AH434+AH435+AH436+AH437+AH438</f>
        <v>0</v>
      </c>
      <c r="AI583" s="37"/>
      <c r="AJ583" s="33">
        <f>AJ429+AJ430+AJ431+AJ432+AJ433+AJ434+AJ435+AJ436+AJ437+AJ438</f>
        <v>0</v>
      </c>
      <c r="AK583" s="33">
        <f t="shared" si="617"/>
        <v>12220037.164410966</v>
      </c>
      <c r="AL583" s="30" t="str">
        <f t="shared" si="616"/>
        <v>ok</v>
      </c>
    </row>
    <row r="584" spans="1:38" x14ac:dyDescent="0.25">
      <c r="A584" s="29" t="s">
        <v>708</v>
      </c>
      <c r="C584" s="29" t="s">
        <v>698</v>
      </c>
      <c r="D584" s="105"/>
      <c r="E584" s="13"/>
      <c r="F584" s="33">
        <f>F448+F449+F450+F451+F452+F453+F454</f>
        <v>8049959.3789140452</v>
      </c>
      <c r="G584" s="46"/>
      <c r="H584" s="33">
        <f t="shared" ref="H584:M584" si="628">H448+H449+H450+H451+H452+H453+H454</f>
        <v>0</v>
      </c>
      <c r="I584" s="33">
        <f t="shared" si="628"/>
        <v>0</v>
      </c>
      <c r="J584" s="33">
        <f t="shared" si="628"/>
        <v>0</v>
      </c>
      <c r="K584" s="33">
        <f t="shared" si="628"/>
        <v>0</v>
      </c>
      <c r="L584" s="33">
        <f t="shared" si="628"/>
        <v>0</v>
      </c>
      <c r="M584" s="33">
        <f t="shared" si="628"/>
        <v>0</v>
      </c>
      <c r="N584" s="33"/>
      <c r="O584" s="33">
        <f>O448+O449+O450+O451+O452+O453+O454</f>
        <v>0</v>
      </c>
      <c r="P584" s="33">
        <f>P448+P449+P450+P451+P452+P453+P454</f>
        <v>0</v>
      </c>
      <c r="Q584" s="33">
        <f>Q448+Q449+Q450+Q451+Q452+Q453+Q454</f>
        <v>0</v>
      </c>
      <c r="R584" s="37"/>
      <c r="S584" s="33">
        <f t="shared" ref="S584:AD584" si="629">S448+S449+S450+S451+S452+S453+S454</f>
        <v>0</v>
      </c>
      <c r="T584" s="33">
        <f t="shared" si="629"/>
        <v>603391.94400005741</v>
      </c>
      <c r="U584" s="33">
        <f t="shared" si="629"/>
        <v>0</v>
      </c>
      <c r="V584" s="33">
        <f t="shared" si="629"/>
        <v>1788356.5240117786</v>
      </c>
      <c r="W584" s="33">
        <f t="shared" si="629"/>
        <v>2974490.0353639345</v>
      </c>
      <c r="X584" s="33">
        <f t="shared" si="629"/>
        <v>988278.75657443085</v>
      </c>
      <c r="Y584" s="33">
        <f t="shared" si="629"/>
        <v>1637578.7729133968</v>
      </c>
      <c r="Z584" s="33">
        <f t="shared" si="629"/>
        <v>30227.033614813321</v>
      </c>
      <c r="AA584" s="33">
        <f t="shared" si="629"/>
        <v>26214.453588133507</v>
      </c>
      <c r="AB584" s="33">
        <f t="shared" si="629"/>
        <v>492.77647614846319</v>
      </c>
      <c r="AC584" s="33">
        <f t="shared" si="629"/>
        <v>352.10510837367843</v>
      </c>
      <c r="AD584" s="33">
        <f t="shared" si="629"/>
        <v>576.97726297795487</v>
      </c>
      <c r="AE584" s="37"/>
      <c r="AF584" s="33">
        <f>AF448+AF449+AF450+AF451+AF452+AF453+AF454</f>
        <v>0</v>
      </c>
      <c r="AG584" s="37"/>
      <c r="AH584" s="33">
        <f>AH448+AH449+AH450+AH451+AH452+AH453+AH454</f>
        <v>0</v>
      </c>
      <c r="AI584" s="37"/>
      <c r="AJ584" s="33">
        <f>AJ448+AJ449+AJ450+AJ451+AJ452+AJ453+AJ454</f>
        <v>0</v>
      </c>
      <c r="AK584" s="33">
        <f t="shared" si="617"/>
        <v>8049959.3789140452</v>
      </c>
      <c r="AL584" s="30" t="str">
        <f t="shared" si="616"/>
        <v>ok</v>
      </c>
    </row>
    <row r="585" spans="1:38" x14ac:dyDescent="0.25">
      <c r="A585" s="29" t="s">
        <v>279</v>
      </c>
      <c r="C585" s="29" t="s">
        <v>690</v>
      </c>
      <c r="D585" s="105"/>
      <c r="E585" s="13"/>
      <c r="F585" s="46">
        <v>1</v>
      </c>
      <c r="G585" s="46"/>
      <c r="H585" s="47">
        <v>0</v>
      </c>
      <c r="I585" s="47">
        <v>0</v>
      </c>
      <c r="J585" s="47">
        <v>0</v>
      </c>
      <c r="K585" s="47">
        <v>0</v>
      </c>
      <c r="L585" s="47">
        <v>0</v>
      </c>
      <c r="M585" s="47">
        <v>0</v>
      </c>
      <c r="N585" s="47"/>
      <c r="O585" s="47">
        <v>0</v>
      </c>
      <c r="P585" s="47">
        <v>0</v>
      </c>
      <c r="Q585" s="47">
        <v>0</v>
      </c>
      <c r="R585" s="46"/>
      <c r="S585" s="47">
        <v>0</v>
      </c>
      <c r="T585" s="47">
        <v>0</v>
      </c>
      <c r="U585" s="47">
        <v>0</v>
      </c>
      <c r="V585" s="47">
        <v>0</v>
      </c>
      <c r="W585" s="47">
        <v>0</v>
      </c>
      <c r="X585" s="47">
        <v>0</v>
      </c>
      <c r="Y585" s="47">
        <v>0</v>
      </c>
      <c r="Z585" s="46">
        <v>0</v>
      </c>
      <c r="AA585" s="46">
        <v>0</v>
      </c>
      <c r="AB585" s="46">
        <v>0</v>
      </c>
      <c r="AC585" s="46">
        <v>0</v>
      </c>
      <c r="AD585" s="46">
        <v>0</v>
      </c>
      <c r="AE585" s="46"/>
      <c r="AF585" s="46">
        <v>1</v>
      </c>
      <c r="AG585" s="46"/>
      <c r="AH585" s="46">
        <v>0</v>
      </c>
      <c r="AI585" s="46"/>
      <c r="AJ585" s="46">
        <v>0</v>
      </c>
      <c r="AK585" s="47">
        <f t="shared" si="617"/>
        <v>1</v>
      </c>
      <c r="AL585" s="30" t="str">
        <f t="shared" si="616"/>
        <v>ok</v>
      </c>
    </row>
    <row r="586" spans="1:38" x14ac:dyDescent="0.25">
      <c r="A586" s="29" t="s">
        <v>290</v>
      </c>
      <c r="C586" s="29" t="s">
        <v>691</v>
      </c>
      <c r="D586" s="105"/>
      <c r="E586" s="13"/>
      <c r="F586" s="46">
        <v>1</v>
      </c>
      <c r="G586" s="46"/>
      <c r="H586" s="47">
        <v>0</v>
      </c>
      <c r="I586" s="47">
        <v>0</v>
      </c>
      <c r="J586" s="47">
        <v>0</v>
      </c>
      <c r="K586" s="47">
        <v>0</v>
      </c>
      <c r="L586" s="47">
        <v>0</v>
      </c>
      <c r="M586" s="47">
        <v>0</v>
      </c>
      <c r="N586" s="47"/>
      <c r="O586" s="47">
        <v>0</v>
      </c>
      <c r="P586" s="47">
        <v>0</v>
      </c>
      <c r="Q586" s="47">
        <v>0</v>
      </c>
      <c r="R586" s="46"/>
      <c r="S586" s="47">
        <v>0</v>
      </c>
      <c r="T586" s="47">
        <v>0</v>
      </c>
      <c r="U586" s="47">
        <v>0</v>
      </c>
      <c r="V586" s="47">
        <v>0</v>
      </c>
      <c r="W586" s="47">
        <v>0</v>
      </c>
      <c r="X586" s="47">
        <v>0</v>
      </c>
      <c r="Y586" s="47">
        <v>0</v>
      </c>
      <c r="Z586" s="46">
        <v>0</v>
      </c>
      <c r="AA586" s="46">
        <v>0</v>
      </c>
      <c r="AB586" s="46">
        <v>0</v>
      </c>
      <c r="AC586" s="46">
        <v>0</v>
      </c>
      <c r="AD586" s="46">
        <v>0</v>
      </c>
      <c r="AE586" s="46"/>
      <c r="AF586" s="46">
        <v>0</v>
      </c>
      <c r="AG586" s="46"/>
      <c r="AH586" s="46">
        <v>1</v>
      </c>
      <c r="AI586" s="46"/>
      <c r="AJ586" s="46">
        <v>0</v>
      </c>
      <c r="AK586" s="47">
        <f t="shared" si="617"/>
        <v>1</v>
      </c>
      <c r="AL586" s="30" t="str">
        <f t="shared" si="616"/>
        <v>ok</v>
      </c>
    </row>
    <row r="587" spans="1:38" x14ac:dyDescent="0.25">
      <c r="A587" s="29" t="s">
        <v>193</v>
      </c>
      <c r="C587" s="29" t="s">
        <v>529</v>
      </c>
      <c r="D587" s="105"/>
      <c r="E587" s="13"/>
      <c r="F587" s="33">
        <v>1017206354.9369223</v>
      </c>
      <c r="G587" s="33"/>
      <c r="H587" s="33">
        <f t="shared" ref="H587:M587" si="630">H36+H37</f>
        <v>0</v>
      </c>
      <c r="I587" s="33">
        <f t="shared" si="630"/>
        <v>0</v>
      </c>
      <c r="J587" s="33">
        <f t="shared" si="630"/>
        <v>0</v>
      </c>
      <c r="K587" s="33">
        <f t="shared" si="630"/>
        <v>0</v>
      </c>
      <c r="L587" s="33">
        <f t="shared" si="630"/>
        <v>0</v>
      </c>
      <c r="M587" s="33">
        <f t="shared" si="630"/>
        <v>0</v>
      </c>
      <c r="N587" s="33"/>
      <c r="O587" s="33">
        <f>O36+O37</f>
        <v>0</v>
      </c>
      <c r="P587" s="33">
        <f>P36+P37</f>
        <v>0</v>
      </c>
      <c r="Q587" s="33">
        <f>Q36+Q37</f>
        <v>0</v>
      </c>
      <c r="R587" s="33"/>
      <c r="S587" s="33">
        <f t="shared" ref="S587:AD587" si="631">S36+S37</f>
        <v>0</v>
      </c>
      <c r="T587" s="33">
        <f t="shared" si="631"/>
        <v>0</v>
      </c>
      <c r="U587" s="33">
        <f t="shared" si="631"/>
        <v>0</v>
      </c>
      <c r="V587" s="33">
        <f t="shared" si="631"/>
        <v>229330273.83326161</v>
      </c>
      <c r="W587" s="33">
        <f t="shared" si="631"/>
        <v>431544742.81241274</v>
      </c>
      <c r="X587" s="33">
        <f t="shared" si="631"/>
        <v>124919932.1472203</v>
      </c>
      <c r="Y587" s="33">
        <f t="shared" si="631"/>
        <v>231411406.14402777</v>
      </c>
      <c r="Z587" s="33">
        <f t="shared" si="631"/>
        <v>0</v>
      </c>
      <c r="AA587" s="33">
        <f t="shared" si="631"/>
        <v>0</v>
      </c>
      <c r="AB587" s="33">
        <f t="shared" si="631"/>
        <v>0</v>
      </c>
      <c r="AC587" s="33">
        <f t="shared" si="631"/>
        <v>0</v>
      </c>
      <c r="AD587" s="33">
        <f t="shared" si="631"/>
        <v>0</v>
      </c>
      <c r="AE587" s="33"/>
      <c r="AF587" s="33">
        <f>AF36+AF37</f>
        <v>0</v>
      </c>
      <c r="AG587" s="33"/>
      <c r="AH587" s="33">
        <f>AH36+AH37</f>
        <v>0</v>
      </c>
      <c r="AI587" s="33"/>
      <c r="AJ587" s="33">
        <f>AJ36+AJ37</f>
        <v>0</v>
      </c>
      <c r="AK587" s="33">
        <f>SUM(H587:AJ587)</f>
        <v>1017206354.9369223</v>
      </c>
      <c r="AL587" s="30" t="str">
        <f t="shared" si="616"/>
        <v>ok</v>
      </c>
    </row>
    <row r="588" spans="1:38" x14ac:dyDescent="0.25">
      <c r="D588" s="105"/>
      <c r="E588" s="1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0"/>
    </row>
    <row r="589" spans="1:38" x14ac:dyDescent="0.25">
      <c r="A589" s="29" t="s">
        <v>408</v>
      </c>
      <c r="D589" s="105" t="s">
        <v>682</v>
      </c>
      <c r="E589" s="13"/>
      <c r="F589" s="33">
        <f>'Jurisdictional Study'!F1005</f>
        <v>11352373.353743056</v>
      </c>
      <c r="G589" s="33"/>
      <c r="H589" s="33">
        <f>IF(VLOOKUP($D589,$C$5:$AJ$596,6,)=0,0,((VLOOKUP($D589,$C$5:$AJ$596,6,)/VLOOKUP($D589,$C$5:$AJ$596,4,))*$F589))</f>
        <v>11352373.353743056</v>
      </c>
      <c r="I589" s="33">
        <f>IF(VLOOKUP($D589,$C$5:$AJ$596,7,)=0,0,((VLOOKUP($D589,$C$5:$AJ$596,7,)/VLOOKUP($D589,$C$5:$AJ$596,4,))*$F589))</f>
        <v>0</v>
      </c>
      <c r="J589" s="33">
        <f>IF(VLOOKUP($D589,$C$5:$AJ$596,8,)=0,0,((VLOOKUP($D589,$C$5:$AJ$596,8,)/VLOOKUP($D589,$C$5:$AJ$596,4,))*$F589))</f>
        <v>0</v>
      </c>
      <c r="K589" s="33">
        <f>IF(VLOOKUP($D589,$C$5:$AJ$596,9,)=0,0,((VLOOKUP($D589,$C$5:$AJ$596,9,)/VLOOKUP($D589,$C$5:$AJ$596,4,))*$F589))</f>
        <v>0</v>
      </c>
      <c r="L589" s="33">
        <f>IF(VLOOKUP($D589,$C$5:$AJ$596,10,)=0,0,((VLOOKUP($D589,$C$5:$AJ$596,10,)/VLOOKUP($D589,$C$5:$AJ$596,4,))*$F589))</f>
        <v>0</v>
      </c>
      <c r="M589" s="33">
        <f>IF(VLOOKUP($D589,$C$5:$AJ$596,11,)=0,0,((VLOOKUP($D589,$C$5:$AJ$596,11,)/VLOOKUP($D589,$C$5:$AJ$596,4,))*$F589))</f>
        <v>0</v>
      </c>
      <c r="N589" s="33"/>
      <c r="O589" s="33">
        <f>IF(VLOOKUP($D589,$C$5:$AJ$596,13,)=0,0,((VLOOKUP($D589,$C$5:$AJ$596,13,)/VLOOKUP($D589,$C$5:$AJ$596,4,))*$F589))</f>
        <v>0</v>
      </c>
      <c r="P589" s="33">
        <f>IF(VLOOKUP($D589,$C$5:$AJ$596,14,)=0,0,((VLOOKUP($D589,$C$5:$AJ$596,14,)/VLOOKUP($D589,$C$5:$AJ$596,4,))*$F589))</f>
        <v>0</v>
      </c>
      <c r="Q589" s="33">
        <f>IF(VLOOKUP($D589,$C$5:$AJ$596,15,)=0,0,((VLOOKUP($D589,$C$5:$AJ$596,15,)/VLOOKUP($D589,$C$5:$AJ$596,4,))*$F589))</f>
        <v>0</v>
      </c>
      <c r="R589" s="33"/>
      <c r="S589" s="33">
        <f>IF(VLOOKUP($D589,$C$5:$AJ$596,17,)=0,0,((VLOOKUP($D589,$C$5:$AJ$596,17,)/VLOOKUP($D589,$C$5:$AJ$596,4,))*$F589))</f>
        <v>0</v>
      </c>
      <c r="T589" s="33">
        <f>IF(VLOOKUP($D589,$C$5:$AJ$596,18,)=0,0,((VLOOKUP($D589,$C$5:$AJ$596,18,)/VLOOKUP($D589,$C$5:$AJ$596,4,))*$F589))</f>
        <v>0</v>
      </c>
      <c r="U589" s="33">
        <f>IF(VLOOKUP($D589,$C$5:$AJ$596,19,)=0,0,((VLOOKUP($D589,$C$5:$AJ$596,19,)/VLOOKUP($D589,$C$5:$AJ$596,4,))*$F589))</f>
        <v>0</v>
      </c>
      <c r="V589" s="33">
        <f>IF(VLOOKUP($D589,$C$5:$AJ$596,20,)=0,0,((VLOOKUP($D589,$C$5:$AJ$596,20,)/VLOOKUP($D589,$C$5:$AJ$596,4,))*$F589))</f>
        <v>0</v>
      </c>
      <c r="W589" s="33">
        <f>IF(VLOOKUP($D589,$C$5:$AJ$596,21,)=0,0,((VLOOKUP($D589,$C$5:$AJ$596,21,)/VLOOKUP($D589,$C$5:$AJ$596,4,))*$F589))</f>
        <v>0</v>
      </c>
      <c r="X589" s="33">
        <f>IF(VLOOKUP($D589,$C$5:$AJ$596,22,)=0,0,((VLOOKUP($D589,$C$5:$AJ$596,22,)/VLOOKUP($D589,$C$5:$AJ$596,4,))*$F589))</f>
        <v>0</v>
      </c>
      <c r="Y589" s="33">
        <f>IF(VLOOKUP($D589,$C$5:$AJ$596,23,)=0,0,((VLOOKUP($D589,$C$5:$AJ$596,23,)/VLOOKUP($D589,$C$5:$AJ$596,4,))*$F589))</f>
        <v>0</v>
      </c>
      <c r="Z589" s="33">
        <f>IF(VLOOKUP($D589,$C$5:$AJ$596,24,)=0,0,((VLOOKUP($D589,$C$5:$AJ$596,24,)/VLOOKUP($D589,$C$5:$AJ$596,4,))*$F589))</f>
        <v>0</v>
      </c>
      <c r="AA589" s="33">
        <f>IF(VLOOKUP($D589,$C$5:$AJ$596,25,)=0,0,((VLOOKUP($D589,$C$5:$AJ$596,25,)/VLOOKUP($D589,$C$5:$AJ$596,4,))*$F589))</f>
        <v>0</v>
      </c>
      <c r="AB589" s="33">
        <f>IF(VLOOKUP($D589,$C$5:$AJ$596,26,)=0,0,((VLOOKUP($D589,$C$5:$AJ$596,26,)/VLOOKUP($D589,$C$5:$AJ$596,4,))*$F589))</f>
        <v>0</v>
      </c>
      <c r="AC589" s="33">
        <f>IF(VLOOKUP($D589,$C$5:$AJ$596,27,)=0,0,((VLOOKUP($D589,$C$5:$AJ$596,27,)/VLOOKUP($D589,$C$5:$AJ$596,4,))*$F589))</f>
        <v>0</v>
      </c>
      <c r="AD589" s="33">
        <f>IF(VLOOKUP($D589,$C$5:$AJ$596,28,)=0,0,((VLOOKUP($D589,$C$5:$AJ$596,28,)/VLOOKUP($D589,$C$5:$AJ$596,4,))*$F589))</f>
        <v>0</v>
      </c>
      <c r="AE589" s="33"/>
      <c r="AF589" s="33">
        <f>IF(VLOOKUP($D589,$C$5:$AJ$596,30,)=0,0,((VLOOKUP($D589,$C$5:$AJ$596,30,)/VLOOKUP($D589,$C$5:$AJ$596,4,))*$F589))</f>
        <v>0</v>
      </c>
      <c r="AG589" s="33"/>
      <c r="AH589" s="33">
        <f>IF(VLOOKUP($D589,$C$5:$AJ$596,32,)=0,0,((VLOOKUP($D589,$C$5:$AJ$596,32,)/VLOOKUP($D589,$C$5:$AJ$596,4,))*$F589))</f>
        <v>0</v>
      </c>
      <c r="AI589" s="33"/>
      <c r="AJ589" s="33">
        <f>IF(VLOOKUP($D589,$C$5:$AJ$596,34,)=0,0,((VLOOKUP($D589,$C$5:$AJ$596,34,)/VLOOKUP($D589,$C$5:$AJ$596,4,))*$F589))</f>
        <v>0</v>
      </c>
      <c r="AK589" s="33">
        <f>SUM(H589:AJ589)</f>
        <v>11352373.353743056</v>
      </c>
      <c r="AL589" s="30" t="str">
        <f>IF(ABS(AK589-F589)&lt;1,"ok","err")</f>
        <v>ok</v>
      </c>
    </row>
    <row r="590" spans="1:38" x14ac:dyDescent="0.25">
      <c r="A590" s="29" t="s">
        <v>409</v>
      </c>
      <c r="D590" s="105" t="s">
        <v>702</v>
      </c>
      <c r="E590" s="13"/>
      <c r="F590" s="33">
        <f>'Jurisdictional Study'!F1006</f>
        <v>43216705.035806477</v>
      </c>
      <c r="G590" s="46"/>
      <c r="H590" s="33">
        <f>IF(VLOOKUP($D590,$C$5:$AJ$596,6,)=0,0,((VLOOKUP($D590,$C$5:$AJ$596,6,)/VLOOKUP($D590,$C$5:$AJ$596,4,))*$F590))</f>
        <v>0</v>
      </c>
      <c r="I590" s="33">
        <f>IF(VLOOKUP($D590,$C$5:$AJ$596,7,)=0,0,((VLOOKUP($D590,$C$5:$AJ$596,7,)/VLOOKUP($D590,$C$5:$AJ$596,4,))*$F590))</f>
        <v>0</v>
      </c>
      <c r="J590" s="33">
        <f>IF(VLOOKUP($D590,$C$5:$AJ$596,8,)=0,0,((VLOOKUP($D590,$C$5:$AJ$596,8,)/VLOOKUP($D590,$C$5:$AJ$596,4,))*$F590))</f>
        <v>0</v>
      </c>
      <c r="K590" s="33">
        <f>IF(VLOOKUP($D590,$C$5:$AJ$596,9,)=0,0,((VLOOKUP($D590,$C$5:$AJ$596,9,)/VLOOKUP($D590,$C$5:$AJ$596,4,))*$F590))</f>
        <v>43216705.035806477</v>
      </c>
      <c r="L590" s="33">
        <f>IF(VLOOKUP($D590,$C$5:$AJ$596,10,)=0,0,((VLOOKUP($D590,$C$5:$AJ$596,10,)/VLOOKUP($D590,$C$5:$AJ$596,4,))*$F590))</f>
        <v>0</v>
      </c>
      <c r="M590" s="33">
        <f>IF(VLOOKUP($D590,$C$5:$AJ$596,11,)=0,0,((VLOOKUP($D590,$C$5:$AJ$596,11,)/VLOOKUP($D590,$C$5:$AJ$596,4,))*$F590))</f>
        <v>0</v>
      </c>
      <c r="N590" s="33"/>
      <c r="O590" s="33">
        <f>IF(VLOOKUP($D590,$C$5:$AJ$596,13,)=0,0,((VLOOKUP($D590,$C$5:$AJ$596,13,)/VLOOKUP($D590,$C$5:$AJ$596,4,))*$F590))</f>
        <v>0</v>
      </c>
      <c r="P590" s="33">
        <f>IF(VLOOKUP($D590,$C$5:$AJ$596,14,)=0,0,((VLOOKUP($D590,$C$5:$AJ$596,14,)/VLOOKUP($D590,$C$5:$AJ$596,4,))*$F590))</f>
        <v>0</v>
      </c>
      <c r="Q590" s="33">
        <f>IF(VLOOKUP($D590,$C$5:$AJ$596,15,)=0,0,((VLOOKUP($D590,$C$5:$AJ$596,15,)/VLOOKUP($D590,$C$5:$AJ$596,4,))*$F590))</f>
        <v>0</v>
      </c>
      <c r="R590" s="33"/>
      <c r="S590" s="33">
        <f>IF(VLOOKUP($D590,$C$5:$AJ$596,17,)=0,0,((VLOOKUP($D590,$C$5:$AJ$596,17,)/VLOOKUP($D590,$C$5:$AJ$596,4,))*$F590))</f>
        <v>0</v>
      </c>
      <c r="T590" s="33">
        <f>IF(VLOOKUP($D590,$C$5:$AJ$596,18,)=0,0,((VLOOKUP($D590,$C$5:$AJ$596,18,)/VLOOKUP($D590,$C$5:$AJ$596,4,))*$F590))</f>
        <v>0</v>
      </c>
      <c r="U590" s="33">
        <f>IF(VLOOKUP($D590,$C$5:$AJ$596,19,)=0,0,((VLOOKUP($D590,$C$5:$AJ$596,19,)/VLOOKUP($D590,$C$5:$AJ$596,4,))*$F590))</f>
        <v>0</v>
      </c>
      <c r="V590" s="33">
        <f>IF(VLOOKUP($D590,$C$5:$AJ$596,20,)=0,0,((VLOOKUP($D590,$C$5:$AJ$596,20,)/VLOOKUP($D590,$C$5:$AJ$596,4,))*$F590))</f>
        <v>0</v>
      </c>
      <c r="W590" s="33">
        <f>IF(VLOOKUP($D590,$C$5:$AJ$596,21,)=0,0,((VLOOKUP($D590,$C$5:$AJ$596,21,)/VLOOKUP($D590,$C$5:$AJ$596,4,))*$F590))</f>
        <v>0</v>
      </c>
      <c r="X590" s="33">
        <f>IF(VLOOKUP($D590,$C$5:$AJ$596,22,)=0,0,((VLOOKUP($D590,$C$5:$AJ$596,22,)/VLOOKUP($D590,$C$5:$AJ$596,4,))*$F590))</f>
        <v>0</v>
      </c>
      <c r="Y590" s="33">
        <f>IF(VLOOKUP($D590,$C$5:$AJ$596,23,)=0,0,((VLOOKUP($D590,$C$5:$AJ$596,23,)/VLOOKUP($D590,$C$5:$AJ$596,4,))*$F590))</f>
        <v>0</v>
      </c>
      <c r="Z590" s="33">
        <f>IF(VLOOKUP($D590,$C$5:$AJ$596,24,)=0,0,((VLOOKUP($D590,$C$5:$AJ$596,24,)/VLOOKUP($D590,$C$5:$AJ$596,4,))*$F590))</f>
        <v>0</v>
      </c>
      <c r="AA590" s="33">
        <f>IF(VLOOKUP($D590,$C$5:$AJ$596,25,)=0,0,((VLOOKUP($D590,$C$5:$AJ$596,25,)/VLOOKUP($D590,$C$5:$AJ$596,4,))*$F590))</f>
        <v>0</v>
      </c>
      <c r="AB590" s="33">
        <f>IF(VLOOKUP($D590,$C$5:$AJ$596,26,)=0,0,((VLOOKUP($D590,$C$5:$AJ$596,26,)/VLOOKUP($D590,$C$5:$AJ$596,4,))*$F590))</f>
        <v>0</v>
      </c>
      <c r="AC590" s="33">
        <f>IF(VLOOKUP($D590,$C$5:$AJ$596,27,)=0,0,((VLOOKUP($D590,$C$5:$AJ$596,27,)/VLOOKUP($D590,$C$5:$AJ$596,4,))*$F590))</f>
        <v>0</v>
      </c>
      <c r="AD590" s="33">
        <f>IF(VLOOKUP($D590,$C$5:$AJ$596,28,)=0,0,((VLOOKUP($D590,$C$5:$AJ$596,28,)/VLOOKUP($D590,$C$5:$AJ$596,4,))*$F590))</f>
        <v>0</v>
      </c>
      <c r="AE590" s="33"/>
      <c r="AF590" s="33">
        <f>IF(VLOOKUP($D590,$C$5:$AJ$596,30,)=0,0,((VLOOKUP($D590,$C$5:$AJ$596,30,)/VLOOKUP($D590,$C$5:$AJ$596,4,))*$F590))</f>
        <v>0</v>
      </c>
      <c r="AG590" s="33"/>
      <c r="AH590" s="33">
        <f>IF(VLOOKUP($D590,$C$5:$AJ$596,32,)=0,0,((VLOOKUP($D590,$C$5:$AJ$596,32,)/VLOOKUP($D590,$C$5:$AJ$596,4,))*$F590))</f>
        <v>0</v>
      </c>
      <c r="AI590" s="33"/>
      <c r="AJ590" s="33">
        <f>IF(VLOOKUP($D590,$C$5:$AJ$596,34,)=0,0,((VLOOKUP($D590,$C$5:$AJ$596,34,)/VLOOKUP($D590,$C$5:$AJ$596,4,))*$F590))</f>
        <v>0</v>
      </c>
      <c r="AK590" s="33">
        <f>SUM(H590:AJ590)</f>
        <v>43216705.035806477</v>
      </c>
      <c r="AL590" s="30" t="str">
        <f>IF(ABS(AK590-F590)&lt;1,"ok","err")</f>
        <v>ok</v>
      </c>
    </row>
    <row r="591" spans="1:38" x14ac:dyDescent="0.25">
      <c r="A591" s="4" t="s">
        <v>465</v>
      </c>
      <c r="C591" s="29" t="s">
        <v>755</v>
      </c>
      <c r="D591" s="105" t="s">
        <v>682</v>
      </c>
      <c r="E591" s="13"/>
      <c r="F591" s="33">
        <f>'Jurisdictional Study'!F1007</f>
        <v>54569078.389549531</v>
      </c>
      <c r="G591" s="33"/>
      <c r="H591" s="33">
        <f>H589+H590</f>
        <v>11352373.353743056</v>
      </c>
      <c r="I591" s="33">
        <f>I589+I590</f>
        <v>0</v>
      </c>
      <c r="J591" s="33">
        <f>J589+J590</f>
        <v>0</v>
      </c>
      <c r="K591" s="33">
        <f>K589+K590</f>
        <v>43216705.035806477</v>
      </c>
      <c r="L591" s="33">
        <f t="shared" ref="L591:AJ591" si="632">L589+L590</f>
        <v>0</v>
      </c>
      <c r="M591" s="33">
        <f t="shared" si="632"/>
        <v>0</v>
      </c>
      <c r="N591" s="33"/>
      <c r="O591" s="33">
        <f t="shared" si="632"/>
        <v>0</v>
      </c>
      <c r="P591" s="33">
        <f t="shared" si="632"/>
        <v>0</v>
      </c>
      <c r="Q591" s="33">
        <f t="shared" si="632"/>
        <v>0</v>
      </c>
      <c r="R591" s="33"/>
      <c r="S591" s="33">
        <f t="shared" si="632"/>
        <v>0</v>
      </c>
      <c r="T591" s="33">
        <f t="shared" si="632"/>
        <v>0</v>
      </c>
      <c r="U591" s="33">
        <f t="shared" si="632"/>
        <v>0</v>
      </c>
      <c r="V591" s="33">
        <f t="shared" si="632"/>
        <v>0</v>
      </c>
      <c r="W591" s="33">
        <f t="shared" si="632"/>
        <v>0</v>
      </c>
      <c r="X591" s="33">
        <f t="shared" si="632"/>
        <v>0</v>
      </c>
      <c r="Y591" s="33">
        <f t="shared" si="632"/>
        <v>0</v>
      </c>
      <c r="Z591" s="33">
        <f t="shared" si="632"/>
        <v>0</v>
      </c>
      <c r="AA591" s="33">
        <f t="shared" si="632"/>
        <v>0</v>
      </c>
      <c r="AB591" s="33">
        <f t="shared" si="632"/>
        <v>0</v>
      </c>
      <c r="AC591" s="33">
        <f t="shared" si="632"/>
        <v>0</v>
      </c>
      <c r="AD591" s="33">
        <f t="shared" si="632"/>
        <v>0</v>
      </c>
      <c r="AE591" s="33">
        <f t="shared" si="632"/>
        <v>0</v>
      </c>
      <c r="AF591" s="33">
        <f t="shared" si="632"/>
        <v>0</v>
      </c>
      <c r="AG591" s="33">
        <f t="shared" si="632"/>
        <v>0</v>
      </c>
      <c r="AH591" s="33">
        <f t="shared" si="632"/>
        <v>0</v>
      </c>
      <c r="AI591" s="33">
        <f t="shared" si="632"/>
        <v>0</v>
      </c>
      <c r="AJ591" s="33">
        <f t="shared" si="632"/>
        <v>0</v>
      </c>
      <c r="AK591" s="33">
        <f>SUM(H591:AJ591)</f>
        <v>54569078.389549531</v>
      </c>
      <c r="AL591" s="30" t="str">
        <f>IF(ABS(AK591-F591)&lt;1,"ok","err")</f>
        <v>ok</v>
      </c>
    </row>
    <row r="592" spans="1:38" x14ac:dyDescent="0.25">
      <c r="D592" s="105"/>
      <c r="E592" s="13"/>
      <c r="Y592" s="29"/>
      <c r="AL592" s="30"/>
    </row>
    <row r="593" spans="1:38" x14ac:dyDescent="0.25">
      <c r="A593" s="29" t="s">
        <v>681</v>
      </c>
      <c r="C593" s="29" t="s">
        <v>996</v>
      </c>
      <c r="D593" s="105"/>
      <c r="E593" s="13"/>
      <c r="F593" s="49">
        <v>1</v>
      </c>
      <c r="H593" s="33">
        <v>0</v>
      </c>
      <c r="I593" s="33">
        <v>0</v>
      </c>
      <c r="J593" s="33">
        <v>0</v>
      </c>
      <c r="K593" s="50">
        <v>1</v>
      </c>
      <c r="L593" s="33">
        <v>0</v>
      </c>
      <c r="M593" s="50">
        <v>0</v>
      </c>
      <c r="O593" s="33">
        <v>0</v>
      </c>
      <c r="P593" s="33">
        <v>0</v>
      </c>
      <c r="Q593" s="33">
        <v>0</v>
      </c>
      <c r="S593" s="33">
        <v>0</v>
      </c>
      <c r="T593" s="33">
        <v>0</v>
      </c>
      <c r="U593" s="33">
        <v>0</v>
      </c>
      <c r="V593" s="33">
        <v>0</v>
      </c>
      <c r="W593" s="33">
        <v>0</v>
      </c>
      <c r="X593" s="33">
        <v>0</v>
      </c>
      <c r="Y593" s="33">
        <v>0</v>
      </c>
      <c r="Z593" s="33">
        <v>0</v>
      </c>
      <c r="AA593" s="33">
        <v>0</v>
      </c>
      <c r="AB593" s="33">
        <v>0</v>
      </c>
      <c r="AC593" s="33">
        <v>0</v>
      </c>
      <c r="AD593" s="33">
        <v>0</v>
      </c>
      <c r="AF593" s="49">
        <v>0</v>
      </c>
      <c r="AH593" s="33">
        <v>0</v>
      </c>
      <c r="AJ593" s="33">
        <v>0</v>
      </c>
      <c r="AK593" s="47">
        <f>SUM(H593:AJ593)</f>
        <v>1</v>
      </c>
      <c r="AL593" s="30" t="str">
        <f>IF(ABS(AK593-F593)&lt;1,"ok","err")</f>
        <v>ok</v>
      </c>
    </row>
    <row r="594" spans="1:38" x14ac:dyDescent="0.25">
      <c r="A594" s="29" t="s">
        <v>998</v>
      </c>
      <c r="C594" s="29" t="s">
        <v>997</v>
      </c>
      <c r="D594" s="13"/>
      <c r="E594" s="13"/>
      <c r="F594" s="49">
        <v>1</v>
      </c>
      <c r="H594" s="33">
        <v>0</v>
      </c>
      <c r="I594" s="33">
        <v>0</v>
      </c>
      <c r="J594" s="33">
        <v>0</v>
      </c>
      <c r="K594" s="33">
        <v>0</v>
      </c>
      <c r="L594" s="33">
        <v>0</v>
      </c>
      <c r="M594" s="33">
        <v>0</v>
      </c>
      <c r="O594" s="33">
        <v>0</v>
      </c>
      <c r="P594" s="33">
        <v>0</v>
      </c>
      <c r="Q594" s="33">
        <v>0</v>
      </c>
      <c r="S594" s="33">
        <v>0</v>
      </c>
      <c r="T594" s="33">
        <v>0</v>
      </c>
      <c r="U594" s="33">
        <v>0</v>
      </c>
      <c r="V594" s="33">
        <v>0</v>
      </c>
      <c r="W594" s="33">
        <v>0</v>
      </c>
      <c r="X594" s="33">
        <v>0</v>
      </c>
      <c r="Y594" s="33">
        <v>0</v>
      </c>
      <c r="Z594" s="33">
        <v>0</v>
      </c>
      <c r="AA594" s="33">
        <v>0</v>
      </c>
      <c r="AB594" s="33">
        <v>0</v>
      </c>
      <c r="AC594" s="33">
        <v>0</v>
      </c>
      <c r="AD594" s="33">
        <v>0</v>
      </c>
      <c r="AF594" s="49">
        <v>1</v>
      </c>
      <c r="AH594" s="33">
        <v>0</v>
      </c>
      <c r="AJ594" s="33">
        <v>0</v>
      </c>
      <c r="AK594" s="47">
        <f>SUM(H594:AJ594)</f>
        <v>1</v>
      </c>
      <c r="AL594" s="30" t="str">
        <f>IF(ABS(AK594-F594)&lt;1,"ok","err")</f>
        <v>ok</v>
      </c>
    </row>
    <row r="595" spans="1:38" x14ac:dyDescent="0.25">
      <c r="A595" s="29" t="s">
        <v>1001</v>
      </c>
      <c r="C595" s="29" t="s">
        <v>1000</v>
      </c>
      <c r="D595" s="105"/>
      <c r="E595" s="13"/>
      <c r="F595" s="46">
        <v>1</v>
      </c>
      <c r="G595" s="46"/>
      <c r="H595" s="47">
        <v>0</v>
      </c>
      <c r="I595" s="47">
        <v>0</v>
      </c>
      <c r="J595" s="47">
        <v>0</v>
      </c>
      <c r="K595" s="47">
        <v>0</v>
      </c>
      <c r="L595" s="47">
        <v>0</v>
      </c>
      <c r="M595" s="47">
        <v>1</v>
      </c>
      <c r="N595" s="47"/>
      <c r="O595" s="47">
        <v>0</v>
      </c>
      <c r="P595" s="47">
        <v>0</v>
      </c>
      <c r="Q595" s="47">
        <v>0</v>
      </c>
      <c r="R595" s="46"/>
      <c r="S595" s="47">
        <v>0</v>
      </c>
      <c r="T595" s="47">
        <v>0</v>
      </c>
      <c r="U595" s="47">
        <v>0</v>
      </c>
      <c r="V595" s="47">
        <v>0</v>
      </c>
      <c r="W595" s="47">
        <v>0</v>
      </c>
      <c r="X595" s="47">
        <v>0</v>
      </c>
      <c r="Y595" s="47">
        <v>0</v>
      </c>
      <c r="Z595" s="46">
        <v>0</v>
      </c>
      <c r="AA595" s="46">
        <v>0</v>
      </c>
      <c r="AB595" s="46">
        <v>0</v>
      </c>
      <c r="AC595" s="46">
        <v>0</v>
      </c>
      <c r="AD595" s="46">
        <v>0</v>
      </c>
      <c r="AE595" s="46"/>
      <c r="AF595" s="46">
        <v>0</v>
      </c>
      <c r="AG595" s="46"/>
      <c r="AH595" s="46">
        <v>0</v>
      </c>
      <c r="AI595" s="46"/>
      <c r="AJ595" s="46">
        <v>0</v>
      </c>
      <c r="AK595" s="47">
        <f>SUM(H595:AJ595)</f>
        <v>1</v>
      </c>
      <c r="AL595" s="30" t="str">
        <f>IF(ABS(AK595-F595)&lt;0.0000001,"ok","err")</f>
        <v>ok</v>
      </c>
    </row>
    <row r="596" spans="1:38" x14ac:dyDescent="0.25">
      <c r="C596" s="29" t="s">
        <v>104</v>
      </c>
      <c r="D596" s="13"/>
      <c r="E596" s="13"/>
      <c r="F596" s="46">
        <v>1</v>
      </c>
      <c r="G596" s="46"/>
      <c r="H596" s="47">
        <v>0</v>
      </c>
      <c r="I596" s="47">
        <v>0</v>
      </c>
      <c r="J596" s="47">
        <v>0</v>
      </c>
      <c r="K596" s="47">
        <v>1</v>
      </c>
      <c r="L596" s="47">
        <v>0</v>
      </c>
      <c r="M596" s="47">
        <v>0</v>
      </c>
      <c r="N596" s="47"/>
      <c r="O596" s="47">
        <v>0</v>
      </c>
      <c r="P596" s="47">
        <v>0</v>
      </c>
      <c r="Q596" s="47">
        <v>0</v>
      </c>
      <c r="R596" s="46"/>
      <c r="S596" s="47">
        <v>0</v>
      </c>
      <c r="T596" s="47">
        <v>0</v>
      </c>
      <c r="U596" s="47">
        <v>0</v>
      </c>
      <c r="V596" s="47">
        <v>0</v>
      </c>
      <c r="W596" s="47">
        <v>0</v>
      </c>
      <c r="X596" s="47">
        <v>0</v>
      </c>
      <c r="Y596" s="47">
        <v>0</v>
      </c>
      <c r="Z596" s="46">
        <v>0</v>
      </c>
      <c r="AA596" s="46">
        <v>0</v>
      </c>
      <c r="AB596" s="46">
        <v>0</v>
      </c>
      <c r="AC596" s="46">
        <v>0</v>
      </c>
      <c r="AD596" s="46">
        <v>0</v>
      </c>
      <c r="AE596" s="46"/>
      <c r="AF596" s="46">
        <v>0</v>
      </c>
      <c r="AG596" s="46"/>
      <c r="AH596" s="46">
        <v>0</v>
      </c>
      <c r="AI596" s="46"/>
      <c r="AJ596" s="46">
        <v>0</v>
      </c>
      <c r="AK596" s="47">
        <f>SUM(H596:AJ596)</f>
        <v>1</v>
      </c>
      <c r="AL596" s="30" t="str">
        <f>IF(ABS(AK596-F596)&lt;0.0000001,"ok","err")</f>
        <v>ok</v>
      </c>
    </row>
    <row r="597" spans="1:38" x14ac:dyDescent="0.25">
      <c r="A597" s="4" t="s">
        <v>413</v>
      </c>
      <c r="D597" s="13"/>
      <c r="E597" s="13"/>
      <c r="AL597" s="30"/>
    </row>
    <row r="598" spans="1:38" x14ac:dyDescent="0.25">
      <c r="A598" s="29" t="s">
        <v>192</v>
      </c>
      <c r="D598" s="13" t="s">
        <v>456</v>
      </c>
      <c r="E598" s="13"/>
      <c r="F598" s="46">
        <v>1</v>
      </c>
      <c r="H598" s="50">
        <f t="shared" ref="H598:M598" si="633">H47/$F$47</f>
        <v>0.601066515217897</v>
      </c>
      <c r="I598" s="50">
        <f t="shared" si="633"/>
        <v>0</v>
      </c>
      <c r="J598" s="50">
        <f t="shared" si="633"/>
        <v>0</v>
      </c>
      <c r="K598" s="50">
        <f t="shared" si="633"/>
        <v>0</v>
      </c>
      <c r="L598" s="50">
        <f t="shared" si="633"/>
        <v>0</v>
      </c>
      <c r="M598" s="50">
        <f t="shared" si="633"/>
        <v>0</v>
      </c>
      <c r="N598" s="50"/>
      <c r="O598" s="50">
        <f>O47/$F$47</f>
        <v>0.1392301094031238</v>
      </c>
      <c r="P598" s="50">
        <f>P47/$F$47</f>
        <v>0</v>
      </c>
      <c r="Q598" s="50">
        <f>Q47/$F$47</f>
        <v>0</v>
      </c>
      <c r="R598" s="50"/>
      <c r="S598" s="50">
        <f t="shared" ref="S598:AD598" si="634">S47/$F$47</f>
        <v>0</v>
      </c>
      <c r="T598" s="50">
        <f t="shared" si="634"/>
        <v>3.7776457457818692E-2</v>
      </c>
      <c r="U598" s="50">
        <f t="shared" si="634"/>
        <v>0</v>
      </c>
      <c r="V598" s="50">
        <f t="shared" si="634"/>
        <v>3.0906186538581668E-2</v>
      </c>
      <c r="W598" s="50">
        <f t="shared" si="634"/>
        <v>5.8158053440436119E-2</v>
      </c>
      <c r="X598" s="50">
        <f t="shared" si="634"/>
        <v>1.6835102757240036E-2</v>
      </c>
      <c r="Y598" s="50">
        <f t="shared" si="634"/>
        <v>3.1186654800939271E-2</v>
      </c>
      <c r="Z598" s="50">
        <f t="shared" si="634"/>
        <v>2.2805148127495702E-2</v>
      </c>
      <c r="AA598" s="50">
        <f t="shared" si="634"/>
        <v>1.9777808989690965E-2</v>
      </c>
      <c r="AB598" s="50">
        <f t="shared" si="634"/>
        <v>1.4645427191612981E-2</v>
      </c>
      <c r="AC598" s="50">
        <f t="shared" si="634"/>
        <v>1.0464642648501939E-2</v>
      </c>
      <c r="AD598" s="50">
        <f t="shared" si="634"/>
        <v>1.7147893426661755E-2</v>
      </c>
      <c r="AE598" s="50"/>
      <c r="AF598" s="50">
        <f>AF47/$F$47</f>
        <v>0</v>
      </c>
      <c r="AG598" s="50"/>
      <c r="AH598" s="50">
        <f>AH47/$F$47</f>
        <v>0</v>
      </c>
      <c r="AI598" s="50"/>
      <c r="AJ598" s="50">
        <f>AJ47/$F$47</f>
        <v>0</v>
      </c>
      <c r="AK598" s="47">
        <f t="shared" ref="AK598:AK616" si="635">SUM(H598:AJ598)</f>
        <v>0.99999999999999978</v>
      </c>
      <c r="AL598" s="30" t="str">
        <f t="shared" ref="AL598:AL616" si="636">IF(ABS(AK598-F598)&lt;0.0000001,"ok","err")</f>
        <v>ok</v>
      </c>
    </row>
    <row r="599" spans="1:38" x14ac:dyDescent="0.25">
      <c r="A599" s="29" t="s">
        <v>171</v>
      </c>
      <c r="D599" s="13" t="s">
        <v>109</v>
      </c>
      <c r="E599" s="13"/>
      <c r="F599" s="46">
        <v>1</v>
      </c>
      <c r="H599" s="50">
        <f t="shared" ref="H599:M599" si="637">H45/$F$45</f>
        <v>0</v>
      </c>
      <c r="I599" s="50">
        <f t="shared" si="637"/>
        <v>0</v>
      </c>
      <c r="J599" s="50">
        <f t="shared" si="637"/>
        <v>0</v>
      </c>
      <c r="K599" s="50">
        <f t="shared" si="637"/>
        <v>0</v>
      </c>
      <c r="L599" s="50">
        <f t="shared" si="637"/>
        <v>0</v>
      </c>
      <c r="M599" s="50">
        <f t="shared" si="637"/>
        <v>0</v>
      </c>
      <c r="N599" s="50"/>
      <c r="O599" s="50">
        <f>O45/$F$45</f>
        <v>0</v>
      </c>
      <c r="P599" s="50">
        <f>P45/$F$45</f>
        <v>0</v>
      </c>
      <c r="Q599" s="50">
        <f>Q45/$F$45</f>
        <v>0</v>
      </c>
      <c r="R599" s="50"/>
      <c r="S599" s="50">
        <f t="shared" ref="S599:AD599" si="638">S45/$F$45</f>
        <v>0</v>
      </c>
      <c r="T599" s="50">
        <f t="shared" si="638"/>
        <v>0.14546001723193772</v>
      </c>
      <c r="U599" s="50">
        <f t="shared" si="638"/>
        <v>0</v>
      </c>
      <c r="V599" s="50">
        <f t="shared" si="638"/>
        <v>0.11900571755558041</v>
      </c>
      <c r="W599" s="50">
        <f t="shared" si="638"/>
        <v>0.22394030634206205</v>
      </c>
      <c r="X599" s="50">
        <f t="shared" si="638"/>
        <v>6.4824350983782794E-2</v>
      </c>
      <c r="Y599" s="50">
        <f t="shared" si="638"/>
        <v>0.12008567372460718</v>
      </c>
      <c r="Z599" s="50">
        <f t="shared" si="638"/>
        <v>8.7812290056749079E-2</v>
      </c>
      <c r="AA599" s="50">
        <f t="shared" si="638"/>
        <v>7.6155379038988877E-2</v>
      </c>
      <c r="AB599" s="50">
        <f t="shared" si="638"/>
        <v>5.6392902750074962E-2</v>
      </c>
      <c r="AC599" s="50">
        <f t="shared" si="638"/>
        <v>4.0294596222444655E-2</v>
      </c>
      <c r="AD599" s="50">
        <f t="shared" si="638"/>
        <v>6.6028766093772284E-2</v>
      </c>
      <c r="AE599" s="50"/>
      <c r="AF599" s="50">
        <f>AF45/$F$45</f>
        <v>0</v>
      </c>
      <c r="AG599" s="50"/>
      <c r="AH599" s="50">
        <f>AH45/$F$45</f>
        <v>0</v>
      </c>
      <c r="AI599" s="50"/>
      <c r="AJ599" s="50">
        <f>AJ45/$F$45</f>
        <v>0</v>
      </c>
      <c r="AK599" s="47">
        <f t="shared" si="635"/>
        <v>1</v>
      </c>
      <c r="AL599" s="30" t="str">
        <f t="shared" si="636"/>
        <v>ok</v>
      </c>
    </row>
    <row r="600" spans="1:38" x14ac:dyDescent="0.25">
      <c r="A600" s="29" t="s">
        <v>428</v>
      </c>
      <c r="D600" s="13" t="s">
        <v>454</v>
      </c>
      <c r="E600" s="13"/>
      <c r="F600" s="46">
        <v>1</v>
      </c>
      <c r="H600" s="50">
        <f t="shared" ref="H600:M600" si="639">H32/$F$32</f>
        <v>0</v>
      </c>
      <c r="I600" s="50">
        <f t="shared" si="639"/>
        <v>0</v>
      </c>
      <c r="J600" s="50">
        <f t="shared" si="639"/>
        <v>0</v>
      </c>
      <c r="K600" s="50">
        <f t="shared" si="639"/>
        <v>0</v>
      </c>
      <c r="L600" s="50">
        <f t="shared" si="639"/>
        <v>0</v>
      </c>
      <c r="M600" s="50">
        <f t="shared" si="639"/>
        <v>0</v>
      </c>
      <c r="N600" s="50"/>
      <c r="O600" s="50">
        <f>O32/$F$32</f>
        <v>1</v>
      </c>
      <c r="P600" s="50">
        <f>P32/$F$32</f>
        <v>0</v>
      </c>
      <c r="Q600" s="50">
        <f>Q32/$F$32</f>
        <v>0</v>
      </c>
      <c r="R600" s="50"/>
      <c r="S600" s="50">
        <f t="shared" ref="S600:AD600" si="640">S32/$F$32</f>
        <v>0</v>
      </c>
      <c r="T600" s="50">
        <f t="shared" si="640"/>
        <v>0</v>
      </c>
      <c r="U600" s="50">
        <f t="shared" si="640"/>
        <v>0</v>
      </c>
      <c r="V600" s="50">
        <f t="shared" si="640"/>
        <v>0</v>
      </c>
      <c r="W600" s="50">
        <f t="shared" si="640"/>
        <v>0</v>
      </c>
      <c r="X600" s="50">
        <f t="shared" si="640"/>
        <v>0</v>
      </c>
      <c r="Y600" s="50">
        <f t="shared" si="640"/>
        <v>0</v>
      </c>
      <c r="Z600" s="50">
        <f t="shared" si="640"/>
        <v>0</v>
      </c>
      <c r="AA600" s="50">
        <f t="shared" si="640"/>
        <v>0</v>
      </c>
      <c r="AB600" s="50">
        <f t="shared" si="640"/>
        <v>0</v>
      </c>
      <c r="AC600" s="50">
        <f t="shared" si="640"/>
        <v>0</v>
      </c>
      <c r="AD600" s="50">
        <f t="shared" si="640"/>
        <v>0</v>
      </c>
      <c r="AE600" s="50"/>
      <c r="AF600" s="50">
        <f>AF32/$F$32</f>
        <v>0</v>
      </c>
      <c r="AG600" s="50"/>
      <c r="AH600" s="50">
        <f>AH32/$F$32</f>
        <v>0</v>
      </c>
      <c r="AI600" s="50"/>
      <c r="AJ600" s="50">
        <f>AJ32/$F$32</f>
        <v>0</v>
      </c>
      <c r="AK600" s="47">
        <f t="shared" si="635"/>
        <v>1</v>
      </c>
      <c r="AL600" s="30" t="str">
        <f t="shared" si="636"/>
        <v>ok</v>
      </c>
    </row>
    <row r="601" spans="1:38" x14ac:dyDescent="0.25">
      <c r="A601" s="29" t="s">
        <v>1260</v>
      </c>
      <c r="D601" s="105" t="s">
        <v>746</v>
      </c>
      <c r="E601" s="13"/>
      <c r="F601" s="46">
        <v>1</v>
      </c>
      <c r="H601" s="50">
        <f t="shared" ref="H601:M601" si="641">H335/$F$335</f>
        <v>0.12474279928355266</v>
      </c>
      <c r="I601" s="50">
        <f t="shared" si="641"/>
        <v>0</v>
      </c>
      <c r="J601" s="50">
        <f t="shared" si="641"/>
        <v>0</v>
      </c>
      <c r="K601" s="50">
        <f t="shared" si="641"/>
        <v>0.63959173838177008</v>
      </c>
      <c r="L601" s="50">
        <f t="shared" si="641"/>
        <v>0</v>
      </c>
      <c r="M601" s="50">
        <f t="shared" si="641"/>
        <v>0</v>
      </c>
      <c r="N601" s="50"/>
      <c r="O601" s="50">
        <f>O335/$F$335</f>
        <v>6.5108225673281006E-2</v>
      </c>
      <c r="P601" s="50">
        <f>P335/$F$335</f>
        <v>0</v>
      </c>
      <c r="Q601" s="50">
        <f>Q335/$F$335</f>
        <v>0</v>
      </c>
      <c r="R601" s="50"/>
      <c r="S601" s="50">
        <f t="shared" ref="S601:AD601" si="642">S335/$F$335</f>
        <v>0</v>
      </c>
      <c r="T601" s="50">
        <f t="shared" si="642"/>
        <v>1.0087045722120871E-2</v>
      </c>
      <c r="U601" s="50">
        <f t="shared" si="642"/>
        <v>0</v>
      </c>
      <c r="V601" s="50">
        <f t="shared" si="642"/>
        <v>1.5407638155294287E-2</v>
      </c>
      <c r="W601" s="50">
        <f t="shared" si="642"/>
        <v>2.6265403547560608E-2</v>
      </c>
      <c r="X601" s="50">
        <f t="shared" si="642"/>
        <v>8.4914503014084375E-3</v>
      </c>
      <c r="Y601" s="50">
        <f t="shared" si="642"/>
        <v>1.4381531347289417E-2</v>
      </c>
      <c r="Z601" s="50">
        <f t="shared" si="642"/>
        <v>3.3669391954805712E-3</v>
      </c>
      <c r="AA601" s="50">
        <f t="shared" si="642"/>
        <v>2.9199845541819348E-3</v>
      </c>
      <c r="AB601" s="50">
        <f t="shared" si="642"/>
        <v>2.1169788552697611E-3</v>
      </c>
      <c r="AC601" s="50">
        <f t="shared" si="642"/>
        <v>1.2820464892771968E-2</v>
      </c>
      <c r="AD601" s="50">
        <f t="shared" si="642"/>
        <v>2.4787073344949076E-3</v>
      </c>
      <c r="AE601" s="50"/>
      <c r="AF601" s="50">
        <f>AF335/$F$335</f>
        <v>6.4816296462992321E-2</v>
      </c>
      <c r="AG601" s="50"/>
      <c r="AH601" s="50">
        <f>AH335/$F$335</f>
        <v>7.4047962925313454E-3</v>
      </c>
      <c r="AI601" s="50"/>
      <c r="AJ601" s="50">
        <f>AJ335/$F$335</f>
        <v>0</v>
      </c>
      <c r="AK601" s="47">
        <f t="shared" si="635"/>
        <v>1.0000000000000002</v>
      </c>
      <c r="AL601" s="30" t="str">
        <f t="shared" si="636"/>
        <v>ok</v>
      </c>
    </row>
    <row r="602" spans="1:38" x14ac:dyDescent="0.25">
      <c r="A602" s="29" t="s">
        <v>175</v>
      </c>
      <c r="D602" s="105" t="s">
        <v>176</v>
      </c>
      <c r="E602" s="13"/>
      <c r="F602" s="46">
        <v>1</v>
      </c>
      <c r="H602" s="50">
        <f t="shared" ref="H602:M602" si="643">H66/$F$66</f>
        <v>0.60099218667200394</v>
      </c>
      <c r="I602" s="50">
        <f t="shared" si="643"/>
        <v>0</v>
      </c>
      <c r="J602" s="50">
        <f t="shared" si="643"/>
        <v>0</v>
      </c>
      <c r="K602" s="50">
        <f t="shared" si="643"/>
        <v>0</v>
      </c>
      <c r="L602" s="50">
        <f t="shared" si="643"/>
        <v>0</v>
      </c>
      <c r="M602" s="50">
        <f t="shared" si="643"/>
        <v>0</v>
      </c>
      <c r="N602" s="50"/>
      <c r="O602" s="50">
        <f>O66/$F$66</f>
        <v>0.13920418631452899</v>
      </c>
      <c r="P602" s="50">
        <f>P66/$F$66</f>
        <v>0</v>
      </c>
      <c r="Q602" s="50">
        <f>Q66/$F$66</f>
        <v>0</v>
      </c>
      <c r="R602" s="50"/>
      <c r="S602" s="50">
        <f t="shared" ref="S602:AD602" si="644">S66/$F$66</f>
        <v>0</v>
      </c>
      <c r="T602" s="50">
        <f t="shared" si="644"/>
        <v>3.7791040062298845E-2</v>
      </c>
      <c r="U602" s="50">
        <f t="shared" si="644"/>
        <v>0</v>
      </c>
      <c r="V602" s="50">
        <f t="shared" si="644"/>
        <v>3.0918117056280031E-2</v>
      </c>
      <c r="W602" s="50">
        <f t="shared" si="644"/>
        <v>5.8180503822174656E-2</v>
      </c>
      <c r="X602" s="50">
        <f t="shared" si="644"/>
        <v>1.6841601504380785E-2</v>
      </c>
      <c r="Y602" s="50">
        <f t="shared" si="644"/>
        <v>3.1198693586008758E-2</v>
      </c>
      <c r="Z602" s="50">
        <f t="shared" si="644"/>
        <v>2.2813951453102027E-2</v>
      </c>
      <c r="AA602" s="50">
        <f t="shared" si="644"/>
        <v>1.9785443690914679E-2</v>
      </c>
      <c r="AB602" s="50">
        <f t="shared" si="644"/>
        <v>1.4651080672287198E-2</v>
      </c>
      <c r="AC602" s="50">
        <f t="shared" si="644"/>
        <v>1.0468682247634274E-2</v>
      </c>
      <c r="AD602" s="50">
        <f t="shared" si="644"/>
        <v>1.7154512918385881E-2</v>
      </c>
      <c r="AE602" s="50"/>
      <c r="AF602" s="50">
        <f>AF66/$F$66</f>
        <v>0</v>
      </c>
      <c r="AG602" s="50"/>
      <c r="AH602" s="50">
        <f>AH66/$F$66</f>
        <v>0</v>
      </c>
      <c r="AI602" s="50"/>
      <c r="AJ602" s="50">
        <f>AJ66/$F$66</f>
        <v>0</v>
      </c>
      <c r="AK602" s="47">
        <f t="shared" si="635"/>
        <v>1.0000000000000002</v>
      </c>
      <c r="AL602" s="30" t="str">
        <f t="shared" si="636"/>
        <v>ok</v>
      </c>
    </row>
    <row r="603" spans="1:38" x14ac:dyDescent="0.25">
      <c r="A603" s="29" t="s">
        <v>414</v>
      </c>
      <c r="D603" s="105" t="s">
        <v>981</v>
      </c>
      <c r="E603" s="13"/>
      <c r="F603" s="46">
        <v>1</v>
      </c>
      <c r="H603" s="50">
        <f>H508/$F$508</f>
        <v>0.32645611508796141</v>
      </c>
      <c r="I603" s="50">
        <f t="shared" ref="I603:AJ603" si="645">I508/$F$508</f>
        <v>0</v>
      </c>
      <c r="J603" s="50">
        <f t="shared" si="645"/>
        <v>0</v>
      </c>
      <c r="K603" s="50">
        <f t="shared" si="645"/>
        <v>0.22557364031637547</v>
      </c>
      <c r="L603" s="50">
        <f t="shared" si="645"/>
        <v>0</v>
      </c>
      <c r="M603" s="50">
        <f t="shared" si="645"/>
        <v>0</v>
      </c>
      <c r="N603" s="50"/>
      <c r="O603" s="50">
        <f t="shared" si="645"/>
        <v>6.3292837639612826E-2</v>
      </c>
      <c r="P603" s="50">
        <f t="shared" si="645"/>
        <v>0</v>
      </c>
      <c r="Q603" s="50">
        <f t="shared" si="645"/>
        <v>0</v>
      </c>
      <c r="R603" s="50"/>
      <c r="S603" s="50">
        <f t="shared" si="645"/>
        <v>0</v>
      </c>
      <c r="T603" s="50">
        <f t="shared" si="645"/>
        <v>2.9540427446041333E-2</v>
      </c>
      <c r="U603" s="50">
        <f t="shared" si="645"/>
        <v>0</v>
      </c>
      <c r="V603" s="50">
        <f t="shared" si="645"/>
        <v>2.4168014221456036E-2</v>
      </c>
      <c r="W603" s="50">
        <f t="shared" si="645"/>
        <v>4.5478424227007978E-2</v>
      </c>
      <c r="X603" s="50">
        <f t="shared" si="645"/>
        <v>1.316471064292369E-2</v>
      </c>
      <c r="Y603" s="50">
        <f t="shared" si="645"/>
        <v>2.4387334743088945E-2</v>
      </c>
      <c r="Z603" s="50">
        <f t="shared" si="645"/>
        <v>1.7833165653733898E-2</v>
      </c>
      <c r="AA603" s="50">
        <f t="shared" si="645"/>
        <v>1.5465847536233375E-2</v>
      </c>
      <c r="AB603" s="50">
        <f t="shared" si="645"/>
        <v>1.1452428535767353E-2</v>
      </c>
      <c r="AC603" s="50">
        <f t="shared" si="645"/>
        <v>8.1831393865345065E-3</v>
      </c>
      <c r="AD603" s="50">
        <f t="shared" si="645"/>
        <v>1.3409306634651296E-2</v>
      </c>
      <c r="AE603" s="50"/>
      <c r="AF603" s="50">
        <f t="shared" si="645"/>
        <v>0.16591918174743395</v>
      </c>
      <c r="AG603" s="50"/>
      <c r="AH603" s="50">
        <f t="shared" si="645"/>
        <v>1.5675426181177898E-2</v>
      </c>
      <c r="AI603" s="50"/>
      <c r="AJ603" s="50">
        <f t="shared" si="645"/>
        <v>0</v>
      </c>
      <c r="AK603" s="47">
        <f t="shared" si="635"/>
        <v>0.99999999999999989</v>
      </c>
      <c r="AL603" s="30" t="str">
        <f t="shared" si="636"/>
        <v>ok</v>
      </c>
    </row>
    <row r="604" spans="1:38" x14ac:dyDescent="0.25">
      <c r="A604" s="29" t="s">
        <v>1519</v>
      </c>
      <c r="D604" s="105" t="s">
        <v>1259</v>
      </c>
      <c r="E604" s="13"/>
      <c r="F604" s="46">
        <v>1</v>
      </c>
      <c r="H604" s="50">
        <f t="shared" ref="H604:M604" si="646">H309/$F$309</f>
        <v>9.8145225562942459E-2</v>
      </c>
      <c r="I604" s="50">
        <f t="shared" si="646"/>
        <v>0</v>
      </c>
      <c r="J604" s="50">
        <f t="shared" si="646"/>
        <v>0</v>
      </c>
      <c r="K604" s="50">
        <f t="shared" si="646"/>
        <v>0.71168234023552479</v>
      </c>
      <c r="L604" s="50">
        <f t="shared" si="646"/>
        <v>0</v>
      </c>
      <c r="M604" s="50">
        <f t="shared" si="646"/>
        <v>0</v>
      </c>
      <c r="N604" s="50"/>
      <c r="O604" s="50">
        <f>O309/$F$309</f>
        <v>5.9677241079357554E-2</v>
      </c>
      <c r="P604" s="50">
        <f>P309/$F$309</f>
        <v>0</v>
      </c>
      <c r="Q604" s="50">
        <f>Q309/$F$309</f>
        <v>0</v>
      </c>
      <c r="R604" s="50"/>
      <c r="S604" s="50">
        <f t="shared" ref="S604:AD604" si="647">S309/$F$309</f>
        <v>0</v>
      </c>
      <c r="T604" s="50">
        <f t="shared" si="647"/>
        <v>6.5331808181328744E-3</v>
      </c>
      <c r="U604" s="50">
        <f t="shared" si="647"/>
        <v>0</v>
      </c>
      <c r="V604" s="50">
        <f t="shared" si="647"/>
        <v>1.301036717287625E-2</v>
      </c>
      <c r="W604" s="50">
        <f t="shared" si="647"/>
        <v>2.1559759191666472E-2</v>
      </c>
      <c r="X604" s="50">
        <f t="shared" si="647"/>
        <v>7.1926536561796265E-3</v>
      </c>
      <c r="Y604" s="50">
        <f t="shared" si="647"/>
        <v>1.1879357365558034E-2</v>
      </c>
      <c r="Z604" s="50">
        <f t="shared" si="647"/>
        <v>1.0273644823907953E-3</v>
      </c>
      <c r="AA604" s="50">
        <f t="shared" si="647"/>
        <v>8.9098384197819141E-4</v>
      </c>
      <c r="AB604" s="50">
        <f t="shared" si="647"/>
        <v>6.1127998495332111E-4</v>
      </c>
      <c r="AC604" s="50">
        <f t="shared" si="647"/>
        <v>1.2551009866114389E-2</v>
      </c>
      <c r="AD604" s="50">
        <f t="shared" si="647"/>
        <v>7.1572948325015649E-4</v>
      </c>
      <c r="AE604" s="50"/>
      <c r="AF604" s="50">
        <f>AF309/$F$309</f>
        <v>4.8562902708431631E-2</v>
      </c>
      <c r="AG604" s="50"/>
      <c r="AH604" s="50">
        <f>AH309/$F$309</f>
        <v>5.9606045506433994E-3</v>
      </c>
      <c r="AI604" s="50"/>
      <c r="AJ604" s="50">
        <f>AJ309/$F$309</f>
        <v>0</v>
      </c>
      <c r="AK604" s="47">
        <f t="shared" si="635"/>
        <v>1</v>
      </c>
      <c r="AL604" s="30" t="str">
        <f t="shared" si="636"/>
        <v>ok</v>
      </c>
    </row>
    <row r="605" spans="1:38" x14ac:dyDescent="0.25">
      <c r="A605" s="29" t="s">
        <v>415</v>
      </c>
      <c r="D605" s="105" t="s">
        <v>683</v>
      </c>
      <c r="E605" s="13"/>
      <c r="F605" s="46">
        <v>1</v>
      </c>
      <c r="H605" s="50">
        <f t="shared" ref="H605:M605" si="648">H347/$F$347</f>
        <v>0.88655904967114096</v>
      </c>
      <c r="I605" s="50">
        <f t="shared" si="648"/>
        <v>0</v>
      </c>
      <c r="J605" s="50">
        <f t="shared" si="648"/>
        <v>0</v>
      </c>
      <c r="K605" s="50">
        <f t="shared" si="648"/>
        <v>0.11344095032885912</v>
      </c>
      <c r="L605" s="50">
        <f t="shared" si="648"/>
        <v>0</v>
      </c>
      <c r="M605" s="50">
        <f t="shared" si="648"/>
        <v>0</v>
      </c>
      <c r="N605" s="50"/>
      <c r="O605" s="50">
        <f>O347/$F$347</f>
        <v>0</v>
      </c>
      <c r="P605" s="50">
        <f>P347/$F$347</f>
        <v>0</v>
      </c>
      <c r="Q605" s="50">
        <f>Q347/$F$347</f>
        <v>0</v>
      </c>
      <c r="R605" s="50"/>
      <c r="S605" s="50">
        <f t="shared" ref="S605:AD605" si="649">S347/$F$347</f>
        <v>0</v>
      </c>
      <c r="T605" s="50">
        <f t="shared" si="649"/>
        <v>0</v>
      </c>
      <c r="U605" s="50">
        <f t="shared" si="649"/>
        <v>0</v>
      </c>
      <c r="V605" s="50">
        <f t="shared" si="649"/>
        <v>0</v>
      </c>
      <c r="W605" s="50">
        <f t="shared" si="649"/>
        <v>0</v>
      </c>
      <c r="X605" s="50">
        <f t="shared" si="649"/>
        <v>0</v>
      </c>
      <c r="Y605" s="50">
        <f t="shared" si="649"/>
        <v>0</v>
      </c>
      <c r="Z605" s="50">
        <f t="shared" si="649"/>
        <v>0</v>
      </c>
      <c r="AA605" s="50">
        <f t="shared" si="649"/>
        <v>0</v>
      </c>
      <c r="AB605" s="50">
        <f t="shared" si="649"/>
        <v>0</v>
      </c>
      <c r="AC605" s="50">
        <f t="shared" si="649"/>
        <v>0</v>
      </c>
      <c r="AD605" s="50">
        <f t="shared" si="649"/>
        <v>0</v>
      </c>
      <c r="AE605" s="50"/>
      <c r="AF605" s="50">
        <f>AF347/$F$347</f>
        <v>0</v>
      </c>
      <c r="AG605" s="50"/>
      <c r="AH605" s="50">
        <f>AH347/$F$347</f>
        <v>0</v>
      </c>
      <c r="AI605" s="50"/>
      <c r="AJ605" s="50">
        <f>AJ347/$F$347</f>
        <v>0</v>
      </c>
      <c r="AK605" s="47">
        <f t="shared" si="635"/>
        <v>1</v>
      </c>
      <c r="AL605" s="30" t="str">
        <f t="shared" si="636"/>
        <v>ok</v>
      </c>
    </row>
    <row r="606" spans="1:38" x14ac:dyDescent="0.25">
      <c r="A606" s="29" t="s">
        <v>416</v>
      </c>
      <c r="D606" s="105" t="s">
        <v>969</v>
      </c>
      <c r="E606" s="13"/>
      <c r="F606" s="46">
        <v>1</v>
      </c>
      <c r="H606" s="50">
        <f t="shared" ref="H606:M606" si="650">H356/$F$356</f>
        <v>8.0900359928495147E-2</v>
      </c>
      <c r="I606" s="50">
        <f t="shared" si="650"/>
        <v>0</v>
      </c>
      <c r="J606" s="50">
        <f t="shared" si="650"/>
        <v>0</v>
      </c>
      <c r="K606" s="50">
        <f t="shared" si="650"/>
        <v>0.91909964007150502</v>
      </c>
      <c r="L606" s="50">
        <f t="shared" si="650"/>
        <v>0</v>
      </c>
      <c r="M606" s="50">
        <f t="shared" si="650"/>
        <v>0</v>
      </c>
      <c r="N606" s="50"/>
      <c r="O606" s="50">
        <f>O356/$F$356</f>
        <v>0</v>
      </c>
      <c r="P606" s="50">
        <f>P356/$F$356</f>
        <v>0</v>
      </c>
      <c r="Q606" s="50">
        <f>Q356/$F$356</f>
        <v>0</v>
      </c>
      <c r="R606" s="50"/>
      <c r="S606" s="50">
        <f t="shared" ref="S606:AD606" si="651">S356/$F$356</f>
        <v>0</v>
      </c>
      <c r="T606" s="50">
        <f t="shared" si="651"/>
        <v>0</v>
      </c>
      <c r="U606" s="50">
        <f t="shared" si="651"/>
        <v>0</v>
      </c>
      <c r="V606" s="50">
        <f t="shared" si="651"/>
        <v>0</v>
      </c>
      <c r="W606" s="50">
        <f t="shared" si="651"/>
        <v>0</v>
      </c>
      <c r="X606" s="50">
        <f t="shared" si="651"/>
        <v>0</v>
      </c>
      <c r="Y606" s="50">
        <f t="shared" si="651"/>
        <v>0</v>
      </c>
      <c r="Z606" s="50">
        <f t="shared" si="651"/>
        <v>0</v>
      </c>
      <c r="AA606" s="50">
        <f t="shared" si="651"/>
        <v>0</v>
      </c>
      <c r="AB606" s="50">
        <f t="shared" si="651"/>
        <v>0</v>
      </c>
      <c r="AC606" s="50">
        <f t="shared" si="651"/>
        <v>0</v>
      </c>
      <c r="AD606" s="50">
        <f t="shared" si="651"/>
        <v>0</v>
      </c>
      <c r="AE606" s="50"/>
      <c r="AF606" s="50">
        <f>AF356/$F$356</f>
        <v>0</v>
      </c>
      <c r="AG606" s="50"/>
      <c r="AH606" s="50">
        <f>AH356/$F$356</f>
        <v>0</v>
      </c>
      <c r="AI606" s="50"/>
      <c r="AJ606" s="50">
        <f>AJ356/$F$356</f>
        <v>0</v>
      </c>
      <c r="AK606" s="47">
        <f t="shared" si="635"/>
        <v>1.0000000000000002</v>
      </c>
      <c r="AL606" s="30" t="str">
        <f t="shared" si="636"/>
        <v>ok</v>
      </c>
    </row>
    <row r="607" spans="1:38" x14ac:dyDescent="0.25">
      <c r="A607" s="29" t="s">
        <v>417</v>
      </c>
      <c r="D607" s="105" t="s">
        <v>686</v>
      </c>
      <c r="E607" s="13"/>
      <c r="F607" s="46">
        <v>1</v>
      </c>
      <c r="H607" s="50" t="e">
        <f t="shared" ref="H607:M607" si="652">H368/$F$368</f>
        <v>#DIV/0!</v>
      </c>
      <c r="I607" s="50" t="e">
        <f t="shared" si="652"/>
        <v>#DIV/0!</v>
      </c>
      <c r="J607" s="50" t="e">
        <f t="shared" si="652"/>
        <v>#DIV/0!</v>
      </c>
      <c r="K607" s="50" t="e">
        <f t="shared" si="652"/>
        <v>#DIV/0!</v>
      </c>
      <c r="L607" s="50" t="e">
        <f t="shared" si="652"/>
        <v>#DIV/0!</v>
      </c>
      <c r="M607" s="50" t="e">
        <f t="shared" si="652"/>
        <v>#DIV/0!</v>
      </c>
      <c r="N607" s="50"/>
      <c r="O607" s="50" t="e">
        <f>O368/$F$368</f>
        <v>#DIV/0!</v>
      </c>
      <c r="P607" s="50" t="e">
        <f>P368/$F$368</f>
        <v>#DIV/0!</v>
      </c>
      <c r="Q607" s="50" t="e">
        <f>Q368/$F$368</f>
        <v>#DIV/0!</v>
      </c>
      <c r="R607" s="50"/>
      <c r="S607" s="50" t="e">
        <f t="shared" ref="S607:AD607" si="653">S368/$F$368</f>
        <v>#DIV/0!</v>
      </c>
      <c r="T607" s="50" t="e">
        <f t="shared" si="653"/>
        <v>#DIV/0!</v>
      </c>
      <c r="U607" s="50" t="e">
        <f t="shared" si="653"/>
        <v>#DIV/0!</v>
      </c>
      <c r="V607" s="50" t="e">
        <f t="shared" si="653"/>
        <v>#DIV/0!</v>
      </c>
      <c r="W607" s="50" t="e">
        <f t="shared" si="653"/>
        <v>#DIV/0!</v>
      </c>
      <c r="X607" s="50" t="e">
        <f t="shared" si="653"/>
        <v>#DIV/0!</v>
      </c>
      <c r="Y607" s="50" t="e">
        <f t="shared" si="653"/>
        <v>#DIV/0!</v>
      </c>
      <c r="Z607" s="50" t="e">
        <f t="shared" si="653"/>
        <v>#DIV/0!</v>
      </c>
      <c r="AA607" s="50" t="e">
        <f t="shared" si="653"/>
        <v>#DIV/0!</v>
      </c>
      <c r="AB607" s="50" t="e">
        <f t="shared" si="653"/>
        <v>#DIV/0!</v>
      </c>
      <c r="AC607" s="50" t="e">
        <f t="shared" si="653"/>
        <v>#DIV/0!</v>
      </c>
      <c r="AD607" s="50" t="e">
        <f t="shared" si="653"/>
        <v>#DIV/0!</v>
      </c>
      <c r="AE607" s="50"/>
      <c r="AF607" s="50" t="e">
        <f>AF368/$F$368</f>
        <v>#DIV/0!</v>
      </c>
      <c r="AG607" s="50"/>
      <c r="AH607" s="50" t="e">
        <f>AH368/$F$368</f>
        <v>#DIV/0!</v>
      </c>
      <c r="AI607" s="50"/>
      <c r="AJ607" s="50" t="e">
        <f>AJ368/$F$368</f>
        <v>#DIV/0!</v>
      </c>
      <c r="AK607" s="47" t="e">
        <f t="shared" si="635"/>
        <v>#DIV/0!</v>
      </c>
      <c r="AL607" s="30" t="e">
        <f t="shared" si="636"/>
        <v>#DIV/0!</v>
      </c>
    </row>
    <row r="608" spans="1:38" x14ac:dyDescent="0.25">
      <c r="A608" s="29" t="s">
        <v>418</v>
      </c>
      <c r="D608" s="105" t="s">
        <v>687</v>
      </c>
      <c r="E608" s="13"/>
      <c r="F608" s="46">
        <v>1</v>
      </c>
      <c r="H608" s="50">
        <f t="shared" ref="H608:M608" si="654">H377/$F$377</f>
        <v>0.96458548195160654</v>
      </c>
      <c r="I608" s="50">
        <f t="shared" si="654"/>
        <v>0</v>
      </c>
      <c r="J608" s="50">
        <f t="shared" si="654"/>
        <v>0</v>
      </c>
      <c r="K608" s="50">
        <f t="shared" si="654"/>
        <v>3.541451804839349E-2</v>
      </c>
      <c r="L608" s="50">
        <f t="shared" si="654"/>
        <v>0</v>
      </c>
      <c r="M608" s="50">
        <f t="shared" si="654"/>
        <v>0</v>
      </c>
      <c r="N608" s="50"/>
      <c r="O608" s="50">
        <f>O377/$F$377</f>
        <v>0</v>
      </c>
      <c r="P608" s="50">
        <f>P377/$F$377</f>
        <v>0</v>
      </c>
      <c r="Q608" s="50">
        <f>Q377/$F$377</f>
        <v>0</v>
      </c>
      <c r="R608" s="50"/>
      <c r="S608" s="50">
        <f t="shared" ref="S608:AD608" si="655">S377/$F$377</f>
        <v>0</v>
      </c>
      <c r="T608" s="50">
        <f t="shared" si="655"/>
        <v>0</v>
      </c>
      <c r="U608" s="50">
        <f t="shared" si="655"/>
        <v>0</v>
      </c>
      <c r="V608" s="50">
        <f t="shared" si="655"/>
        <v>0</v>
      </c>
      <c r="W608" s="50">
        <f t="shared" si="655"/>
        <v>0</v>
      </c>
      <c r="X608" s="50">
        <f t="shared" si="655"/>
        <v>0</v>
      </c>
      <c r="Y608" s="50">
        <f t="shared" si="655"/>
        <v>0</v>
      </c>
      <c r="Z608" s="50">
        <f t="shared" si="655"/>
        <v>0</v>
      </c>
      <c r="AA608" s="50">
        <f t="shared" si="655"/>
        <v>0</v>
      </c>
      <c r="AB608" s="50">
        <f t="shared" si="655"/>
        <v>0</v>
      </c>
      <c r="AC608" s="50">
        <f t="shared" si="655"/>
        <v>0</v>
      </c>
      <c r="AD608" s="50">
        <f t="shared" si="655"/>
        <v>0</v>
      </c>
      <c r="AE608" s="50"/>
      <c r="AF608" s="50">
        <f>AF377/$F$377</f>
        <v>0</v>
      </c>
      <c r="AG608" s="50"/>
      <c r="AH608" s="50">
        <f>AH377/$F$377</f>
        <v>0</v>
      </c>
      <c r="AI608" s="50"/>
      <c r="AJ608" s="50">
        <f>AJ377/$F$377</f>
        <v>0</v>
      </c>
      <c r="AK608" s="47">
        <f t="shared" si="635"/>
        <v>1</v>
      </c>
      <c r="AL608" s="30" t="str">
        <f t="shared" si="636"/>
        <v>ok</v>
      </c>
    </row>
    <row r="609" spans="1:38" x14ac:dyDescent="0.25">
      <c r="A609" s="29" t="s">
        <v>419</v>
      </c>
      <c r="D609" s="105" t="s">
        <v>688</v>
      </c>
      <c r="E609" s="13"/>
      <c r="F609" s="46">
        <v>1</v>
      </c>
      <c r="H609" s="50">
        <f t="shared" ref="H609:M609" si="656">H390/$F$390</f>
        <v>1</v>
      </c>
      <c r="I609" s="50">
        <f t="shared" si="656"/>
        <v>0</v>
      </c>
      <c r="J609" s="50">
        <f t="shared" si="656"/>
        <v>0</v>
      </c>
      <c r="K609" s="50">
        <f t="shared" si="656"/>
        <v>0</v>
      </c>
      <c r="L609" s="50">
        <f t="shared" si="656"/>
        <v>0</v>
      </c>
      <c r="M609" s="50">
        <f t="shared" si="656"/>
        <v>0</v>
      </c>
      <c r="N609" s="50"/>
      <c r="O609" s="50">
        <f>O390/$F$390</f>
        <v>0</v>
      </c>
      <c r="P609" s="50">
        <f>P390/$F$390</f>
        <v>0</v>
      </c>
      <c r="Q609" s="50">
        <f>Q390/$F$390</f>
        <v>0</v>
      </c>
      <c r="R609" s="50"/>
      <c r="S609" s="50">
        <f t="shared" ref="S609:AD609" si="657">S390/$F$390</f>
        <v>0</v>
      </c>
      <c r="T609" s="50">
        <f t="shared" si="657"/>
        <v>0</v>
      </c>
      <c r="U609" s="50">
        <f t="shared" si="657"/>
        <v>0</v>
      </c>
      <c r="V609" s="50">
        <f t="shared" si="657"/>
        <v>0</v>
      </c>
      <c r="W609" s="50">
        <f t="shared" si="657"/>
        <v>0</v>
      </c>
      <c r="X609" s="50">
        <f t="shared" si="657"/>
        <v>0</v>
      </c>
      <c r="Y609" s="50">
        <f t="shared" si="657"/>
        <v>0</v>
      </c>
      <c r="Z609" s="50">
        <f t="shared" si="657"/>
        <v>0</v>
      </c>
      <c r="AA609" s="50">
        <f t="shared" si="657"/>
        <v>0</v>
      </c>
      <c r="AB609" s="50">
        <f t="shared" si="657"/>
        <v>0</v>
      </c>
      <c r="AC609" s="50">
        <f t="shared" si="657"/>
        <v>0</v>
      </c>
      <c r="AD609" s="50">
        <f t="shared" si="657"/>
        <v>0</v>
      </c>
      <c r="AE609" s="50"/>
      <c r="AF609" s="50">
        <f>AF390/$F$390</f>
        <v>0</v>
      </c>
      <c r="AG609" s="50"/>
      <c r="AH609" s="50">
        <f>AH390/$F$390</f>
        <v>0</v>
      </c>
      <c r="AI609" s="50"/>
      <c r="AJ609" s="50">
        <f>AJ390/$F$390</f>
        <v>0</v>
      </c>
      <c r="AK609" s="47">
        <f t="shared" si="635"/>
        <v>1</v>
      </c>
      <c r="AL609" s="30" t="str">
        <f t="shared" si="636"/>
        <v>ok</v>
      </c>
    </row>
    <row r="610" spans="1:38" x14ac:dyDescent="0.25">
      <c r="A610" s="29" t="s">
        <v>986</v>
      </c>
      <c r="D610" s="105" t="s">
        <v>689</v>
      </c>
      <c r="E610" s="13"/>
      <c r="F610" s="46">
        <v>1</v>
      </c>
      <c r="H610" s="51">
        <f t="shared" ref="H610:M610" si="658">H425/$F$425</f>
        <v>0</v>
      </c>
      <c r="I610" s="51">
        <f t="shared" si="658"/>
        <v>0</v>
      </c>
      <c r="J610" s="51">
        <f t="shared" si="658"/>
        <v>0</v>
      </c>
      <c r="K610" s="51">
        <f t="shared" si="658"/>
        <v>0</v>
      </c>
      <c r="L610" s="51">
        <f t="shared" si="658"/>
        <v>0</v>
      </c>
      <c r="M610" s="51">
        <f t="shared" si="658"/>
        <v>0</v>
      </c>
      <c r="N610" s="51"/>
      <c r="O610" s="51">
        <f>O425/$F$425</f>
        <v>1</v>
      </c>
      <c r="P610" s="51">
        <f>P425/$F$425</f>
        <v>0</v>
      </c>
      <c r="Q610" s="51">
        <f>Q425/$F$425</f>
        <v>0</v>
      </c>
      <c r="R610" s="51"/>
      <c r="S610" s="51">
        <f t="shared" ref="S610:AD610" si="659">S425/$F$425</f>
        <v>0</v>
      </c>
      <c r="T610" s="51">
        <f t="shared" si="659"/>
        <v>0</v>
      </c>
      <c r="U610" s="51">
        <f t="shared" si="659"/>
        <v>0</v>
      </c>
      <c r="V610" s="51">
        <f t="shared" si="659"/>
        <v>0</v>
      </c>
      <c r="W610" s="51">
        <f t="shared" si="659"/>
        <v>0</v>
      </c>
      <c r="X610" s="51">
        <f t="shared" si="659"/>
        <v>0</v>
      </c>
      <c r="Y610" s="51">
        <f t="shared" si="659"/>
        <v>0</v>
      </c>
      <c r="Z610" s="51">
        <f t="shared" si="659"/>
        <v>0</v>
      </c>
      <c r="AA610" s="51">
        <f t="shared" si="659"/>
        <v>0</v>
      </c>
      <c r="AB610" s="51">
        <f t="shared" si="659"/>
        <v>0</v>
      </c>
      <c r="AC610" s="51">
        <f t="shared" si="659"/>
        <v>0</v>
      </c>
      <c r="AD610" s="51">
        <f t="shared" si="659"/>
        <v>0</v>
      </c>
      <c r="AE610" s="51"/>
      <c r="AF610" s="51">
        <f>AF425/$F$425</f>
        <v>0</v>
      </c>
      <c r="AG610" s="51"/>
      <c r="AH610" s="51">
        <f>AH425/$F$425</f>
        <v>0</v>
      </c>
      <c r="AI610" s="51"/>
      <c r="AJ610" s="51">
        <f>AJ425/$F$425</f>
        <v>0</v>
      </c>
      <c r="AK610" s="47">
        <f t="shared" si="635"/>
        <v>1</v>
      </c>
      <c r="AL610" s="30" t="str">
        <f t="shared" si="636"/>
        <v>ok</v>
      </c>
    </row>
    <row r="611" spans="1:38" x14ac:dyDescent="0.25">
      <c r="A611" s="29" t="s">
        <v>989</v>
      </c>
      <c r="D611" s="105" t="s">
        <v>946</v>
      </c>
      <c r="E611" s="13"/>
      <c r="F611" s="46">
        <v>1</v>
      </c>
      <c r="H611" s="50">
        <f t="shared" ref="H611:M611" si="660">H440/$F$440</f>
        <v>0</v>
      </c>
      <c r="I611" s="50">
        <f t="shared" si="660"/>
        <v>0</v>
      </c>
      <c r="J611" s="50">
        <f t="shared" si="660"/>
        <v>0</v>
      </c>
      <c r="K611" s="50">
        <f t="shared" si="660"/>
        <v>0</v>
      </c>
      <c r="L611" s="50">
        <f t="shared" si="660"/>
        <v>0</v>
      </c>
      <c r="M611" s="50">
        <f t="shared" si="660"/>
        <v>0</v>
      </c>
      <c r="N611" s="50"/>
      <c r="O611" s="50">
        <f>O440/$F$440</f>
        <v>0</v>
      </c>
      <c r="P611" s="50">
        <f>P440/$F$440</f>
        <v>0</v>
      </c>
      <c r="Q611" s="50">
        <f>Q440/$F$440</f>
        <v>0</v>
      </c>
      <c r="R611" s="50"/>
      <c r="S611" s="50">
        <f t="shared" ref="S611:AD611" si="661">S440/$F$440</f>
        <v>0</v>
      </c>
      <c r="T611" s="50">
        <f t="shared" si="661"/>
        <v>0.15580967921964403</v>
      </c>
      <c r="U611" s="50">
        <f t="shared" si="661"/>
        <v>0</v>
      </c>
      <c r="V611" s="50">
        <f t="shared" si="661"/>
        <v>8.2567374047937181E-2</v>
      </c>
      <c r="W611" s="50">
        <f t="shared" si="661"/>
        <v>0.1416164878855353</v>
      </c>
      <c r="X611" s="50">
        <f t="shared" si="661"/>
        <v>4.5473251223567636E-2</v>
      </c>
      <c r="Y611" s="50">
        <f t="shared" si="661"/>
        <v>7.7437811871433754E-2</v>
      </c>
      <c r="Z611" s="50">
        <f t="shared" si="661"/>
        <v>2.3348187298868252E-2</v>
      </c>
      <c r="AA611" s="50">
        <f t="shared" si="661"/>
        <v>2.0248760765372582E-2</v>
      </c>
      <c r="AB611" s="50">
        <f t="shared" si="661"/>
        <v>1.4994166020322528E-2</v>
      </c>
      <c r="AC611" s="50">
        <f t="shared" si="661"/>
        <v>0.42094806035849897</v>
      </c>
      <c r="AD611" s="50">
        <f t="shared" si="661"/>
        <v>1.7556221308819727E-2</v>
      </c>
      <c r="AE611" s="50"/>
      <c r="AF611" s="50">
        <f>AF440/$F$440</f>
        <v>0</v>
      </c>
      <c r="AG611" s="50"/>
      <c r="AH611" s="50">
        <f>AH440/$F$440</f>
        <v>0</v>
      </c>
      <c r="AI611" s="50"/>
      <c r="AJ611" s="50">
        <f>AJ440/$F$440</f>
        <v>0</v>
      </c>
      <c r="AK611" s="47">
        <f t="shared" si="635"/>
        <v>1</v>
      </c>
      <c r="AL611" s="30" t="str">
        <f t="shared" si="636"/>
        <v>ok</v>
      </c>
    </row>
    <row r="612" spans="1:38" x14ac:dyDescent="0.25">
      <c r="A612" s="29" t="s">
        <v>991</v>
      </c>
      <c r="D612" s="105" t="s">
        <v>955</v>
      </c>
      <c r="E612" s="13"/>
      <c r="F612" s="46">
        <v>1</v>
      </c>
      <c r="H612" s="50">
        <f t="shared" ref="H612:M612" si="662">H456/$F$456</f>
        <v>0</v>
      </c>
      <c r="I612" s="50">
        <f t="shared" si="662"/>
        <v>0</v>
      </c>
      <c r="J612" s="50">
        <f t="shared" si="662"/>
        <v>0</v>
      </c>
      <c r="K612" s="50">
        <f t="shared" si="662"/>
        <v>0</v>
      </c>
      <c r="L612" s="50">
        <f t="shared" si="662"/>
        <v>0</v>
      </c>
      <c r="M612" s="50">
        <f t="shared" si="662"/>
        <v>0</v>
      </c>
      <c r="N612" s="50"/>
      <c r="O612" s="50">
        <f>O456/$F$456</f>
        <v>0</v>
      </c>
      <c r="P612" s="50">
        <f>P456/$F$456</f>
        <v>0</v>
      </c>
      <c r="Q612" s="50">
        <f>Q456/$F$456</f>
        <v>0</v>
      </c>
      <c r="R612" s="50"/>
      <c r="S612" s="50">
        <f t="shared" ref="S612:AD612" si="663">S456/$F$456</f>
        <v>0</v>
      </c>
      <c r="T612" s="50">
        <f t="shared" si="663"/>
        <v>7.4955899228581715E-2</v>
      </c>
      <c r="U612" s="50">
        <f t="shared" si="663"/>
        <v>0</v>
      </c>
      <c r="V612" s="50">
        <f t="shared" si="663"/>
        <v>0.22215721096632804</v>
      </c>
      <c r="W612" s="50">
        <f t="shared" si="663"/>
        <v>0.36950373229898198</v>
      </c>
      <c r="X612" s="50">
        <f t="shared" si="663"/>
        <v>0.12276816690070697</v>
      </c>
      <c r="Y612" s="50">
        <f t="shared" si="663"/>
        <v>0.20342696103571015</v>
      </c>
      <c r="Z612" s="50">
        <f t="shared" si="663"/>
        <v>3.7549299557945105E-3</v>
      </c>
      <c r="AA612" s="50">
        <f t="shared" si="663"/>
        <v>3.2564702943469865E-3</v>
      </c>
      <c r="AB612" s="50">
        <f t="shared" si="663"/>
        <v>6.1214777982511963E-5</v>
      </c>
      <c r="AC612" s="50">
        <f t="shared" si="663"/>
        <v>4.3739985731602296E-5</v>
      </c>
      <c r="AD612" s="50">
        <f t="shared" si="663"/>
        <v>7.1674555835558792E-5</v>
      </c>
      <c r="AE612" s="50"/>
      <c r="AF612" s="50">
        <f>AF456/$F$456</f>
        <v>0</v>
      </c>
      <c r="AG612" s="50"/>
      <c r="AH612" s="50">
        <f>AH456/$F$456</f>
        <v>0</v>
      </c>
      <c r="AI612" s="50"/>
      <c r="AJ612" s="50">
        <f>AJ456/$F$456</f>
        <v>0</v>
      </c>
      <c r="AK612" s="47">
        <f t="shared" si="635"/>
        <v>0.99999999999999989</v>
      </c>
      <c r="AL612" s="30" t="str">
        <f t="shared" si="636"/>
        <v>ok</v>
      </c>
    </row>
    <row r="613" spans="1:38" x14ac:dyDescent="0.25">
      <c r="A613" s="29" t="s">
        <v>278</v>
      </c>
      <c r="D613" s="13" t="s">
        <v>692</v>
      </c>
      <c r="E613" s="13"/>
      <c r="F613" s="46">
        <v>1</v>
      </c>
      <c r="H613" s="50">
        <f>H487/$F$487</f>
        <v>0.3251592502430895</v>
      </c>
      <c r="I613" s="50">
        <f t="shared" ref="I613:AJ613" si="664">I487/$F$487</f>
        <v>0</v>
      </c>
      <c r="J613" s="50">
        <f t="shared" si="664"/>
        <v>0</v>
      </c>
      <c r="K613" s="50">
        <f t="shared" si="664"/>
        <v>0.22663892598624694</v>
      </c>
      <c r="L613" s="50">
        <f t="shared" si="664"/>
        <v>0</v>
      </c>
      <c r="M613" s="50">
        <f t="shared" si="664"/>
        <v>0</v>
      </c>
      <c r="N613" s="50"/>
      <c r="O613" s="50">
        <f t="shared" si="664"/>
        <v>6.2934219109072889E-2</v>
      </c>
      <c r="P613" s="50">
        <f t="shared" si="664"/>
        <v>0</v>
      </c>
      <c r="Q613" s="50">
        <f t="shared" si="664"/>
        <v>0</v>
      </c>
      <c r="R613" s="50"/>
      <c r="S613" s="50">
        <f t="shared" si="664"/>
        <v>0</v>
      </c>
      <c r="T613" s="50">
        <f t="shared" si="664"/>
        <v>2.950153227754615E-2</v>
      </c>
      <c r="U613" s="50">
        <f t="shared" si="664"/>
        <v>0</v>
      </c>
      <c r="V613" s="50">
        <f t="shared" si="664"/>
        <v>2.4136192779905991E-2</v>
      </c>
      <c r="W613" s="50">
        <f t="shared" si="664"/>
        <v>4.5418543882472136E-2</v>
      </c>
      <c r="X613" s="50">
        <f t="shared" si="664"/>
        <v>1.3147376985867367E-2</v>
      </c>
      <c r="Y613" s="50">
        <f t="shared" si="664"/>
        <v>2.4355224527496649E-2</v>
      </c>
      <c r="Z613" s="50">
        <f t="shared" si="664"/>
        <v>1.7809685154537621E-2</v>
      </c>
      <c r="AA613" s="50">
        <f t="shared" si="664"/>
        <v>1.5445484027718089E-2</v>
      </c>
      <c r="AB613" s="50">
        <f t="shared" si="664"/>
        <v>1.1437349399272411E-2</v>
      </c>
      <c r="AC613" s="50">
        <f t="shared" si="664"/>
        <v>8.1723648442283657E-3</v>
      </c>
      <c r="AD613" s="50">
        <f t="shared" si="664"/>
        <v>1.3391650923950732E-2</v>
      </c>
      <c r="AE613" s="50"/>
      <c r="AF613" s="50">
        <f t="shared" si="664"/>
        <v>0.16670274549373176</v>
      </c>
      <c r="AG613" s="50"/>
      <c r="AH613" s="50">
        <f t="shared" si="664"/>
        <v>1.5749454364863351E-2</v>
      </c>
      <c r="AI613" s="50"/>
      <c r="AJ613" s="50">
        <f t="shared" si="664"/>
        <v>0</v>
      </c>
      <c r="AK613" s="47">
        <f t="shared" si="635"/>
        <v>0.99999999999999989</v>
      </c>
      <c r="AL613" s="30" t="str">
        <f t="shared" si="636"/>
        <v>ok</v>
      </c>
    </row>
    <row r="614" spans="1:38" x14ac:dyDescent="0.25">
      <c r="A614" s="29" t="s">
        <v>173</v>
      </c>
      <c r="D614" s="13" t="s">
        <v>174</v>
      </c>
      <c r="E614" s="13"/>
      <c r="F614" s="46">
        <v>1</v>
      </c>
      <c r="H614" s="50">
        <f>H57/$F$57</f>
        <v>0.601066515217897</v>
      </c>
      <c r="I614" s="50">
        <f t="shared" ref="I614:AJ614" si="665">I57/$F$57</f>
        <v>0</v>
      </c>
      <c r="J614" s="50">
        <f t="shared" si="665"/>
        <v>0</v>
      </c>
      <c r="K614" s="50">
        <f t="shared" si="665"/>
        <v>0</v>
      </c>
      <c r="L614" s="50">
        <f t="shared" si="665"/>
        <v>0</v>
      </c>
      <c r="M614" s="50">
        <f t="shared" si="665"/>
        <v>0</v>
      </c>
      <c r="N614" s="50"/>
      <c r="O614" s="50">
        <f t="shared" si="665"/>
        <v>0.1392301094031238</v>
      </c>
      <c r="P614" s="50">
        <f t="shared" si="665"/>
        <v>0</v>
      </c>
      <c r="Q614" s="50">
        <f t="shared" si="665"/>
        <v>0</v>
      </c>
      <c r="R614" s="50"/>
      <c r="S614" s="50">
        <f t="shared" si="665"/>
        <v>0</v>
      </c>
      <c r="T614" s="50">
        <f t="shared" si="665"/>
        <v>3.7776457457818692E-2</v>
      </c>
      <c r="U614" s="50">
        <f t="shared" si="665"/>
        <v>0</v>
      </c>
      <c r="V614" s="50">
        <f t="shared" si="665"/>
        <v>3.0906186538581668E-2</v>
      </c>
      <c r="W614" s="50">
        <f t="shared" si="665"/>
        <v>5.8158053440436119E-2</v>
      </c>
      <c r="X614" s="50">
        <f t="shared" si="665"/>
        <v>1.6835102757240036E-2</v>
      </c>
      <c r="Y614" s="50">
        <f t="shared" si="665"/>
        <v>3.1186654800939274E-2</v>
      </c>
      <c r="Z614" s="50">
        <f t="shared" si="665"/>
        <v>2.2805148127495702E-2</v>
      </c>
      <c r="AA614" s="50">
        <f t="shared" si="665"/>
        <v>1.9777808989690965E-2</v>
      </c>
      <c r="AB614" s="50">
        <f t="shared" si="665"/>
        <v>1.4645427191612981E-2</v>
      </c>
      <c r="AC614" s="50">
        <f t="shared" si="665"/>
        <v>1.0464642648501941E-2</v>
      </c>
      <c r="AD614" s="50">
        <f t="shared" si="665"/>
        <v>1.7147893426661755E-2</v>
      </c>
      <c r="AE614" s="50"/>
      <c r="AF614" s="50">
        <f t="shared" si="665"/>
        <v>0</v>
      </c>
      <c r="AG614" s="50"/>
      <c r="AH614" s="50">
        <f t="shared" si="665"/>
        <v>0</v>
      </c>
      <c r="AI614" s="50"/>
      <c r="AJ614" s="50">
        <f t="shared" si="665"/>
        <v>0</v>
      </c>
      <c r="AK614" s="47">
        <f t="shared" si="635"/>
        <v>0.99999999999999978</v>
      </c>
      <c r="AL614" s="30" t="str">
        <f t="shared" si="636"/>
        <v>ok</v>
      </c>
    </row>
    <row r="615" spans="1:38" x14ac:dyDescent="0.25">
      <c r="A615" s="29" t="s">
        <v>1444</v>
      </c>
      <c r="D615" s="105" t="s">
        <v>1445</v>
      </c>
      <c r="E615" s="13"/>
      <c r="F615" s="46">
        <v>1</v>
      </c>
      <c r="H615" s="50">
        <f>H26/$F$26</f>
        <v>1</v>
      </c>
      <c r="I615" s="50">
        <f t="shared" ref="I615:AJ615" si="666">I26/$F$26</f>
        <v>0</v>
      </c>
      <c r="J615" s="50">
        <f t="shared" si="666"/>
        <v>0</v>
      </c>
      <c r="K615" s="50">
        <f t="shared" si="666"/>
        <v>0</v>
      </c>
      <c r="L615" s="50">
        <f t="shared" si="666"/>
        <v>0</v>
      </c>
      <c r="M615" s="50">
        <f t="shared" si="666"/>
        <v>0</v>
      </c>
      <c r="N615" s="50"/>
      <c r="O615" s="50">
        <f t="shared" si="666"/>
        <v>0</v>
      </c>
      <c r="P615" s="50">
        <f t="shared" si="666"/>
        <v>0</v>
      </c>
      <c r="Q615" s="50">
        <f t="shared" si="666"/>
        <v>0</v>
      </c>
      <c r="R615" s="50"/>
      <c r="S615" s="50">
        <f t="shared" si="666"/>
        <v>0</v>
      </c>
      <c r="T615" s="50">
        <f t="shared" si="666"/>
        <v>0</v>
      </c>
      <c r="U615" s="50">
        <f t="shared" si="666"/>
        <v>0</v>
      </c>
      <c r="V615" s="50">
        <f t="shared" si="666"/>
        <v>0</v>
      </c>
      <c r="W615" s="50">
        <f t="shared" si="666"/>
        <v>0</v>
      </c>
      <c r="X615" s="50">
        <f t="shared" si="666"/>
        <v>0</v>
      </c>
      <c r="Y615" s="50">
        <f t="shared" si="666"/>
        <v>0</v>
      </c>
      <c r="Z615" s="50">
        <f t="shared" si="666"/>
        <v>0</v>
      </c>
      <c r="AA615" s="50">
        <f t="shared" si="666"/>
        <v>0</v>
      </c>
      <c r="AB615" s="50">
        <f t="shared" si="666"/>
        <v>0</v>
      </c>
      <c r="AC615" s="50">
        <f t="shared" si="666"/>
        <v>0</v>
      </c>
      <c r="AD615" s="50">
        <f t="shared" si="666"/>
        <v>0</v>
      </c>
      <c r="AE615" s="50"/>
      <c r="AF615" s="50">
        <f t="shared" si="666"/>
        <v>0</v>
      </c>
      <c r="AG615" s="50"/>
      <c r="AH615" s="50">
        <f t="shared" si="666"/>
        <v>0</v>
      </c>
      <c r="AI615" s="50"/>
      <c r="AJ615" s="50">
        <f t="shared" si="666"/>
        <v>0</v>
      </c>
      <c r="AK615" s="47">
        <f t="shared" si="635"/>
        <v>1</v>
      </c>
      <c r="AL615" s="30" t="str">
        <f t="shared" si="636"/>
        <v>ok</v>
      </c>
    </row>
    <row r="616" spans="1:38" x14ac:dyDescent="0.25">
      <c r="A616" s="29" t="s">
        <v>110</v>
      </c>
      <c r="D616" s="105" t="s">
        <v>111</v>
      </c>
      <c r="E616" s="13"/>
      <c r="F616" s="46">
        <v>1</v>
      </c>
      <c r="H616" s="50">
        <f>H12/$F$12</f>
        <v>0.601066515217897</v>
      </c>
      <c r="I616" s="50">
        <f t="shared" ref="I616:AJ616" si="667">I12/$F$12</f>
        <v>0</v>
      </c>
      <c r="J616" s="50">
        <f t="shared" si="667"/>
        <v>0</v>
      </c>
      <c r="K616" s="50">
        <f t="shared" si="667"/>
        <v>0</v>
      </c>
      <c r="L616" s="50">
        <f t="shared" si="667"/>
        <v>0</v>
      </c>
      <c r="M616" s="50">
        <f t="shared" si="667"/>
        <v>0</v>
      </c>
      <c r="N616" s="50"/>
      <c r="O616" s="50">
        <f t="shared" si="667"/>
        <v>0.1392301094031238</v>
      </c>
      <c r="P616" s="50">
        <f t="shared" si="667"/>
        <v>0</v>
      </c>
      <c r="Q616" s="50">
        <f t="shared" si="667"/>
        <v>0</v>
      </c>
      <c r="R616" s="50"/>
      <c r="S616" s="50">
        <f t="shared" si="667"/>
        <v>0</v>
      </c>
      <c r="T616" s="50">
        <f t="shared" si="667"/>
        <v>3.7776457457818692E-2</v>
      </c>
      <c r="U616" s="50">
        <f t="shared" si="667"/>
        <v>0</v>
      </c>
      <c r="V616" s="50">
        <f t="shared" si="667"/>
        <v>3.0906186538581671E-2</v>
      </c>
      <c r="W616" s="50">
        <f t="shared" si="667"/>
        <v>5.8158053440436119E-2</v>
      </c>
      <c r="X616" s="50">
        <f t="shared" si="667"/>
        <v>1.6835102757240036E-2</v>
      </c>
      <c r="Y616" s="50">
        <f t="shared" si="667"/>
        <v>3.1186654800939271E-2</v>
      </c>
      <c r="Z616" s="50">
        <f t="shared" si="667"/>
        <v>2.2805148127495702E-2</v>
      </c>
      <c r="AA616" s="50">
        <f t="shared" si="667"/>
        <v>1.9777808989690962E-2</v>
      </c>
      <c r="AB616" s="50">
        <f t="shared" si="667"/>
        <v>1.464542719161298E-2</v>
      </c>
      <c r="AC616" s="50">
        <f t="shared" si="667"/>
        <v>1.0464642648501939E-2</v>
      </c>
      <c r="AD616" s="50">
        <f t="shared" si="667"/>
        <v>1.7147893426661755E-2</v>
      </c>
      <c r="AE616" s="50"/>
      <c r="AF616" s="50">
        <f t="shared" si="667"/>
        <v>0</v>
      </c>
      <c r="AG616" s="50"/>
      <c r="AH616" s="50">
        <f t="shared" si="667"/>
        <v>0</v>
      </c>
      <c r="AI616" s="50"/>
      <c r="AJ616" s="50">
        <f t="shared" si="667"/>
        <v>0</v>
      </c>
      <c r="AK616" s="47">
        <f t="shared" si="635"/>
        <v>0.99999999999999978</v>
      </c>
      <c r="AL616" s="30" t="str">
        <f t="shared" si="636"/>
        <v>ok</v>
      </c>
    </row>
    <row r="617" spans="1:38" x14ac:dyDescent="0.25">
      <c r="D617" s="105"/>
      <c r="E617" s="13"/>
    </row>
  </sheetData>
  <autoFilter ref="C1:C616"/>
  <mergeCells count="4">
    <mergeCell ref="X2:Y2"/>
    <mergeCell ref="Z2:AA2"/>
    <mergeCell ref="H2:J2"/>
    <mergeCell ref="U2:W2"/>
  </mergeCells>
  <phoneticPr fontId="0" type="noConversion"/>
  <pageMargins left="0.5" right="0.25" top="1.75" bottom="0.25" header="0.81" footer="0.5"/>
  <pageSetup scale="45" fitToWidth="3" pageOrder="overThenDown" orientation="landscape" horizontalDpi="300" verticalDpi="300" r:id="rId1"/>
  <headerFooter alignWithMargins="0">
    <oddHeader>&amp;C&amp;"Times New Roman,Bold"&amp;12KENTUCKY UTILITIES COMPANY
Cost of Service Study
Functional Assignment and Classification
12 Months Ended April 30, 2020
LOLP METHODOLOGY&amp;R&amp;"Times New Roman,Bold"&amp;12Exhibit WSS-26
Page &amp;P of &amp;N</oddHeader>
  </headerFooter>
  <rowBreaks count="14" manualBreakCount="14">
    <brk id="52" max="16383" man="1"/>
    <brk id="89" max="16383" man="1"/>
    <brk id="148" min="5" max="35" man="1"/>
    <brk id="193" min="5" max="35" man="1"/>
    <brk id="228" min="5" max="35" man="1"/>
    <brk id="264" min="5" max="35" man="1"/>
    <brk id="313" min="5" max="35" man="1"/>
    <brk id="336" max="16383" man="1"/>
    <brk id="380" min="5" max="35" man="1"/>
    <brk id="410" min="5" max="35" man="1"/>
    <brk id="442" min="5" max="35" man="1"/>
    <brk id="488" min="5" max="35" man="1"/>
    <brk id="512" max="16383" man="1"/>
    <brk id="560" max="16383" man="1"/>
  </rowBreaks>
  <colBreaks count="1" manualBreakCount="1">
    <brk id="25" min="4" max="60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971"/>
  <sheetViews>
    <sheetView view="pageBreakPreview" topLeftCell="A2" zoomScale="85" zoomScaleNormal="100" zoomScaleSheetLayoutView="85" workbookViewId="0">
      <selection activeCell="A2" sqref="A2"/>
    </sheetView>
  </sheetViews>
  <sheetFormatPr defaultColWidth="9.109375" defaultRowHeight="12" customHeight="1" x14ac:dyDescent="0.25"/>
  <cols>
    <col min="1" max="1" width="7.6640625" style="29" customWidth="1"/>
    <col min="2" max="2" width="25.88671875" style="29" customWidth="1"/>
    <col min="3" max="3" width="12.5546875" style="29" customWidth="1"/>
    <col min="4" max="4" width="11.88671875" style="29" customWidth="1"/>
    <col min="5" max="5" width="16.33203125" style="29" bestFit="1" customWidth="1"/>
    <col min="6" max="6" width="19.44140625" style="29" customWidth="1"/>
    <col min="7" max="7" width="24.33203125" style="29" bestFit="1" customWidth="1"/>
    <col min="8" max="9" width="20.44140625" style="29" customWidth="1"/>
    <col min="10" max="11" width="19.88671875" style="29" customWidth="1"/>
    <col min="12" max="12" width="23.6640625" style="29" customWidth="1"/>
    <col min="13" max="14" width="20.109375" style="29" customWidth="1"/>
    <col min="15" max="15" width="21.109375" style="29" customWidth="1"/>
    <col min="16" max="16" width="19.88671875" style="29" customWidth="1"/>
    <col min="17" max="17" width="21.109375" style="29" bestFit="1" customWidth="1"/>
    <col min="18" max="21" width="17.6640625" style="29" customWidth="1"/>
    <col min="22" max="22" width="18" style="29" hidden="1" customWidth="1"/>
    <col min="23" max="23" width="19.109375" style="29" customWidth="1"/>
    <col min="24" max="24" width="16.88671875" style="29" customWidth="1"/>
    <col min="25" max="25" width="25.5546875" style="29" customWidth="1"/>
    <col min="26" max="26" width="15.88671875" style="29" bestFit="1" customWidth="1"/>
    <col min="27" max="27" width="25.88671875" style="29" bestFit="1" customWidth="1"/>
    <col min="28" max="29" width="10.33203125" style="29" bestFit="1" customWidth="1"/>
    <col min="30" max="30" width="11.6640625" style="29" bestFit="1" customWidth="1"/>
    <col min="31" max="31" width="21.6640625" style="29" customWidth="1"/>
    <col min="32" max="32" width="20.5546875" style="29" customWidth="1"/>
    <col min="33" max="33" width="13.88671875" style="29" customWidth="1"/>
    <col min="34" max="16384" width="9.109375" style="29"/>
  </cols>
  <sheetData>
    <row r="1" spans="1:26" ht="12" hidden="1" customHeight="1" x14ac:dyDescent="0.25">
      <c r="A1" s="27"/>
      <c r="B1" s="27"/>
      <c r="C1" s="27"/>
      <c r="D1" s="27">
        <v>1</v>
      </c>
      <c r="E1" s="27">
        <f>D1+1</f>
        <v>2</v>
      </c>
      <c r="F1" s="27">
        <f t="shared" ref="F1:V1" si="0">E1+1</f>
        <v>3</v>
      </c>
      <c r="G1" s="27">
        <f t="shared" si="0"/>
        <v>4</v>
      </c>
      <c r="H1" s="27">
        <f t="shared" si="0"/>
        <v>5</v>
      </c>
      <c r="I1" s="27">
        <f t="shared" si="0"/>
        <v>6</v>
      </c>
      <c r="J1" s="27">
        <f t="shared" si="0"/>
        <v>7</v>
      </c>
      <c r="K1" s="27">
        <f t="shared" si="0"/>
        <v>8</v>
      </c>
      <c r="L1" s="27">
        <f t="shared" si="0"/>
        <v>9</v>
      </c>
      <c r="M1" s="27">
        <f t="shared" si="0"/>
        <v>10</v>
      </c>
      <c r="N1" s="27">
        <f t="shared" si="0"/>
        <v>11</v>
      </c>
      <c r="O1" s="27">
        <f t="shared" si="0"/>
        <v>12</v>
      </c>
      <c r="P1" s="27">
        <f t="shared" si="0"/>
        <v>13</v>
      </c>
      <c r="Q1" s="27">
        <f>P1+1</f>
        <v>14</v>
      </c>
      <c r="R1" s="27">
        <f t="shared" si="0"/>
        <v>15</v>
      </c>
      <c r="S1" s="27">
        <f t="shared" si="0"/>
        <v>16</v>
      </c>
      <c r="T1" s="27">
        <f t="shared" si="0"/>
        <v>17</v>
      </c>
      <c r="U1" s="27">
        <f t="shared" si="0"/>
        <v>18</v>
      </c>
      <c r="V1" s="27">
        <f t="shared" si="0"/>
        <v>19</v>
      </c>
    </row>
    <row r="2" spans="1:26" s="65" customFormat="1" ht="28.95" customHeight="1" x14ac:dyDescent="0.25">
      <c r="A2" s="61"/>
      <c r="B2" s="61"/>
      <c r="C2" s="61"/>
      <c r="D2" s="62"/>
      <c r="E2" s="63" t="s">
        <v>374</v>
      </c>
      <c r="F2" s="5" t="s">
        <v>62</v>
      </c>
      <c r="G2" s="64" t="s">
        <v>1448</v>
      </c>
      <c r="H2" s="64" t="s">
        <v>2050</v>
      </c>
      <c r="I2" s="64" t="s">
        <v>2063</v>
      </c>
      <c r="J2" s="64" t="s">
        <v>1754</v>
      </c>
      <c r="K2" s="64" t="s">
        <v>1754</v>
      </c>
      <c r="L2" s="64" t="s">
        <v>1757</v>
      </c>
      <c r="M2" s="64" t="s">
        <v>1757</v>
      </c>
      <c r="N2" s="64" t="s">
        <v>1759</v>
      </c>
      <c r="O2" s="64" t="s">
        <v>2005</v>
      </c>
      <c r="P2" s="64" t="s">
        <v>2008</v>
      </c>
      <c r="Q2" s="64" t="s">
        <v>2009</v>
      </c>
      <c r="R2" s="89" t="s">
        <v>2013</v>
      </c>
      <c r="S2" s="89" t="s">
        <v>2199</v>
      </c>
      <c r="T2" s="89" t="s">
        <v>2194</v>
      </c>
      <c r="U2" s="89" t="s">
        <v>2195</v>
      </c>
      <c r="V2" s="89"/>
      <c r="X2" s="61"/>
      <c r="Y2" s="11"/>
    </row>
    <row r="3" spans="1:26" ht="17.25" customHeight="1" thickBot="1" x14ac:dyDescent="0.3">
      <c r="A3" s="6" t="s">
        <v>99</v>
      </c>
      <c r="B3" s="6"/>
      <c r="C3" s="7" t="s">
        <v>1589</v>
      </c>
      <c r="D3" s="8" t="s">
        <v>100</v>
      </c>
      <c r="E3" s="8" t="s">
        <v>101</v>
      </c>
      <c r="F3" s="2" t="s">
        <v>102</v>
      </c>
      <c r="G3" s="7" t="s">
        <v>1707</v>
      </c>
      <c r="H3" s="7" t="s">
        <v>2061</v>
      </c>
      <c r="I3" s="7" t="s">
        <v>2064</v>
      </c>
      <c r="J3" s="7" t="s">
        <v>1755</v>
      </c>
      <c r="K3" s="7" t="s">
        <v>1756</v>
      </c>
      <c r="L3" s="7" t="s">
        <v>1758</v>
      </c>
      <c r="M3" s="88" t="s">
        <v>2012</v>
      </c>
      <c r="N3" s="189" t="s">
        <v>2196</v>
      </c>
      <c r="O3" s="7" t="s">
        <v>2007</v>
      </c>
      <c r="P3" s="189" t="s">
        <v>2197</v>
      </c>
      <c r="Q3" s="7" t="s">
        <v>2006</v>
      </c>
      <c r="R3" s="88" t="s">
        <v>2014</v>
      </c>
      <c r="S3" s="7" t="s">
        <v>2198</v>
      </c>
      <c r="T3" s="189" t="s">
        <v>2200</v>
      </c>
      <c r="U3" s="189" t="s">
        <v>2201</v>
      </c>
      <c r="V3" s="189" t="s">
        <v>2062</v>
      </c>
      <c r="W3" s="2" t="s">
        <v>106</v>
      </c>
      <c r="X3" s="2" t="s">
        <v>107</v>
      </c>
      <c r="Y3" s="2" t="s">
        <v>792</v>
      </c>
    </row>
    <row r="5" spans="1:26" ht="12" customHeight="1" x14ac:dyDescent="0.25">
      <c r="A5" s="3" t="s">
        <v>108</v>
      </c>
    </row>
    <row r="7" spans="1:26" ht="12" customHeight="1" x14ac:dyDescent="0.25">
      <c r="A7" s="4" t="s">
        <v>137</v>
      </c>
    </row>
    <row r="8" spans="1:26" ht="12" customHeight="1" x14ac:dyDescent="0.25">
      <c r="A8" s="39" t="s">
        <v>2133</v>
      </c>
      <c r="C8" s="29" t="s">
        <v>176</v>
      </c>
      <c r="D8" s="29" t="s">
        <v>138</v>
      </c>
      <c r="E8" s="29" t="s">
        <v>2216</v>
      </c>
      <c r="F8" s="32">
        <f>VLOOKUP(C8,'WSS-26'!$C$1:$AU$617,6,)</f>
        <v>4640065359.6988649</v>
      </c>
      <c r="G8" s="32">
        <f t="shared" ref="G8:V13" si="1">IF(VLOOKUP($E8,$D$5:$V$970,3,)=0,0,(VLOOKUP($E8,$D$5:$V$970,G$1,)/VLOOKUP($E8,$D$5:$V$970,3,))*$F8)</f>
        <v>1919356253.6339631</v>
      </c>
      <c r="H8" s="32">
        <f t="shared" si="1"/>
        <v>435361973.91238195</v>
      </c>
      <c r="I8" s="32">
        <f t="shared" si="1"/>
        <v>29426980.003630739</v>
      </c>
      <c r="J8" s="32">
        <f t="shared" si="1"/>
        <v>482065201.0804376</v>
      </c>
      <c r="K8" s="32">
        <f t="shared" si="1"/>
        <v>33295340.02488758</v>
      </c>
      <c r="L8" s="32">
        <f t="shared" si="1"/>
        <v>449729429.61157304</v>
      </c>
      <c r="M8" s="32">
        <f t="shared" si="1"/>
        <v>878426637.55972326</v>
      </c>
      <c r="N8" s="32">
        <f t="shared" si="1"/>
        <v>287662732.47613364</v>
      </c>
      <c r="O8" s="32">
        <f t="shared" si="1"/>
        <v>121318461.82166994</v>
      </c>
      <c r="P8" s="32">
        <f t="shared" si="1"/>
        <v>1763674.4847379541</v>
      </c>
      <c r="Q8" s="32">
        <f t="shared" si="1"/>
        <v>20115.696470598286</v>
      </c>
      <c r="R8" s="32">
        <f t="shared" si="1"/>
        <v>241738.24094981106</v>
      </c>
      <c r="S8" s="32">
        <f t="shared" si="1"/>
        <v>40754.752305828515</v>
      </c>
      <c r="T8" s="32">
        <f t="shared" si="1"/>
        <v>0</v>
      </c>
      <c r="U8" s="32">
        <f t="shared" si="1"/>
        <v>1356066.4000000001</v>
      </c>
      <c r="V8" s="32">
        <f t="shared" si="1"/>
        <v>0</v>
      </c>
      <c r="W8" s="34">
        <f>SUM(G8:V8)</f>
        <v>4640065359.6988649</v>
      </c>
      <c r="X8" s="30" t="str">
        <f t="shared" ref="X8" si="2">IF(ABS(F8-W8)&lt;0.01,"ok","err")</f>
        <v>ok</v>
      </c>
      <c r="Y8" s="66" t="str">
        <f t="shared" ref="Y8" si="3">IF(X8="err",W8-F8,"")</f>
        <v/>
      </c>
    </row>
    <row r="9" spans="1:26" ht="12" hidden="1" customHeight="1" x14ac:dyDescent="0.25">
      <c r="A9" s="39" t="s">
        <v>2134</v>
      </c>
      <c r="C9" s="29" t="s">
        <v>176</v>
      </c>
      <c r="D9" s="29" t="s">
        <v>139</v>
      </c>
      <c r="E9" s="29" t="s">
        <v>2132</v>
      </c>
      <c r="F9" s="33">
        <f>VLOOKUP(C9,'WSS-26'!$C$1:$AU$617,7,)</f>
        <v>0</v>
      </c>
      <c r="G9" s="32">
        <f t="shared" si="1"/>
        <v>0</v>
      </c>
      <c r="H9" s="32">
        <f t="shared" si="1"/>
        <v>0</v>
      </c>
      <c r="I9" s="32">
        <f t="shared" si="1"/>
        <v>0</v>
      </c>
      <c r="J9" s="32">
        <f t="shared" si="1"/>
        <v>0</v>
      </c>
      <c r="K9" s="32">
        <f t="shared" si="1"/>
        <v>0</v>
      </c>
      <c r="L9" s="32">
        <f t="shared" si="1"/>
        <v>0</v>
      </c>
      <c r="M9" s="32">
        <f t="shared" si="1"/>
        <v>0</v>
      </c>
      <c r="N9" s="32">
        <f t="shared" si="1"/>
        <v>0</v>
      </c>
      <c r="O9" s="32">
        <f t="shared" si="1"/>
        <v>0</v>
      </c>
      <c r="P9" s="32">
        <f t="shared" si="1"/>
        <v>0</v>
      </c>
      <c r="Q9" s="32">
        <f t="shared" si="1"/>
        <v>0</v>
      </c>
      <c r="R9" s="32">
        <f t="shared" si="1"/>
        <v>0</v>
      </c>
      <c r="S9" s="32">
        <f t="shared" si="1"/>
        <v>0</v>
      </c>
      <c r="T9" s="32">
        <f t="shared" si="1"/>
        <v>0</v>
      </c>
      <c r="U9" s="32">
        <f t="shared" si="1"/>
        <v>0</v>
      </c>
      <c r="V9" s="32">
        <f t="shared" si="1"/>
        <v>0</v>
      </c>
      <c r="W9" s="34">
        <f t="shared" ref="W9:W13" si="4">SUM(G9:V9)</f>
        <v>0</v>
      </c>
      <c r="X9" s="30" t="str">
        <f t="shared" ref="X9:X13" si="5">IF(ABS(F9-W9)&lt;0.01,"ok","err")</f>
        <v>ok</v>
      </c>
      <c r="Y9" s="66" t="str">
        <f t="shared" ref="Y9:Y13" si="6">IF(X9="err",W9-F9,"")</f>
        <v/>
      </c>
    </row>
    <row r="10" spans="1:26" ht="12" hidden="1" customHeight="1" x14ac:dyDescent="0.25">
      <c r="A10" s="39" t="s">
        <v>2134</v>
      </c>
      <c r="C10" s="29" t="s">
        <v>176</v>
      </c>
      <c r="D10" s="29" t="s">
        <v>140</v>
      </c>
      <c r="E10" s="29" t="s">
        <v>2132</v>
      </c>
      <c r="F10" s="33">
        <f>VLOOKUP(C10,'WSS-26'!$C$1:$AU$617,8,)</f>
        <v>0</v>
      </c>
      <c r="G10" s="32">
        <f t="shared" si="1"/>
        <v>0</v>
      </c>
      <c r="H10" s="32">
        <f t="shared" si="1"/>
        <v>0</v>
      </c>
      <c r="I10" s="32">
        <f t="shared" si="1"/>
        <v>0</v>
      </c>
      <c r="J10" s="32">
        <f t="shared" si="1"/>
        <v>0</v>
      </c>
      <c r="K10" s="32">
        <f t="shared" si="1"/>
        <v>0</v>
      </c>
      <c r="L10" s="32">
        <f t="shared" si="1"/>
        <v>0</v>
      </c>
      <c r="M10" s="32">
        <f t="shared" si="1"/>
        <v>0</v>
      </c>
      <c r="N10" s="32">
        <f t="shared" si="1"/>
        <v>0</v>
      </c>
      <c r="O10" s="32">
        <f t="shared" si="1"/>
        <v>0</v>
      </c>
      <c r="P10" s="32">
        <f t="shared" si="1"/>
        <v>0</v>
      </c>
      <c r="Q10" s="32">
        <f t="shared" si="1"/>
        <v>0</v>
      </c>
      <c r="R10" s="32">
        <f t="shared" si="1"/>
        <v>0</v>
      </c>
      <c r="S10" s="32">
        <f t="shared" si="1"/>
        <v>0</v>
      </c>
      <c r="T10" s="32">
        <f t="shared" si="1"/>
        <v>0</v>
      </c>
      <c r="U10" s="32">
        <f t="shared" si="1"/>
        <v>0</v>
      </c>
      <c r="V10" s="32">
        <f t="shared" si="1"/>
        <v>0</v>
      </c>
      <c r="W10" s="34">
        <f t="shared" si="4"/>
        <v>0</v>
      </c>
      <c r="X10" s="30" t="str">
        <f t="shared" si="5"/>
        <v>ok</v>
      </c>
      <c r="Y10" s="66" t="str">
        <f t="shared" si="6"/>
        <v/>
      </c>
      <c r="Z10" s="34"/>
    </row>
    <row r="11" spans="1:26" ht="12" customHeight="1" x14ac:dyDescent="0.25">
      <c r="A11" s="39" t="s">
        <v>2136</v>
      </c>
      <c r="C11" s="29" t="s">
        <v>176</v>
      </c>
      <c r="D11" s="29" t="s">
        <v>141</v>
      </c>
      <c r="E11" s="29" t="s">
        <v>376</v>
      </c>
      <c r="F11" s="33">
        <f>VLOOKUP(C11,'WSS-26'!$C$1:$AU$617,9,)</f>
        <v>0</v>
      </c>
      <c r="G11" s="32">
        <f t="shared" si="1"/>
        <v>0</v>
      </c>
      <c r="H11" s="32">
        <f t="shared" si="1"/>
        <v>0</v>
      </c>
      <c r="I11" s="32">
        <f t="shared" si="1"/>
        <v>0</v>
      </c>
      <c r="J11" s="32">
        <f t="shared" si="1"/>
        <v>0</v>
      </c>
      <c r="K11" s="32">
        <f t="shared" si="1"/>
        <v>0</v>
      </c>
      <c r="L11" s="32">
        <f t="shared" si="1"/>
        <v>0</v>
      </c>
      <c r="M11" s="32">
        <f t="shared" si="1"/>
        <v>0</v>
      </c>
      <c r="N11" s="32">
        <f t="shared" si="1"/>
        <v>0</v>
      </c>
      <c r="O11" s="32">
        <f t="shared" si="1"/>
        <v>0</v>
      </c>
      <c r="P11" s="32">
        <f t="shared" si="1"/>
        <v>0</v>
      </c>
      <c r="Q11" s="32">
        <f t="shared" si="1"/>
        <v>0</v>
      </c>
      <c r="R11" s="32">
        <f t="shared" si="1"/>
        <v>0</v>
      </c>
      <c r="S11" s="32">
        <f t="shared" si="1"/>
        <v>0</v>
      </c>
      <c r="T11" s="32">
        <f t="shared" si="1"/>
        <v>0</v>
      </c>
      <c r="U11" s="32">
        <f t="shared" si="1"/>
        <v>0</v>
      </c>
      <c r="V11" s="32">
        <f t="shared" si="1"/>
        <v>0</v>
      </c>
      <c r="W11" s="34">
        <f t="shared" si="4"/>
        <v>0</v>
      </c>
      <c r="X11" s="30" t="str">
        <f t="shared" si="5"/>
        <v>ok</v>
      </c>
      <c r="Y11" s="66" t="str">
        <f t="shared" si="6"/>
        <v/>
      </c>
    </row>
    <row r="12" spans="1:26" ht="12" hidden="1" customHeight="1" x14ac:dyDescent="0.25">
      <c r="A12" s="39" t="s">
        <v>2135</v>
      </c>
      <c r="C12" s="29" t="s">
        <v>176</v>
      </c>
      <c r="D12" s="29" t="s">
        <v>142</v>
      </c>
      <c r="E12" s="29" t="s">
        <v>376</v>
      </c>
      <c r="F12" s="33">
        <f>VLOOKUP(C12,'WSS-26'!$C$1:$AU$617,10,)</f>
        <v>0</v>
      </c>
      <c r="G12" s="32">
        <f t="shared" si="1"/>
        <v>0</v>
      </c>
      <c r="H12" s="32">
        <f t="shared" si="1"/>
        <v>0</v>
      </c>
      <c r="I12" s="32">
        <f t="shared" si="1"/>
        <v>0</v>
      </c>
      <c r="J12" s="32">
        <f t="shared" si="1"/>
        <v>0</v>
      </c>
      <c r="K12" s="32">
        <f t="shared" si="1"/>
        <v>0</v>
      </c>
      <c r="L12" s="32">
        <f t="shared" si="1"/>
        <v>0</v>
      </c>
      <c r="M12" s="32">
        <f t="shared" si="1"/>
        <v>0</v>
      </c>
      <c r="N12" s="32">
        <f t="shared" si="1"/>
        <v>0</v>
      </c>
      <c r="O12" s="32">
        <f t="shared" si="1"/>
        <v>0</v>
      </c>
      <c r="P12" s="32">
        <f t="shared" si="1"/>
        <v>0</v>
      </c>
      <c r="Q12" s="32">
        <f t="shared" si="1"/>
        <v>0</v>
      </c>
      <c r="R12" s="32">
        <f t="shared" si="1"/>
        <v>0</v>
      </c>
      <c r="S12" s="32">
        <f t="shared" si="1"/>
        <v>0</v>
      </c>
      <c r="T12" s="32">
        <f t="shared" si="1"/>
        <v>0</v>
      </c>
      <c r="U12" s="32">
        <f t="shared" si="1"/>
        <v>0</v>
      </c>
      <c r="V12" s="32">
        <f t="shared" si="1"/>
        <v>0</v>
      </c>
      <c r="W12" s="34">
        <f t="shared" si="4"/>
        <v>0</v>
      </c>
      <c r="X12" s="30" t="str">
        <f t="shared" si="5"/>
        <v>ok</v>
      </c>
      <c r="Y12" s="66" t="str">
        <f t="shared" si="6"/>
        <v/>
      </c>
    </row>
    <row r="13" spans="1:26" ht="12" hidden="1" customHeight="1" x14ac:dyDescent="0.25">
      <c r="A13" s="39" t="s">
        <v>2135</v>
      </c>
      <c r="C13" s="29" t="s">
        <v>176</v>
      </c>
      <c r="D13" s="29" t="s">
        <v>143</v>
      </c>
      <c r="E13" s="29" t="s">
        <v>376</v>
      </c>
      <c r="F13" s="33">
        <f>VLOOKUP(C13,'WSS-26'!$C$1:$AU$617,11,)</f>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0</v>
      </c>
      <c r="P13" s="32">
        <f t="shared" si="1"/>
        <v>0</v>
      </c>
      <c r="Q13" s="32">
        <f t="shared" si="1"/>
        <v>0</v>
      </c>
      <c r="R13" s="32">
        <f t="shared" si="1"/>
        <v>0</v>
      </c>
      <c r="S13" s="32">
        <f t="shared" si="1"/>
        <v>0</v>
      </c>
      <c r="T13" s="32">
        <f t="shared" si="1"/>
        <v>0</v>
      </c>
      <c r="U13" s="32">
        <f t="shared" si="1"/>
        <v>0</v>
      </c>
      <c r="V13" s="32">
        <f t="shared" si="1"/>
        <v>0</v>
      </c>
      <c r="W13" s="34">
        <f t="shared" si="4"/>
        <v>0</v>
      </c>
      <c r="X13" s="30" t="str">
        <f t="shared" si="5"/>
        <v>ok</v>
      </c>
      <c r="Y13" s="66" t="str">
        <f t="shared" si="6"/>
        <v/>
      </c>
    </row>
    <row r="14" spans="1:26" ht="12" customHeight="1" x14ac:dyDescent="0.25">
      <c r="A14" s="29" t="s">
        <v>160</v>
      </c>
      <c r="D14" s="29" t="s">
        <v>377</v>
      </c>
      <c r="F14" s="32">
        <f>SUM(F8:F13)</f>
        <v>4640065359.6988649</v>
      </c>
      <c r="G14" s="32">
        <f t="shared" ref="G14:O14" si="7">SUM(G8:G13)</f>
        <v>1919356253.6339631</v>
      </c>
      <c r="H14" s="32">
        <f t="shared" si="7"/>
        <v>435361973.91238195</v>
      </c>
      <c r="I14" s="32">
        <f>SUM(I8:I13)</f>
        <v>29426980.003630739</v>
      </c>
      <c r="J14" s="32">
        <f>SUM(J8:J13)</f>
        <v>482065201.0804376</v>
      </c>
      <c r="K14" s="32">
        <f>SUM(K8:K13)</f>
        <v>33295340.02488758</v>
      </c>
      <c r="L14" s="32">
        <f t="shared" si="7"/>
        <v>449729429.61157304</v>
      </c>
      <c r="M14" s="32">
        <f t="shared" si="7"/>
        <v>878426637.55972326</v>
      </c>
      <c r="N14" s="32">
        <f t="shared" si="7"/>
        <v>287662732.47613364</v>
      </c>
      <c r="O14" s="32">
        <f t="shared" si="7"/>
        <v>121318461.82166994</v>
      </c>
      <c r="P14" s="32">
        <f>SUM(P8:P13)</f>
        <v>1763674.4847379541</v>
      </c>
      <c r="Q14" s="32">
        <f>SUM(Q8:Q13)</f>
        <v>20115.696470598286</v>
      </c>
      <c r="R14" s="32">
        <f>SUM(R8:R13)</f>
        <v>241738.24094981106</v>
      </c>
      <c r="S14" s="32">
        <f>SUM(S8:S13)</f>
        <v>40754.752305828515</v>
      </c>
      <c r="T14" s="32">
        <f>SUM(T8:T13)</f>
        <v>0</v>
      </c>
      <c r="U14" s="32">
        <f t="shared" ref="U14:V14" si="8">SUM(U8:U13)</f>
        <v>1356066.4000000001</v>
      </c>
      <c r="V14" s="32">
        <f t="shared" si="8"/>
        <v>0</v>
      </c>
      <c r="W14" s="34">
        <f t="shared" ref="W14" si="9">SUM(G14:V14)</f>
        <v>4640065359.6988649</v>
      </c>
      <c r="X14" s="30" t="str">
        <f t="shared" ref="X14" si="10">IF(ABS(F14-W14)&lt;0.01,"ok","err")</f>
        <v>ok</v>
      </c>
      <c r="Y14" s="66" t="str">
        <f t="shared" ref="Y14" si="11">IF(X14="err",W14-F14,"")</f>
        <v/>
      </c>
    </row>
    <row r="15" spans="1:26" ht="12" customHeight="1" x14ac:dyDescent="0.25">
      <c r="F15" s="33"/>
      <c r="G15" s="67"/>
      <c r="H15" s="67"/>
      <c r="I15" s="67"/>
      <c r="J15" s="67"/>
      <c r="K15" s="67"/>
      <c r="L15" s="67"/>
      <c r="M15" s="67"/>
      <c r="N15" s="67"/>
    </row>
    <row r="16" spans="1:26" ht="12" customHeight="1" x14ac:dyDescent="0.25">
      <c r="A16" s="4" t="s">
        <v>426</v>
      </c>
      <c r="F16" s="33"/>
      <c r="G16" s="33"/>
    </row>
    <row r="17" spans="1:25" ht="12" customHeight="1" x14ac:dyDescent="0.25">
      <c r="A17" s="39" t="s">
        <v>2124</v>
      </c>
      <c r="C17" s="29" t="s">
        <v>176</v>
      </c>
      <c r="D17" s="29" t="s">
        <v>133</v>
      </c>
      <c r="E17" s="29" t="s">
        <v>2125</v>
      </c>
      <c r="F17" s="32">
        <f>VLOOKUP(C17,'WSS-26'!$C$1:$AU$617,13,)</f>
        <v>1074750283.2272704</v>
      </c>
      <c r="G17" s="32">
        <f t="shared" ref="G17:V19" si="12">IF(VLOOKUP($E17,$D$5:$V$970,3,)=0,0,(VLOOKUP($E17,$D$5:$V$970,G$1,)/VLOOKUP($E17,$D$5:$V$970,3,))*$F17)</f>
        <v>461663605.14433742</v>
      </c>
      <c r="H17" s="32">
        <f t="shared" si="12"/>
        <v>136188484.8621622</v>
      </c>
      <c r="I17" s="32">
        <f t="shared" si="12"/>
        <v>12045734.625885565</v>
      </c>
      <c r="J17" s="32">
        <f t="shared" si="12"/>
        <v>102747657.83982243</v>
      </c>
      <c r="K17" s="32">
        <f t="shared" si="12"/>
        <v>6807760.5654965527</v>
      </c>
      <c r="L17" s="32">
        <f t="shared" si="12"/>
        <v>81977172.925251558</v>
      </c>
      <c r="M17" s="32">
        <f t="shared" si="12"/>
        <v>175104351.49108061</v>
      </c>
      <c r="N17" s="32">
        <f t="shared" si="12"/>
        <v>56031224.426225692</v>
      </c>
      <c r="O17" s="32">
        <f t="shared" si="12"/>
        <v>34267576.264638349</v>
      </c>
      <c r="P17" s="32">
        <f t="shared" si="12"/>
        <v>7647912.0777645987</v>
      </c>
      <c r="Q17" s="32">
        <f t="shared" si="12"/>
        <v>90241.047489660035</v>
      </c>
      <c r="R17" s="32">
        <f t="shared" si="12"/>
        <v>49654.815702595806</v>
      </c>
      <c r="S17" s="32">
        <f t="shared" si="12"/>
        <v>128907.14141283007</v>
      </c>
      <c r="T17" s="32">
        <f t="shared" si="12"/>
        <v>0</v>
      </c>
      <c r="U17" s="32">
        <f t="shared" si="12"/>
        <v>0</v>
      </c>
      <c r="V17" s="32">
        <f t="shared" si="12"/>
        <v>0</v>
      </c>
      <c r="W17" s="34">
        <f t="shared" ref="W17:W19" si="13">SUM(G17:V17)</f>
        <v>1074750283.2272701</v>
      </c>
      <c r="X17" s="30" t="str">
        <f t="shared" ref="X17:X19" si="14">IF(ABS(F17-W17)&lt;0.01,"ok","err")</f>
        <v>ok</v>
      </c>
      <c r="Y17" s="66" t="str">
        <f t="shared" ref="Y17:Y19" si="15">IF(X17="err",W17-F17,"")</f>
        <v/>
      </c>
    </row>
    <row r="18" spans="1:25" ht="12" hidden="1" customHeight="1" x14ac:dyDescent="0.25">
      <c r="A18" s="39" t="s">
        <v>2123</v>
      </c>
      <c r="C18" s="29" t="s">
        <v>176</v>
      </c>
      <c r="D18" s="29" t="s">
        <v>134</v>
      </c>
      <c r="E18" s="29" t="s">
        <v>2125</v>
      </c>
      <c r="F18" s="33">
        <f>VLOOKUP(C18,'WSS-26'!$C$1:$AU$617,14,)</f>
        <v>0</v>
      </c>
      <c r="G18" s="32">
        <f t="shared" si="12"/>
        <v>0</v>
      </c>
      <c r="H18" s="32">
        <f t="shared" si="12"/>
        <v>0</v>
      </c>
      <c r="I18" s="32">
        <f t="shared" si="12"/>
        <v>0</v>
      </c>
      <c r="J18" s="32">
        <f t="shared" si="12"/>
        <v>0</v>
      </c>
      <c r="K18" s="32">
        <f t="shared" si="12"/>
        <v>0</v>
      </c>
      <c r="L18" s="32">
        <f t="shared" si="12"/>
        <v>0</v>
      </c>
      <c r="M18" s="32">
        <f t="shared" si="12"/>
        <v>0</v>
      </c>
      <c r="N18" s="32">
        <f t="shared" si="12"/>
        <v>0</v>
      </c>
      <c r="O18" s="32">
        <f t="shared" si="12"/>
        <v>0</v>
      </c>
      <c r="P18" s="32">
        <f t="shared" si="12"/>
        <v>0</v>
      </c>
      <c r="Q18" s="32">
        <f t="shared" si="12"/>
        <v>0</v>
      </c>
      <c r="R18" s="32">
        <f t="shared" si="12"/>
        <v>0</v>
      </c>
      <c r="S18" s="32">
        <f t="shared" si="12"/>
        <v>0</v>
      </c>
      <c r="T18" s="32">
        <f t="shared" si="12"/>
        <v>0</v>
      </c>
      <c r="U18" s="32">
        <f t="shared" si="12"/>
        <v>0</v>
      </c>
      <c r="V18" s="32">
        <f t="shared" si="12"/>
        <v>0</v>
      </c>
      <c r="W18" s="34">
        <f t="shared" si="13"/>
        <v>0</v>
      </c>
      <c r="X18" s="30" t="str">
        <f t="shared" si="14"/>
        <v>ok</v>
      </c>
      <c r="Y18" s="66" t="str">
        <f t="shared" si="15"/>
        <v/>
      </c>
    </row>
    <row r="19" spans="1:25" ht="12" hidden="1" customHeight="1" x14ac:dyDescent="0.25">
      <c r="A19" s="39" t="s">
        <v>2123</v>
      </c>
      <c r="C19" s="29" t="s">
        <v>176</v>
      </c>
      <c r="D19" s="29" t="s">
        <v>135</v>
      </c>
      <c r="E19" s="29" t="s">
        <v>2125</v>
      </c>
      <c r="F19" s="33">
        <f>VLOOKUP(C19,'WSS-26'!$C$1:$AU$617,15,)</f>
        <v>0</v>
      </c>
      <c r="G19" s="32">
        <f t="shared" si="12"/>
        <v>0</v>
      </c>
      <c r="H19" s="32">
        <f t="shared" si="12"/>
        <v>0</v>
      </c>
      <c r="I19" s="32">
        <f t="shared" si="12"/>
        <v>0</v>
      </c>
      <c r="J19" s="32">
        <f t="shared" si="12"/>
        <v>0</v>
      </c>
      <c r="K19" s="32">
        <f t="shared" si="12"/>
        <v>0</v>
      </c>
      <c r="L19" s="32">
        <f t="shared" si="12"/>
        <v>0</v>
      </c>
      <c r="M19" s="32">
        <f t="shared" si="12"/>
        <v>0</v>
      </c>
      <c r="N19" s="32">
        <f t="shared" si="12"/>
        <v>0</v>
      </c>
      <c r="O19" s="32">
        <f t="shared" si="12"/>
        <v>0</v>
      </c>
      <c r="P19" s="32">
        <f t="shared" si="12"/>
        <v>0</v>
      </c>
      <c r="Q19" s="32">
        <f t="shared" si="12"/>
        <v>0</v>
      </c>
      <c r="R19" s="32">
        <f t="shared" si="12"/>
        <v>0</v>
      </c>
      <c r="S19" s="32">
        <f t="shared" si="12"/>
        <v>0</v>
      </c>
      <c r="T19" s="32">
        <f t="shared" si="12"/>
        <v>0</v>
      </c>
      <c r="U19" s="32">
        <f t="shared" si="12"/>
        <v>0</v>
      </c>
      <c r="V19" s="32">
        <f t="shared" si="12"/>
        <v>0</v>
      </c>
      <c r="W19" s="34">
        <f t="shared" si="13"/>
        <v>0</v>
      </c>
      <c r="X19" s="30" t="str">
        <f t="shared" si="14"/>
        <v>ok</v>
      </c>
      <c r="Y19" s="66" t="str">
        <f t="shared" si="15"/>
        <v/>
      </c>
    </row>
    <row r="20" spans="1:25" ht="12" hidden="1" customHeight="1" x14ac:dyDescent="0.25">
      <c r="A20" s="29" t="s">
        <v>428</v>
      </c>
      <c r="D20" s="29" t="s">
        <v>136</v>
      </c>
      <c r="F20" s="32">
        <f t="shared" ref="F20:T20" si="16">SUM(F17:F19)</f>
        <v>1074750283.2272704</v>
      </c>
      <c r="G20" s="32">
        <f t="shared" si="16"/>
        <v>461663605.14433742</v>
      </c>
      <c r="H20" s="32">
        <f t="shared" si="16"/>
        <v>136188484.8621622</v>
      </c>
      <c r="I20" s="32">
        <f>SUM(I17:I19)</f>
        <v>12045734.625885565</v>
      </c>
      <c r="J20" s="32">
        <f>SUM(J17:J19)</f>
        <v>102747657.83982243</v>
      </c>
      <c r="K20" s="32">
        <f>SUM(K17:K19)</f>
        <v>6807760.5654965527</v>
      </c>
      <c r="L20" s="32">
        <f t="shared" si="16"/>
        <v>81977172.925251558</v>
      </c>
      <c r="M20" s="32">
        <f t="shared" si="16"/>
        <v>175104351.49108061</v>
      </c>
      <c r="N20" s="32">
        <f t="shared" si="16"/>
        <v>56031224.426225692</v>
      </c>
      <c r="O20" s="32">
        <f t="shared" si="16"/>
        <v>34267576.264638349</v>
      </c>
      <c r="P20" s="32">
        <f>SUM(P17:P19)</f>
        <v>7647912.0777645987</v>
      </c>
      <c r="Q20" s="32">
        <f t="shared" si="16"/>
        <v>90241.047489660035</v>
      </c>
      <c r="R20" s="32">
        <f t="shared" si="16"/>
        <v>49654.815702595806</v>
      </c>
      <c r="S20" s="32">
        <f t="shared" si="16"/>
        <v>128907.14141283007</v>
      </c>
      <c r="T20" s="32">
        <f t="shared" si="16"/>
        <v>0</v>
      </c>
      <c r="U20" s="32"/>
      <c r="V20" s="32"/>
      <c r="W20" s="34">
        <f>SUM(G20:V20)</f>
        <v>1074750283.2272701</v>
      </c>
      <c r="X20" s="30" t="str">
        <f>IF(ABS(F20-W20)&lt;0.01,"ok","err")</f>
        <v>ok</v>
      </c>
      <c r="Y20" s="66" t="str">
        <f>IF(X20="err",W20-F20,"")</f>
        <v/>
      </c>
    </row>
    <row r="21" spans="1:25" ht="12" customHeight="1" x14ac:dyDescent="0.25">
      <c r="F21" s="33"/>
      <c r="G21" s="67"/>
    </row>
    <row r="22" spans="1:25" ht="12" customHeight="1" x14ac:dyDescent="0.25">
      <c r="A22" s="4" t="s">
        <v>1593</v>
      </c>
      <c r="F22" s="33"/>
      <c r="G22" s="33"/>
    </row>
    <row r="23" spans="1:25" ht="12" customHeight="1" x14ac:dyDescent="0.25">
      <c r="A23" s="39" t="s">
        <v>145</v>
      </c>
      <c r="C23" s="29" t="s">
        <v>176</v>
      </c>
      <c r="D23" s="29" t="s">
        <v>148</v>
      </c>
      <c r="E23" s="29" t="s">
        <v>2129</v>
      </c>
      <c r="F23" s="32">
        <f>VLOOKUP(C23,'WSS-26'!$C$1:$AU$617,17,)</f>
        <v>0</v>
      </c>
      <c r="G23" s="32">
        <f t="shared" ref="G23:V23" si="17">IF(VLOOKUP($E23,$D$5:$V$970,3,)=0,0,(VLOOKUP($E23,$D$5:$V$970,G$1,)/VLOOKUP($E23,$D$5:$V$970,3,))*$F23)</f>
        <v>0</v>
      </c>
      <c r="H23" s="32">
        <f t="shared" si="17"/>
        <v>0</v>
      </c>
      <c r="I23" s="32">
        <f t="shared" si="17"/>
        <v>0</v>
      </c>
      <c r="J23" s="32">
        <f t="shared" si="17"/>
        <v>0</v>
      </c>
      <c r="K23" s="32">
        <f t="shared" si="17"/>
        <v>0</v>
      </c>
      <c r="L23" s="32">
        <f t="shared" si="17"/>
        <v>0</v>
      </c>
      <c r="M23" s="32">
        <f t="shared" si="17"/>
        <v>0</v>
      </c>
      <c r="N23" s="32">
        <f t="shared" si="17"/>
        <v>0</v>
      </c>
      <c r="O23" s="32">
        <f t="shared" si="17"/>
        <v>0</v>
      </c>
      <c r="P23" s="32">
        <f t="shared" si="17"/>
        <v>0</v>
      </c>
      <c r="Q23" s="32">
        <f t="shared" si="17"/>
        <v>0</v>
      </c>
      <c r="R23" s="32">
        <f t="shared" si="17"/>
        <v>0</v>
      </c>
      <c r="S23" s="32">
        <f t="shared" si="17"/>
        <v>0</v>
      </c>
      <c r="T23" s="32">
        <f t="shared" si="17"/>
        <v>0</v>
      </c>
      <c r="U23" s="32">
        <f t="shared" si="17"/>
        <v>0</v>
      </c>
      <c r="V23" s="32">
        <f t="shared" si="17"/>
        <v>0</v>
      </c>
      <c r="W23" s="34">
        <f>SUM(G23:V23)</f>
        <v>0</v>
      </c>
      <c r="X23" s="30" t="str">
        <f t="shared" ref="X23" si="18">IF(ABS(F23-W23)&lt;0.01,"ok","err")</f>
        <v>ok</v>
      </c>
      <c r="Y23" s="66" t="str">
        <f t="shared" ref="Y23" si="19">IF(X23="err",W23-F23,"")</f>
        <v/>
      </c>
    </row>
    <row r="24" spans="1:25" ht="12" customHeight="1" x14ac:dyDescent="0.25">
      <c r="F24" s="33"/>
    </row>
    <row r="25" spans="1:25" ht="12" customHeight="1" x14ac:dyDescent="0.25">
      <c r="A25" s="4" t="s">
        <v>1594</v>
      </c>
      <c r="F25" s="33"/>
      <c r="G25" s="33"/>
    </row>
    <row r="26" spans="1:25" ht="12" customHeight="1" x14ac:dyDescent="0.25">
      <c r="A26" s="39" t="s">
        <v>147</v>
      </c>
      <c r="C26" s="29" t="s">
        <v>176</v>
      </c>
      <c r="D26" s="29" t="s">
        <v>149</v>
      </c>
      <c r="E26" s="29" t="s">
        <v>2129</v>
      </c>
      <c r="F26" s="32">
        <f>VLOOKUP(C26,'WSS-26'!$C$1:$AU$617,18,)</f>
        <v>291772338.79042941</v>
      </c>
      <c r="G26" s="32">
        <f t="shared" ref="G26:V26" si="20">IF(VLOOKUP($E26,$D$5:$V$970,3,)=0,0,(VLOOKUP($E26,$D$5:$V$970,G$1,)/VLOOKUP($E26,$D$5:$V$970,3,))*$F26)</f>
        <v>136828144.60325956</v>
      </c>
      <c r="H26" s="32">
        <f t="shared" si="20"/>
        <v>40363627.308660761</v>
      </c>
      <c r="I26" s="32">
        <f t="shared" si="20"/>
        <v>3570122.2727484843</v>
      </c>
      <c r="J26" s="32">
        <f t="shared" si="20"/>
        <v>30452414.329169471</v>
      </c>
      <c r="K26" s="32">
        <f t="shared" si="20"/>
        <v>2017688.2836343627</v>
      </c>
      <c r="L26" s="32">
        <f t="shared" si="20"/>
        <v>24296445.173918027</v>
      </c>
      <c r="M26" s="32">
        <f t="shared" si="20"/>
        <v>51897535.910353623</v>
      </c>
      <c r="N26" s="32">
        <f t="shared" si="20"/>
        <v>0</v>
      </c>
      <c r="O26" s="32">
        <f t="shared" si="20"/>
        <v>0</v>
      </c>
      <c r="P26" s="32">
        <f t="shared" si="20"/>
        <v>2266692.9080585008</v>
      </c>
      <c r="Q26" s="32">
        <f t="shared" si="20"/>
        <v>26745.697424436155</v>
      </c>
      <c r="R26" s="32">
        <f t="shared" si="20"/>
        <v>14716.72496487742</v>
      </c>
      <c r="S26" s="32">
        <f t="shared" si="20"/>
        <v>38205.578237238449</v>
      </c>
      <c r="T26" s="32">
        <f t="shared" si="20"/>
        <v>0</v>
      </c>
      <c r="U26" s="32">
        <f t="shared" si="20"/>
        <v>0</v>
      </c>
      <c r="V26" s="32">
        <f t="shared" si="20"/>
        <v>0</v>
      </c>
      <c r="W26" s="34">
        <f>SUM(G26:V26)</f>
        <v>291772338.79042929</v>
      </c>
      <c r="X26" s="30" t="str">
        <f t="shared" ref="X26" si="21">IF(ABS(F26-W26)&lt;0.01,"ok","err")</f>
        <v>ok</v>
      </c>
      <c r="Y26" s="66" t="str">
        <f t="shared" ref="Y26" si="22">IF(X26="err",W26-F26,"")</f>
        <v/>
      </c>
    </row>
    <row r="27" spans="1:25" ht="12" customHeight="1" x14ac:dyDescent="0.25">
      <c r="F27" s="33"/>
    </row>
    <row r="28" spans="1:25" ht="12" customHeight="1" x14ac:dyDescent="0.25">
      <c r="A28" s="4" t="s">
        <v>146</v>
      </c>
      <c r="F28" s="33"/>
    </row>
    <row r="29" spans="1:25" ht="12" customHeight="1" x14ac:dyDescent="0.25">
      <c r="A29" s="39" t="s">
        <v>767</v>
      </c>
      <c r="C29" s="29" t="s">
        <v>176</v>
      </c>
      <c r="D29" s="29" t="s">
        <v>152</v>
      </c>
      <c r="E29" s="29" t="s">
        <v>2129</v>
      </c>
      <c r="F29" s="32">
        <f>VLOOKUP(C29,'WSS-26'!$C$1:$AU$617,19,)</f>
        <v>0</v>
      </c>
      <c r="G29" s="32">
        <f t="shared" ref="G29:V33" si="23">IF(VLOOKUP($E29,$D$5:$V$970,3,)=0,0,(VLOOKUP($E29,$D$5:$V$970,G$1,)/VLOOKUP($E29,$D$5:$V$970,3,))*$F29)</f>
        <v>0</v>
      </c>
      <c r="H29" s="32">
        <f t="shared" si="23"/>
        <v>0</v>
      </c>
      <c r="I29" s="32">
        <f t="shared" si="23"/>
        <v>0</v>
      </c>
      <c r="J29" s="32">
        <f t="shared" si="23"/>
        <v>0</v>
      </c>
      <c r="K29" s="32">
        <f t="shared" si="23"/>
        <v>0</v>
      </c>
      <c r="L29" s="32">
        <f t="shared" si="23"/>
        <v>0</v>
      </c>
      <c r="M29" s="32">
        <f t="shared" si="23"/>
        <v>0</v>
      </c>
      <c r="N29" s="32">
        <f t="shared" si="23"/>
        <v>0</v>
      </c>
      <c r="O29" s="32">
        <f t="shared" si="23"/>
        <v>0</v>
      </c>
      <c r="P29" s="32">
        <f t="shared" si="23"/>
        <v>0</v>
      </c>
      <c r="Q29" s="32">
        <f t="shared" si="23"/>
        <v>0</v>
      </c>
      <c r="R29" s="32">
        <f t="shared" si="23"/>
        <v>0</v>
      </c>
      <c r="S29" s="32">
        <f t="shared" si="23"/>
        <v>0</v>
      </c>
      <c r="T29" s="32">
        <f t="shared" si="23"/>
        <v>0</v>
      </c>
      <c r="U29" s="32">
        <f t="shared" si="23"/>
        <v>0</v>
      </c>
      <c r="V29" s="32">
        <f t="shared" si="23"/>
        <v>0</v>
      </c>
      <c r="W29" s="34">
        <f t="shared" ref="W29:W33" si="24">SUM(G29:V29)</f>
        <v>0</v>
      </c>
      <c r="X29" s="30" t="str">
        <f t="shared" ref="X29:X33" si="25">IF(ABS(F29-W29)&lt;0.01,"ok","err")</f>
        <v>ok</v>
      </c>
      <c r="Y29" s="66" t="str">
        <f t="shared" ref="Y29:Y33" si="26">IF(X29="err",W29-F29,"")</f>
        <v/>
      </c>
    </row>
    <row r="30" spans="1:25" ht="12" customHeight="1" x14ac:dyDescent="0.25">
      <c r="A30" s="39" t="s">
        <v>768</v>
      </c>
      <c r="C30" s="29" t="s">
        <v>176</v>
      </c>
      <c r="D30" s="29" t="s">
        <v>153</v>
      </c>
      <c r="E30" s="29" t="s">
        <v>2129</v>
      </c>
      <c r="F30" s="33">
        <f>VLOOKUP(C30,'WSS-26'!$C$1:$AU$617,20,)</f>
        <v>238708733.85955539</v>
      </c>
      <c r="G30" s="32">
        <f t="shared" si="23"/>
        <v>111943693.12046525</v>
      </c>
      <c r="H30" s="32">
        <f t="shared" si="23"/>
        <v>33022836.944628939</v>
      </c>
      <c r="I30" s="32">
        <f t="shared" si="23"/>
        <v>2920836.7420453466</v>
      </c>
      <c r="J30" s="32">
        <f t="shared" si="23"/>
        <v>24914141.270615436</v>
      </c>
      <c r="K30" s="32">
        <f t="shared" si="23"/>
        <v>1650738.4404782951</v>
      </c>
      <c r="L30" s="32">
        <f t="shared" si="23"/>
        <v>19877736.48728184</v>
      </c>
      <c r="M30" s="32">
        <f t="shared" si="23"/>
        <v>42459114.318199657</v>
      </c>
      <c r="N30" s="32">
        <f t="shared" si="23"/>
        <v>0</v>
      </c>
      <c r="O30" s="32">
        <f t="shared" si="23"/>
        <v>0</v>
      </c>
      <c r="P30" s="32">
        <f t="shared" si="23"/>
        <v>1854457.4731592981</v>
      </c>
      <c r="Q30" s="32">
        <f t="shared" si="23"/>
        <v>21881.551879952731</v>
      </c>
      <c r="R30" s="32">
        <f t="shared" si="23"/>
        <v>12040.246164145396</v>
      </c>
      <c r="S30" s="32">
        <f t="shared" si="23"/>
        <v>31257.264637186796</v>
      </c>
      <c r="T30" s="32">
        <f t="shared" si="23"/>
        <v>0</v>
      </c>
      <c r="U30" s="32">
        <f t="shared" si="23"/>
        <v>0</v>
      </c>
      <c r="V30" s="32">
        <f t="shared" si="23"/>
        <v>0</v>
      </c>
      <c r="W30" s="34">
        <f t="shared" si="24"/>
        <v>238708733.85955527</v>
      </c>
      <c r="X30" s="30" t="str">
        <f t="shared" si="25"/>
        <v>ok</v>
      </c>
      <c r="Y30" s="66" t="str">
        <f t="shared" si="26"/>
        <v/>
      </c>
    </row>
    <row r="31" spans="1:25" ht="12" customHeight="1" x14ac:dyDescent="0.25">
      <c r="A31" s="39" t="s">
        <v>769</v>
      </c>
      <c r="C31" s="29" t="s">
        <v>176</v>
      </c>
      <c r="D31" s="29" t="s">
        <v>154</v>
      </c>
      <c r="E31" s="29" t="s">
        <v>2303</v>
      </c>
      <c r="F31" s="33">
        <f>VLOOKUP(C31,'WSS-26'!$C$1:$AU$617,21,)</f>
        <v>449192762.20546526</v>
      </c>
      <c r="G31" s="32">
        <f t="shared" si="23"/>
        <v>358777298.67120284</v>
      </c>
      <c r="H31" s="32">
        <f t="shared" si="23"/>
        <v>69420157.193126425</v>
      </c>
      <c r="I31" s="32">
        <f t="shared" si="23"/>
        <v>458837.61195129942</v>
      </c>
      <c r="J31" s="32">
        <f t="shared" si="23"/>
        <v>3676456.9230004647</v>
      </c>
      <c r="K31" s="32">
        <f t="shared" si="23"/>
        <v>169391.66319349044</v>
      </c>
      <c r="L31" s="32">
        <f t="shared" si="23"/>
        <v>604826.91235601925</v>
      </c>
      <c r="M31" s="32">
        <f t="shared" si="23"/>
        <v>213227.92321700975</v>
      </c>
      <c r="N31" s="32">
        <f t="shared" si="23"/>
        <v>0</v>
      </c>
      <c r="O31" s="32">
        <f t="shared" si="23"/>
        <v>0</v>
      </c>
      <c r="P31" s="32">
        <f t="shared" si="23"/>
        <v>15795270.082465282</v>
      </c>
      <c r="Q31" s="32">
        <f t="shared" si="23"/>
        <v>2466.8688814585989</v>
      </c>
      <c r="R31" s="32">
        <f t="shared" si="23"/>
        <v>69894.618307993631</v>
      </c>
      <c r="S31" s="32">
        <f t="shared" si="23"/>
        <v>4933.7377629171979</v>
      </c>
      <c r="T31" s="32">
        <f t="shared" si="23"/>
        <v>0</v>
      </c>
      <c r="U31" s="32">
        <f t="shared" si="23"/>
        <v>0</v>
      </c>
      <c r="V31" s="32">
        <f t="shared" si="23"/>
        <v>0</v>
      </c>
      <c r="W31" s="34">
        <f t="shared" si="24"/>
        <v>449192762.2054652</v>
      </c>
      <c r="X31" s="30" t="str">
        <f t="shared" si="25"/>
        <v>ok</v>
      </c>
      <c r="Y31" s="66" t="str">
        <f t="shared" si="26"/>
        <v/>
      </c>
    </row>
    <row r="32" spans="1:25" ht="12" customHeight="1" x14ac:dyDescent="0.25">
      <c r="A32" s="39" t="s">
        <v>770</v>
      </c>
      <c r="C32" s="29" t="s">
        <v>176</v>
      </c>
      <c r="D32" s="29" t="s">
        <v>155</v>
      </c>
      <c r="E32" s="29" t="s">
        <v>709</v>
      </c>
      <c r="F32" s="33">
        <f>VLOOKUP(C32,'WSS-26'!$C$1:$AU$617,22,)</f>
        <v>130028531.94325872</v>
      </c>
      <c r="G32" s="32">
        <f t="shared" si="23"/>
        <v>101098229.2019562</v>
      </c>
      <c r="H32" s="32">
        <f t="shared" si="23"/>
        <v>26491834.805263527</v>
      </c>
      <c r="I32" s="32">
        <f t="shared" si="23"/>
        <v>1582834.2075663519</v>
      </c>
      <c r="J32" s="32">
        <f t="shared" si="23"/>
        <v>0</v>
      </c>
      <c r="K32" s="32">
        <f t="shared" si="23"/>
        <v>0</v>
      </c>
      <c r="L32" s="32">
        <f t="shared" si="23"/>
        <v>0</v>
      </c>
      <c r="M32" s="32">
        <f t="shared" si="23"/>
        <v>0</v>
      </c>
      <c r="N32" s="32">
        <f t="shared" si="23"/>
        <v>0</v>
      </c>
      <c r="O32" s="32">
        <f t="shared" si="23"/>
        <v>0</v>
      </c>
      <c r="P32" s="32">
        <f t="shared" si="23"/>
        <v>840263.59865836333</v>
      </c>
      <c r="Q32" s="32">
        <f t="shared" si="23"/>
        <v>9914.6363790998494</v>
      </c>
      <c r="R32" s="32">
        <f t="shared" si="23"/>
        <v>5455.4934351672337</v>
      </c>
      <c r="S32" s="32">
        <f t="shared" si="23"/>
        <v>0</v>
      </c>
      <c r="T32" s="32">
        <f t="shared" si="23"/>
        <v>0</v>
      </c>
      <c r="U32" s="32">
        <f t="shared" si="23"/>
        <v>0</v>
      </c>
      <c r="V32" s="32">
        <f t="shared" si="23"/>
        <v>0</v>
      </c>
      <c r="W32" s="34">
        <f t="shared" si="24"/>
        <v>130028531.94325872</v>
      </c>
      <c r="X32" s="30" t="str">
        <f t="shared" si="25"/>
        <v>ok</v>
      </c>
      <c r="Y32" s="66" t="str">
        <f t="shared" si="26"/>
        <v/>
      </c>
    </row>
    <row r="33" spans="1:25" ht="12" customHeight="1" x14ac:dyDescent="0.25">
      <c r="A33" s="39" t="s">
        <v>771</v>
      </c>
      <c r="C33" s="29" t="s">
        <v>176</v>
      </c>
      <c r="D33" s="29" t="s">
        <v>156</v>
      </c>
      <c r="E33" s="29" t="s">
        <v>2302</v>
      </c>
      <c r="F33" s="33">
        <f>VLOOKUP(C33,'WSS-26'!$C$1:$AU$617,23,)</f>
        <v>240874974.0623574</v>
      </c>
      <c r="G33" s="32">
        <f t="shared" si="23"/>
        <v>194411296.31584689</v>
      </c>
      <c r="H33" s="32">
        <f t="shared" si="23"/>
        <v>37616824.699753031</v>
      </c>
      <c r="I33" s="32">
        <f t="shared" si="23"/>
        <v>248631.15717828303</v>
      </c>
      <c r="J33" s="32">
        <f t="shared" si="23"/>
        <v>0</v>
      </c>
      <c r="K33" s="32">
        <f t="shared" si="23"/>
        <v>0</v>
      </c>
      <c r="L33" s="32">
        <f t="shared" si="23"/>
        <v>0</v>
      </c>
      <c r="M33" s="32">
        <f t="shared" si="23"/>
        <v>0</v>
      </c>
      <c r="N33" s="32">
        <f t="shared" si="23"/>
        <v>0</v>
      </c>
      <c r="O33" s="32">
        <f t="shared" si="23"/>
        <v>0</v>
      </c>
      <c r="P33" s="32">
        <f t="shared" si="23"/>
        <v>8559011.2411353197</v>
      </c>
      <c r="Q33" s="32">
        <f t="shared" si="23"/>
        <v>1336.7266514961455</v>
      </c>
      <c r="R33" s="32">
        <f t="shared" si="23"/>
        <v>37873.921792390785</v>
      </c>
      <c r="S33" s="32">
        <f t="shared" si="23"/>
        <v>0</v>
      </c>
      <c r="T33" s="32">
        <f t="shared" si="23"/>
        <v>0</v>
      </c>
      <c r="U33" s="32">
        <f t="shared" si="23"/>
        <v>0</v>
      </c>
      <c r="V33" s="32">
        <f t="shared" si="23"/>
        <v>0</v>
      </c>
      <c r="W33" s="34">
        <f t="shared" si="24"/>
        <v>240874974.0623574</v>
      </c>
      <c r="X33" s="30" t="str">
        <f t="shared" si="25"/>
        <v>ok</v>
      </c>
      <c r="Y33" s="66" t="str">
        <f t="shared" si="26"/>
        <v/>
      </c>
    </row>
    <row r="34" spans="1:25" ht="12" customHeight="1" x14ac:dyDescent="0.25">
      <c r="A34" s="29" t="s">
        <v>151</v>
      </c>
      <c r="D34" s="29" t="s">
        <v>157</v>
      </c>
      <c r="F34" s="32">
        <f>SUM(F29:F33)</f>
        <v>1058805002.0706369</v>
      </c>
      <c r="G34" s="32">
        <f t="shared" ref="G34:T34" si="27">SUM(G29:G33)</f>
        <v>766230517.30947113</v>
      </c>
      <c r="H34" s="32">
        <f t="shared" si="27"/>
        <v>166551653.6427719</v>
      </c>
      <c r="I34" s="32">
        <f>SUM(I29:I33)</f>
        <v>5211139.718741281</v>
      </c>
      <c r="J34" s="32">
        <f>SUM(J29:J33)</f>
        <v>28590598.193615902</v>
      </c>
      <c r="K34" s="32">
        <f>SUM(K29:K33)</f>
        <v>1820130.1036717854</v>
      </c>
      <c r="L34" s="32">
        <f t="shared" si="27"/>
        <v>20482563.399637859</v>
      </c>
      <c r="M34" s="32">
        <f t="shared" si="27"/>
        <v>42672342.241416663</v>
      </c>
      <c r="N34" s="32">
        <f t="shared" si="27"/>
        <v>0</v>
      </c>
      <c r="O34" s="32">
        <f t="shared" si="27"/>
        <v>0</v>
      </c>
      <c r="P34" s="32">
        <f>SUM(P29:P33)</f>
        <v>27049002.395418264</v>
      </c>
      <c r="Q34" s="32">
        <f t="shared" si="27"/>
        <v>35599.783792007322</v>
      </c>
      <c r="R34" s="32">
        <f t="shared" si="27"/>
        <v>125264.27969969704</v>
      </c>
      <c r="S34" s="32">
        <f t="shared" si="27"/>
        <v>36191.002400103993</v>
      </c>
      <c r="T34" s="32">
        <f t="shared" si="27"/>
        <v>0</v>
      </c>
      <c r="U34" s="32">
        <f t="shared" ref="U34:V34" si="28">SUM(U29:U33)</f>
        <v>0</v>
      </c>
      <c r="V34" s="32">
        <f t="shared" si="28"/>
        <v>0</v>
      </c>
      <c r="W34" s="34">
        <f t="shared" ref="W34" si="29">SUM(G34:V34)</f>
        <v>1058805002.0706367</v>
      </c>
      <c r="X34" s="30" t="str">
        <f t="shared" ref="X34" si="30">IF(ABS(F34-W34)&lt;0.01,"ok","err")</f>
        <v>ok</v>
      </c>
      <c r="Y34" s="34" t="str">
        <f t="shared" ref="Y34" si="31">IF(X34="err",W34-F34,"")</f>
        <v/>
      </c>
    </row>
    <row r="35" spans="1:25" ht="12" customHeight="1" x14ac:dyDescent="0.25">
      <c r="F35" s="33"/>
    </row>
    <row r="36" spans="1:25" ht="12" customHeight="1" x14ac:dyDescent="0.25">
      <c r="A36" s="4" t="s">
        <v>766</v>
      </c>
      <c r="F36" s="33"/>
    </row>
    <row r="37" spans="1:25" ht="12" customHeight="1" x14ac:dyDescent="0.25">
      <c r="A37" s="39" t="s">
        <v>375</v>
      </c>
      <c r="C37" s="29" t="s">
        <v>176</v>
      </c>
      <c r="D37" s="29" t="s">
        <v>158</v>
      </c>
      <c r="E37" s="29" t="s">
        <v>2058</v>
      </c>
      <c r="F37" s="32">
        <f>VLOOKUP(C37,'WSS-26'!$C$1:$AU$617,24,)</f>
        <v>176139104.97169781</v>
      </c>
      <c r="G37" s="32">
        <f t="shared" ref="G37:V38" si="32">IF(VLOOKUP($E37,$D$5:$V$970,3,)=0,0,(VLOOKUP($E37,$D$5:$V$970,G$1,)/VLOOKUP($E37,$D$5:$V$970,3,))*$F37)</f>
        <v>112291317.20644549</v>
      </c>
      <c r="H37" s="32">
        <f t="shared" si="32"/>
        <v>29424877.655928705</v>
      </c>
      <c r="I37" s="32">
        <f t="shared" si="32"/>
        <v>1758077.6586303141</v>
      </c>
      <c r="J37" s="32">
        <f t="shared" si="32"/>
        <v>18695033.375824343</v>
      </c>
      <c r="K37" s="32">
        <f t="shared" si="32"/>
        <v>0</v>
      </c>
      <c r="L37" s="32">
        <f t="shared" si="32"/>
        <v>12995275.075193293</v>
      </c>
      <c r="M37" s="32">
        <f t="shared" si="32"/>
        <v>0</v>
      </c>
      <c r="N37" s="32">
        <f t="shared" si="32"/>
        <v>0</v>
      </c>
      <c r="O37" s="32">
        <f t="shared" si="32"/>
        <v>0</v>
      </c>
      <c r="P37" s="32">
        <f t="shared" si="32"/>
        <v>933293.36269076786</v>
      </c>
      <c r="Q37" s="32">
        <f t="shared" si="32"/>
        <v>11012.335106365277</v>
      </c>
      <c r="R37" s="32">
        <f t="shared" si="32"/>
        <v>6059.4982590871259</v>
      </c>
      <c r="S37" s="32">
        <f t="shared" si="32"/>
        <v>24158.803619427188</v>
      </c>
      <c r="T37" s="32">
        <f t="shared" si="32"/>
        <v>0</v>
      </c>
      <c r="U37" s="32">
        <f t="shared" si="32"/>
        <v>0</v>
      </c>
      <c r="V37" s="32">
        <f t="shared" si="32"/>
        <v>0</v>
      </c>
      <c r="W37" s="34">
        <f t="shared" ref="W37:W38" si="33">SUM(G37:V37)</f>
        <v>176139104.97169778</v>
      </c>
      <c r="X37" s="30" t="str">
        <f t="shared" ref="X37:X38" si="34">IF(ABS(F37-W37)&lt;0.01,"ok","err")</f>
        <v>ok</v>
      </c>
      <c r="Y37" s="66" t="str">
        <f t="shared" ref="Y37:Y38" si="35">IF(X37="err",W37-F37,"")</f>
        <v/>
      </c>
    </row>
    <row r="38" spans="1:25" ht="12" customHeight="1" x14ac:dyDescent="0.25">
      <c r="A38" s="39" t="s">
        <v>378</v>
      </c>
      <c r="C38" s="29" t="s">
        <v>176</v>
      </c>
      <c r="D38" s="29" t="s">
        <v>159</v>
      </c>
      <c r="E38" s="29" t="s">
        <v>2304</v>
      </c>
      <c r="F38" s="33">
        <f>VLOOKUP(C38,'WSS-26'!$C$1:$AU$617,25,)</f>
        <v>152756980.76019973</v>
      </c>
      <c r="G38" s="32">
        <f t="shared" si="32"/>
        <v>122113409.89419638</v>
      </c>
      <c r="H38" s="32">
        <f t="shared" si="32"/>
        <v>23627838.610860825</v>
      </c>
      <c r="I38" s="32">
        <f t="shared" si="32"/>
        <v>156169.9293422449</v>
      </c>
      <c r="J38" s="32">
        <f t="shared" si="32"/>
        <v>1251318.5557153707</v>
      </c>
      <c r="K38" s="32">
        <f t="shared" si="32"/>
        <v>0</v>
      </c>
      <c r="L38" s="32">
        <f t="shared" si="32"/>
        <v>205858.83481791182</v>
      </c>
      <c r="M38" s="32">
        <f t="shared" si="32"/>
        <v>0</v>
      </c>
      <c r="N38" s="32">
        <f t="shared" si="32"/>
        <v>0</v>
      </c>
      <c r="O38" s="32">
        <f t="shared" si="32"/>
        <v>0</v>
      </c>
      <c r="P38" s="32">
        <f t="shared" si="32"/>
        <v>5376076.7392846076</v>
      </c>
      <c r="Q38" s="32">
        <f t="shared" si="32"/>
        <v>839.62327603357471</v>
      </c>
      <c r="R38" s="32">
        <f t="shared" si="32"/>
        <v>23789.326154284616</v>
      </c>
      <c r="S38" s="32">
        <f t="shared" si="32"/>
        <v>1679.2465520671494</v>
      </c>
      <c r="T38" s="32">
        <f t="shared" si="32"/>
        <v>0</v>
      </c>
      <c r="U38" s="32">
        <f t="shared" si="32"/>
        <v>0</v>
      </c>
      <c r="V38" s="32">
        <f t="shared" si="32"/>
        <v>0</v>
      </c>
      <c r="W38" s="34">
        <f t="shared" si="33"/>
        <v>152756980.76019976</v>
      </c>
      <c r="X38" s="30" t="str">
        <f t="shared" si="34"/>
        <v>ok</v>
      </c>
      <c r="Y38" s="66" t="str">
        <f t="shared" si="35"/>
        <v/>
      </c>
    </row>
    <row r="39" spans="1:25" ht="12" customHeight="1" x14ac:dyDescent="0.25">
      <c r="A39" s="29" t="s">
        <v>1434</v>
      </c>
      <c r="D39" s="29" t="s">
        <v>162</v>
      </c>
      <c r="F39" s="32">
        <f t="shared" ref="F39:O39" si="36">F37+F38</f>
        <v>328896085.73189753</v>
      </c>
      <c r="G39" s="32">
        <f t="shared" si="36"/>
        <v>234404727.10064185</v>
      </c>
      <c r="H39" s="32">
        <f t="shared" si="36"/>
        <v>53052716.266789526</v>
      </c>
      <c r="I39" s="32">
        <f>I37+I38</f>
        <v>1914247.587972559</v>
      </c>
      <c r="J39" s="32">
        <f>J37+J38</f>
        <v>19946351.931539714</v>
      </c>
      <c r="K39" s="32">
        <f>K37+K38</f>
        <v>0</v>
      </c>
      <c r="L39" s="32">
        <f t="shared" si="36"/>
        <v>13201133.910011206</v>
      </c>
      <c r="M39" s="32">
        <f t="shared" si="36"/>
        <v>0</v>
      </c>
      <c r="N39" s="32">
        <f t="shared" si="36"/>
        <v>0</v>
      </c>
      <c r="O39" s="32">
        <f t="shared" si="36"/>
        <v>0</v>
      </c>
      <c r="P39" s="32">
        <f>P37+P38</f>
        <v>6309370.1019753758</v>
      </c>
      <c r="Q39" s="32">
        <f>Q37+Q38</f>
        <v>11851.958382398852</v>
      </c>
      <c r="R39" s="32">
        <f>R37+R38</f>
        <v>29848.824413371742</v>
      </c>
      <c r="S39" s="32">
        <f>S37+S38</f>
        <v>25838.050171494338</v>
      </c>
      <c r="T39" s="32">
        <f>T37+T38</f>
        <v>0</v>
      </c>
      <c r="U39" s="32">
        <f t="shared" ref="U39:V39" si="37">U37+U38</f>
        <v>0</v>
      </c>
      <c r="V39" s="32">
        <f t="shared" si="37"/>
        <v>0</v>
      </c>
      <c r="W39" s="34">
        <f>SUM(G39:V39)</f>
        <v>328896085.73189759</v>
      </c>
      <c r="X39" s="30" t="str">
        <f>IF(ABS(F39-W39)&lt;0.01,"ok","err")</f>
        <v>ok</v>
      </c>
      <c r="Y39" s="34" t="str">
        <f>IF(X39="err",W39-F39,"")</f>
        <v/>
      </c>
    </row>
    <row r="40" spans="1:25" ht="12" customHeight="1" x14ac:dyDescent="0.25">
      <c r="F40" s="33"/>
    </row>
    <row r="41" spans="1:25" ht="12" customHeight="1" x14ac:dyDescent="0.25">
      <c r="A41" s="4" t="s">
        <v>128</v>
      </c>
      <c r="F41" s="33"/>
    </row>
    <row r="42" spans="1:25" ht="12" customHeight="1" x14ac:dyDescent="0.25">
      <c r="A42" s="39" t="s">
        <v>378</v>
      </c>
      <c r="C42" s="29" t="s">
        <v>176</v>
      </c>
      <c r="D42" s="29" t="s">
        <v>150</v>
      </c>
      <c r="E42" s="29" t="s">
        <v>379</v>
      </c>
      <c r="F42" s="32">
        <f>VLOOKUP(C42,'WSS-26'!$C$1:$AU$617,26,)</f>
        <v>113116232.48562309</v>
      </c>
      <c r="G42" s="32">
        <f t="shared" ref="G42:V42" si="38">IF(VLOOKUP($E42,$D$5:$V$970,3,)=0,0,(VLOOKUP($E42,$D$5:$V$970,G$1,)/VLOOKUP($E42,$D$5:$V$970,3,))*$F42)</f>
        <v>79372837.633109808</v>
      </c>
      <c r="H42" s="32">
        <f t="shared" si="38"/>
        <v>31128071.338665709</v>
      </c>
      <c r="I42" s="32">
        <f t="shared" si="38"/>
        <v>267107.48376050848</v>
      </c>
      <c r="J42" s="32">
        <f t="shared" si="38"/>
        <v>1991234.6886176753</v>
      </c>
      <c r="K42" s="32">
        <f t="shared" si="38"/>
        <v>0</v>
      </c>
      <c r="L42" s="32">
        <f t="shared" si="38"/>
        <v>354308.34390096122</v>
      </c>
      <c r="M42" s="32">
        <f t="shared" si="38"/>
        <v>0</v>
      </c>
      <c r="N42" s="32">
        <f t="shared" si="38"/>
        <v>0</v>
      </c>
      <c r="O42" s="32">
        <f t="shared" si="38"/>
        <v>0</v>
      </c>
      <c r="P42" s="32">
        <f t="shared" si="38"/>
        <v>0</v>
      </c>
      <c r="Q42" s="32">
        <f t="shared" si="38"/>
        <v>0</v>
      </c>
      <c r="R42" s="32">
        <f t="shared" si="38"/>
        <v>0</v>
      </c>
      <c r="S42" s="32">
        <f t="shared" si="38"/>
        <v>2672.9975684330038</v>
      </c>
      <c r="T42" s="32">
        <f t="shared" si="38"/>
        <v>0</v>
      </c>
      <c r="U42" s="32">
        <f t="shared" si="38"/>
        <v>0</v>
      </c>
      <c r="V42" s="32">
        <f t="shared" si="38"/>
        <v>0</v>
      </c>
      <c r="W42" s="34">
        <f>SUM(G42:V42)</f>
        <v>113116232.48562309</v>
      </c>
      <c r="X42" s="30" t="str">
        <f t="shared" ref="X42" si="39">IF(ABS(F42-W42)&lt;0.01,"ok","err")</f>
        <v>ok</v>
      </c>
      <c r="Y42" s="66" t="str">
        <f t="shared" ref="Y42" si="40">IF(X42="err",W42-F42,"")</f>
        <v/>
      </c>
    </row>
    <row r="43" spans="1:25" ht="12" customHeight="1" x14ac:dyDescent="0.25">
      <c r="F43" s="33"/>
    </row>
    <row r="44" spans="1:25" ht="12" customHeight="1" x14ac:dyDescent="0.25">
      <c r="A44" s="4" t="s">
        <v>127</v>
      </c>
      <c r="F44" s="33"/>
    </row>
    <row r="45" spans="1:25" ht="12" customHeight="1" x14ac:dyDescent="0.25">
      <c r="A45" s="39" t="s">
        <v>378</v>
      </c>
      <c r="C45" s="29" t="s">
        <v>176</v>
      </c>
      <c r="D45" s="29" t="s">
        <v>161</v>
      </c>
      <c r="E45" s="29" t="s">
        <v>2271</v>
      </c>
      <c r="F45" s="32">
        <f>VLOOKUP(C45,'WSS-26'!$C$1:$AU$617,27,)</f>
        <v>80825293.466673017</v>
      </c>
      <c r="G45" s="32">
        <f t="shared" ref="G45:V45" si="41">IF(VLOOKUP($E45,$D$5:$V$970,3,)=0,0,(VLOOKUP($E45,$D$5:$V$970,G$1,)/VLOOKUP($E45,$D$5:$V$970,3,))*$F45)</f>
        <v>49685189.098746575</v>
      </c>
      <c r="H45" s="32">
        <f t="shared" si="41"/>
        <v>19113707.321347218</v>
      </c>
      <c r="I45" s="32">
        <f t="shared" si="41"/>
        <v>419860.35955450201</v>
      </c>
      <c r="J45" s="32">
        <f t="shared" si="41"/>
        <v>5392348.0477648564</v>
      </c>
      <c r="K45" s="32">
        <f t="shared" si="41"/>
        <v>1268177.3301112859</v>
      </c>
      <c r="L45" s="32">
        <f t="shared" si="41"/>
        <v>1047656.6047999642</v>
      </c>
      <c r="M45" s="32">
        <f t="shared" si="41"/>
        <v>2255293.4308344824</v>
      </c>
      <c r="N45" s="32">
        <f t="shared" si="41"/>
        <v>1337142.7496627851</v>
      </c>
      <c r="O45" s="32">
        <f t="shared" si="41"/>
        <v>67577.202845111227</v>
      </c>
      <c r="P45" s="32">
        <f t="shared" si="41"/>
        <v>0</v>
      </c>
      <c r="Q45" s="32">
        <f t="shared" si="41"/>
        <v>3529.2378448385857</v>
      </c>
      <c r="R45" s="32">
        <f t="shared" si="41"/>
        <v>87092.482300048971</v>
      </c>
      <c r="S45" s="32">
        <f t="shared" si="41"/>
        <v>7238.5908613444271</v>
      </c>
      <c r="T45" s="32">
        <f t="shared" si="41"/>
        <v>140481.01</v>
      </c>
      <c r="U45" s="32">
        <f t="shared" si="41"/>
        <v>0</v>
      </c>
      <c r="V45" s="32">
        <f t="shared" si="41"/>
        <v>0</v>
      </c>
      <c r="W45" s="34">
        <f>SUM(G45:V45)</f>
        <v>80825293.466673017</v>
      </c>
      <c r="X45" s="30" t="str">
        <f t="shared" ref="X45" si="42">IF(ABS(F45-W45)&lt;0.01,"ok","err")</f>
        <v>ok</v>
      </c>
      <c r="Y45" s="66" t="str">
        <f t="shared" ref="Y45" si="43">IF(X45="err",W45-F45,"")</f>
        <v/>
      </c>
    </row>
    <row r="46" spans="1:25" ht="12" customHeight="1" x14ac:dyDescent="0.25">
      <c r="F46" s="33"/>
    </row>
    <row r="47" spans="1:25" ht="12" customHeight="1" x14ac:dyDescent="0.25">
      <c r="A47" s="4" t="s">
        <v>144</v>
      </c>
      <c r="F47" s="33"/>
    </row>
    <row r="48" spans="1:25" ht="12" customHeight="1" x14ac:dyDescent="0.25">
      <c r="A48" s="39" t="s">
        <v>378</v>
      </c>
      <c r="C48" s="29" t="s">
        <v>176</v>
      </c>
      <c r="D48" s="29" t="s">
        <v>163</v>
      </c>
      <c r="E48" s="29" t="s">
        <v>2299</v>
      </c>
      <c r="F48" s="32">
        <f>VLOOKUP(C48,'WSS-26'!$C$1:$AU$617,28,)</f>
        <v>132444419.27919817</v>
      </c>
      <c r="G48" s="32">
        <f t="shared" ref="G48:V48" si="44">IF(VLOOKUP($E48,$D$5:$V$970,3,)=0,0,(VLOOKUP($E48,$D$5:$V$970,G$1,)/VLOOKUP($E48,$D$5:$V$970,3,))*$F48)</f>
        <v>0</v>
      </c>
      <c r="H48" s="32">
        <f t="shared" si="44"/>
        <v>0</v>
      </c>
      <c r="I48" s="32">
        <f t="shared" si="44"/>
        <v>0</v>
      </c>
      <c r="J48" s="32">
        <f t="shared" si="44"/>
        <v>0</v>
      </c>
      <c r="K48" s="32">
        <f t="shared" si="44"/>
        <v>0</v>
      </c>
      <c r="L48" s="32">
        <f t="shared" si="44"/>
        <v>0</v>
      </c>
      <c r="M48" s="32">
        <f t="shared" si="44"/>
        <v>0</v>
      </c>
      <c r="N48" s="32">
        <f t="shared" si="44"/>
        <v>0</v>
      </c>
      <c r="O48" s="32">
        <f t="shared" si="44"/>
        <v>0</v>
      </c>
      <c r="P48" s="32">
        <f t="shared" si="44"/>
        <v>132444419.27919817</v>
      </c>
      <c r="Q48" s="32">
        <f t="shared" si="44"/>
        <v>0</v>
      </c>
      <c r="R48" s="32">
        <f t="shared" si="44"/>
        <v>0</v>
      </c>
      <c r="S48" s="32">
        <f t="shared" si="44"/>
        <v>0</v>
      </c>
      <c r="T48" s="32">
        <f t="shared" si="44"/>
        <v>0</v>
      </c>
      <c r="U48" s="32">
        <f t="shared" si="44"/>
        <v>0</v>
      </c>
      <c r="V48" s="32">
        <f t="shared" si="44"/>
        <v>0</v>
      </c>
      <c r="W48" s="34">
        <f>SUM(G48:V48)</f>
        <v>132444419.27919817</v>
      </c>
      <c r="X48" s="30" t="str">
        <f t="shared" ref="X48" si="45">IF(ABS(F48-W48)&lt;0.01,"ok","err")</f>
        <v>ok</v>
      </c>
      <c r="Y48" s="66" t="str">
        <f t="shared" ref="Y48" si="46">IF(X48="err",W48-F48,"")</f>
        <v/>
      </c>
    </row>
    <row r="49" spans="1:25" ht="12" customHeight="1" x14ac:dyDescent="0.25">
      <c r="F49" s="33"/>
    </row>
    <row r="50" spans="1:25" ht="12" customHeight="1" x14ac:dyDescent="0.25">
      <c r="A50" s="4" t="s">
        <v>279</v>
      </c>
      <c r="F50" s="33"/>
    </row>
    <row r="51" spans="1:25" ht="12" customHeight="1" x14ac:dyDescent="0.25">
      <c r="A51" s="39" t="s">
        <v>378</v>
      </c>
      <c r="C51" s="29" t="s">
        <v>176</v>
      </c>
      <c r="D51" s="29" t="s">
        <v>164</v>
      </c>
      <c r="E51" s="29" t="s">
        <v>2298</v>
      </c>
      <c r="F51" s="32">
        <f>VLOOKUP(C51,'WSS-26'!$C$1:$AU$617,30,)</f>
        <v>0</v>
      </c>
      <c r="G51" s="32">
        <f t="shared" ref="G51:V51" si="47">IF(VLOOKUP($E51,$D$5:$V$970,3,)=0,0,(VLOOKUP($E51,$D$5:$V$970,G$1,)/VLOOKUP($E51,$D$5:$V$970,3,))*$F51)</f>
        <v>0</v>
      </c>
      <c r="H51" s="32">
        <f t="shared" si="47"/>
        <v>0</v>
      </c>
      <c r="I51" s="32">
        <f t="shared" si="47"/>
        <v>0</v>
      </c>
      <c r="J51" s="32">
        <f t="shared" si="47"/>
        <v>0</v>
      </c>
      <c r="K51" s="32">
        <f t="shared" si="47"/>
        <v>0</v>
      </c>
      <c r="L51" s="32">
        <f t="shared" si="47"/>
        <v>0</v>
      </c>
      <c r="M51" s="32">
        <f t="shared" si="47"/>
        <v>0</v>
      </c>
      <c r="N51" s="32">
        <f t="shared" si="47"/>
        <v>0</v>
      </c>
      <c r="O51" s="32">
        <f t="shared" si="47"/>
        <v>0</v>
      </c>
      <c r="P51" s="32">
        <f t="shared" si="47"/>
        <v>0</v>
      </c>
      <c r="Q51" s="32">
        <f t="shared" si="47"/>
        <v>0</v>
      </c>
      <c r="R51" s="32">
        <f t="shared" si="47"/>
        <v>0</v>
      </c>
      <c r="S51" s="32">
        <f t="shared" si="47"/>
        <v>0</v>
      </c>
      <c r="T51" s="32">
        <f t="shared" si="47"/>
        <v>0</v>
      </c>
      <c r="U51" s="32">
        <f t="shared" si="47"/>
        <v>0</v>
      </c>
      <c r="V51" s="32">
        <f t="shared" si="47"/>
        <v>0</v>
      </c>
      <c r="W51" s="34">
        <f>SUM(G51:V51)</f>
        <v>0</v>
      </c>
      <c r="X51" s="30" t="str">
        <f t="shared" ref="X51" si="48">IF(ABS(F51-W51)&lt;0.01,"ok","err")</f>
        <v>ok</v>
      </c>
      <c r="Y51" s="66" t="str">
        <f t="shared" ref="Y51" si="49">IF(X51="err",W51-F51,"")</f>
        <v/>
      </c>
    </row>
    <row r="52" spans="1:25" ht="12" customHeight="1" x14ac:dyDescent="0.25">
      <c r="F52" s="33"/>
    </row>
    <row r="53" spans="1:25" ht="12" customHeight="1" x14ac:dyDescent="0.25">
      <c r="A53" s="4" t="s">
        <v>1596</v>
      </c>
      <c r="F53" s="33"/>
    </row>
    <row r="54" spans="1:25" ht="12" customHeight="1" x14ac:dyDescent="0.25">
      <c r="A54" s="39" t="s">
        <v>378</v>
      </c>
      <c r="C54" s="29" t="s">
        <v>176</v>
      </c>
      <c r="D54" s="29" t="s">
        <v>198</v>
      </c>
      <c r="E54" s="29" t="s">
        <v>2298</v>
      </c>
      <c r="F54" s="32">
        <f>VLOOKUP(C54,'WSS-26'!$C$1:$AU$617,32,)</f>
        <v>0</v>
      </c>
      <c r="G54" s="32">
        <f t="shared" ref="G54:V54" si="50">IF(VLOOKUP($E54,$D$5:$V$970,3,)=0,0,(VLOOKUP($E54,$D$5:$V$970,G$1,)/VLOOKUP($E54,$D$5:$V$970,3,))*$F54)</f>
        <v>0</v>
      </c>
      <c r="H54" s="32">
        <f t="shared" si="50"/>
        <v>0</v>
      </c>
      <c r="I54" s="32">
        <f t="shared" si="50"/>
        <v>0</v>
      </c>
      <c r="J54" s="32">
        <f t="shared" si="50"/>
        <v>0</v>
      </c>
      <c r="K54" s="32">
        <f t="shared" si="50"/>
        <v>0</v>
      </c>
      <c r="L54" s="32">
        <f t="shared" si="50"/>
        <v>0</v>
      </c>
      <c r="M54" s="32">
        <f t="shared" si="50"/>
        <v>0</v>
      </c>
      <c r="N54" s="32">
        <f t="shared" si="50"/>
        <v>0</v>
      </c>
      <c r="O54" s="32">
        <f t="shared" si="50"/>
        <v>0</v>
      </c>
      <c r="P54" s="32">
        <f t="shared" si="50"/>
        <v>0</v>
      </c>
      <c r="Q54" s="32">
        <f t="shared" si="50"/>
        <v>0</v>
      </c>
      <c r="R54" s="32">
        <f t="shared" si="50"/>
        <v>0</v>
      </c>
      <c r="S54" s="32">
        <f t="shared" si="50"/>
        <v>0</v>
      </c>
      <c r="T54" s="32">
        <f t="shared" si="50"/>
        <v>0</v>
      </c>
      <c r="U54" s="32">
        <f t="shared" si="50"/>
        <v>0</v>
      </c>
      <c r="V54" s="32">
        <f t="shared" si="50"/>
        <v>0</v>
      </c>
      <c r="W54" s="34">
        <f>SUM(G54:V54)</f>
        <v>0</v>
      </c>
      <c r="X54" s="30" t="str">
        <f t="shared" ref="X54" si="51">IF(ABS(F54-W54)&lt;0.01,"ok","err")</f>
        <v>ok</v>
      </c>
      <c r="Y54" s="66" t="str">
        <f t="shared" ref="Y54" si="52">IF(X54="err",W54-F54,"")</f>
        <v/>
      </c>
    </row>
    <row r="55" spans="1:25" ht="12" customHeight="1" x14ac:dyDescent="0.25">
      <c r="F55" s="33"/>
    </row>
    <row r="56" spans="1:25" ht="12" customHeight="1" x14ac:dyDescent="0.25">
      <c r="A56" s="4" t="s">
        <v>1595</v>
      </c>
      <c r="F56" s="33"/>
    </row>
    <row r="57" spans="1:25" ht="12" customHeight="1" x14ac:dyDescent="0.25">
      <c r="A57" s="39" t="s">
        <v>378</v>
      </c>
      <c r="C57" s="29" t="s">
        <v>176</v>
      </c>
      <c r="D57" s="29" t="s">
        <v>199</v>
      </c>
      <c r="E57" s="29" t="s">
        <v>2301</v>
      </c>
      <c r="F57" s="32">
        <f>VLOOKUP(C57,'WSS-26'!$C$1:$AU$617,34,)</f>
        <v>0</v>
      </c>
      <c r="G57" s="32">
        <f t="shared" ref="G57:V57" si="53">IF(VLOOKUP($E57,$D$5:$V$970,3,)=0,0,(VLOOKUP($E57,$D$5:$V$970,G$1,)/VLOOKUP($E57,$D$5:$V$970,3,))*$F57)</f>
        <v>0</v>
      </c>
      <c r="H57" s="32">
        <f t="shared" si="53"/>
        <v>0</v>
      </c>
      <c r="I57" s="32">
        <f t="shared" si="53"/>
        <v>0</v>
      </c>
      <c r="J57" s="32">
        <f t="shared" si="53"/>
        <v>0</v>
      </c>
      <c r="K57" s="32">
        <f t="shared" si="53"/>
        <v>0</v>
      </c>
      <c r="L57" s="32">
        <f t="shared" si="53"/>
        <v>0</v>
      </c>
      <c r="M57" s="32">
        <f t="shared" si="53"/>
        <v>0</v>
      </c>
      <c r="N57" s="32">
        <f t="shared" si="53"/>
        <v>0</v>
      </c>
      <c r="O57" s="32">
        <f t="shared" si="53"/>
        <v>0</v>
      </c>
      <c r="P57" s="32">
        <f t="shared" si="53"/>
        <v>0</v>
      </c>
      <c r="Q57" s="32">
        <f t="shared" si="53"/>
        <v>0</v>
      </c>
      <c r="R57" s="32">
        <f t="shared" si="53"/>
        <v>0</v>
      </c>
      <c r="S57" s="32">
        <f t="shared" si="53"/>
        <v>0</v>
      </c>
      <c r="T57" s="32">
        <f t="shared" si="53"/>
        <v>0</v>
      </c>
      <c r="U57" s="32">
        <f t="shared" si="53"/>
        <v>0</v>
      </c>
      <c r="V57" s="32">
        <f t="shared" si="53"/>
        <v>0</v>
      </c>
      <c r="W57" s="34">
        <f>SUM(G57:V57)</f>
        <v>0</v>
      </c>
      <c r="X57" s="30" t="str">
        <f t="shared" ref="X57" si="54">IF(ABS(F57-W57)&lt;0.01,"ok","err")</f>
        <v>ok</v>
      </c>
      <c r="Y57" s="66" t="str">
        <f t="shared" ref="Y57" si="55">IF(X57="err",W57-F57,"")</f>
        <v/>
      </c>
    </row>
    <row r="58" spans="1:25" ht="12" customHeight="1" x14ac:dyDescent="0.25">
      <c r="F58" s="33"/>
    </row>
    <row r="59" spans="1:25" ht="12" customHeight="1" x14ac:dyDescent="0.25">
      <c r="A59" s="29" t="s">
        <v>62</v>
      </c>
      <c r="D59" s="29" t="s">
        <v>384</v>
      </c>
      <c r="F59" s="32">
        <f>F14+F20+F23+F26+F34+F39+F42+F45+F48+F51+F54+F57</f>
        <v>7720675014.7505932</v>
      </c>
      <c r="G59" s="32">
        <f>G14+G20+G23+G26+G34+G39+G42+G45+G48+G51+G54+G57</f>
        <v>3647541274.5235295</v>
      </c>
      <c r="H59" s="32">
        <f t="shared" ref="H59:T59" si="56">H14+H20+H23+H26+H34+H39+H42+H45+H48+H51+H54+H57</f>
        <v>881760234.65277922</v>
      </c>
      <c r="I59" s="32">
        <f>I14+I20+I23+I26+I34+I39+I42+I45+I48+I51+I54+I57</f>
        <v>52855192.052293636</v>
      </c>
      <c r="J59" s="32">
        <f>J14+J20+J23+J26+J34+J39+J42+J45+J48+J51+J54+J57</f>
        <v>671185806.11096776</v>
      </c>
      <c r="K59" s="32">
        <f>K14+K20+K23+K26+K34+K39+K42+K45+K48+K51+K54+K57</f>
        <v>45209096.307801567</v>
      </c>
      <c r="L59" s="32">
        <f t="shared" si="56"/>
        <v>591088709.96909249</v>
      </c>
      <c r="M59" s="32">
        <f t="shared" si="56"/>
        <v>1150356160.6334088</v>
      </c>
      <c r="N59" s="32">
        <f t="shared" si="56"/>
        <v>345031099.65202212</v>
      </c>
      <c r="O59" s="32">
        <f>O14+O20+O23+O26+O34+O39+O42+O45+O48+O51+O54+O57</f>
        <v>155653615.2891534</v>
      </c>
      <c r="P59" s="32">
        <f>P14+P20+P23+P26+P34+P39+P42+P45+P48+P51+P54+P57</f>
        <v>177481071.24715286</v>
      </c>
      <c r="Q59" s="32">
        <f t="shared" si="56"/>
        <v>188083.42140393922</v>
      </c>
      <c r="R59" s="32">
        <f t="shared" si="56"/>
        <v>548315.36803040199</v>
      </c>
      <c r="S59" s="32">
        <f t="shared" si="56"/>
        <v>279808.1129572728</v>
      </c>
      <c r="T59" s="32">
        <f t="shared" si="56"/>
        <v>140481.01</v>
      </c>
      <c r="U59" s="32">
        <f t="shared" ref="U59:V59" si="57">U14+U20+U23+U26+U34+U39+U42+U45+U48+U51+U54+U57</f>
        <v>1356066.4000000001</v>
      </c>
      <c r="V59" s="32">
        <f t="shared" si="57"/>
        <v>0</v>
      </c>
      <c r="W59" s="34">
        <f>SUM(G59:V59)</f>
        <v>7720675014.7505922</v>
      </c>
      <c r="X59" s="30" t="str">
        <f>IF(ABS(F59-W59)&lt;0.01,"ok","err")</f>
        <v>ok</v>
      </c>
      <c r="Y59" s="66" t="str">
        <f>IF(X59="err",W59-F59,"")</f>
        <v/>
      </c>
    </row>
    <row r="63" spans="1:25" ht="12" customHeight="1" x14ac:dyDescent="0.25">
      <c r="A63" s="3" t="s">
        <v>190</v>
      </c>
    </row>
    <row r="65" spans="1:25" ht="12" customHeight="1" x14ac:dyDescent="0.25">
      <c r="A65" s="4" t="s">
        <v>137</v>
      </c>
    </row>
    <row r="66" spans="1:25" ht="12" customHeight="1" x14ac:dyDescent="0.25">
      <c r="A66" s="39" t="s">
        <v>2133</v>
      </c>
      <c r="C66" s="29" t="s">
        <v>191</v>
      </c>
      <c r="D66" s="29" t="s">
        <v>200</v>
      </c>
      <c r="E66" s="29" t="s">
        <v>2229</v>
      </c>
      <c r="F66" s="32">
        <f>VLOOKUP(C66,'WSS-26'!$C$1:$AU$617,6,)</f>
        <v>2753659906.0233479</v>
      </c>
      <c r="G66" s="32">
        <f t="shared" ref="G66:V71" si="58">IF(VLOOKUP($E66,$D$5:$V$970,3,)=0,0,(VLOOKUP($E66,$D$5:$V$970,G$1,)/VLOOKUP($E66,$D$5:$V$970,3,))*$F66)</f>
        <v>1138820906.2741797</v>
      </c>
      <c r="H66" s="32">
        <f t="shared" si="58"/>
        <v>258315420.4694964</v>
      </c>
      <c r="I66" s="32">
        <f t="shared" si="58"/>
        <v>17460052.02171183</v>
      </c>
      <c r="J66" s="32">
        <f t="shared" si="58"/>
        <v>286026071.57387298</v>
      </c>
      <c r="K66" s="32">
        <f t="shared" si="58"/>
        <v>19755284.736775398</v>
      </c>
      <c r="L66" s="32">
        <f t="shared" si="58"/>
        <v>266840132.27806681</v>
      </c>
      <c r="M66" s="32">
        <f t="shared" si="58"/>
        <v>521201115.00255299</v>
      </c>
      <c r="N66" s="32">
        <f t="shared" si="58"/>
        <v>170680316.94456485</v>
      </c>
      <c r="O66" s="32">
        <f t="shared" si="58"/>
        <v>71982468.27703923</v>
      </c>
      <c r="P66" s="32">
        <f t="shared" si="58"/>
        <v>1046449.4912183003</v>
      </c>
      <c r="Q66" s="32">
        <f t="shared" si="58"/>
        <v>11935.343238969035</v>
      </c>
      <c r="R66" s="32">
        <f t="shared" si="58"/>
        <v>143431.71681565852</v>
      </c>
      <c r="S66" s="32">
        <f t="shared" si="58"/>
        <v>24181.213814803639</v>
      </c>
      <c r="T66" s="32">
        <f t="shared" si="58"/>
        <v>0</v>
      </c>
      <c r="U66" s="32">
        <f t="shared" si="58"/>
        <v>1352140.68</v>
      </c>
      <c r="V66" s="32">
        <f t="shared" si="58"/>
        <v>0</v>
      </c>
      <c r="W66" s="34">
        <f t="shared" ref="W66:W71" si="59">SUM(G66:V66)</f>
        <v>2753659906.0233469</v>
      </c>
      <c r="X66" s="30" t="str">
        <f t="shared" ref="X66:X71" si="60">IF(ABS(F66-W66)&lt;0.01,"ok","err")</f>
        <v>ok</v>
      </c>
      <c r="Y66" s="66" t="str">
        <f t="shared" ref="Y66:Y71" si="61">IF(X66="err",W66-F66,"")</f>
        <v/>
      </c>
    </row>
    <row r="67" spans="1:25" ht="12" hidden="1" customHeight="1" x14ac:dyDescent="0.25">
      <c r="A67" s="39" t="s">
        <v>2134</v>
      </c>
      <c r="C67" s="29" t="s">
        <v>191</v>
      </c>
      <c r="D67" s="29" t="s">
        <v>201</v>
      </c>
      <c r="E67" s="29" t="s">
        <v>2132</v>
      </c>
      <c r="F67" s="33">
        <f>VLOOKUP(C67,'WSS-26'!$C$1:$AU$617,7,)</f>
        <v>0</v>
      </c>
      <c r="G67" s="32">
        <f t="shared" si="58"/>
        <v>0</v>
      </c>
      <c r="H67" s="32">
        <f t="shared" si="58"/>
        <v>0</v>
      </c>
      <c r="I67" s="32">
        <f t="shared" si="58"/>
        <v>0</v>
      </c>
      <c r="J67" s="32">
        <f t="shared" si="58"/>
        <v>0</v>
      </c>
      <c r="K67" s="32">
        <f t="shared" si="58"/>
        <v>0</v>
      </c>
      <c r="L67" s="32">
        <f t="shared" si="58"/>
        <v>0</v>
      </c>
      <c r="M67" s="32">
        <f t="shared" si="58"/>
        <v>0</v>
      </c>
      <c r="N67" s="32">
        <f t="shared" si="58"/>
        <v>0</v>
      </c>
      <c r="O67" s="32">
        <f t="shared" si="58"/>
        <v>0</v>
      </c>
      <c r="P67" s="32">
        <f t="shared" si="58"/>
        <v>0</v>
      </c>
      <c r="Q67" s="32">
        <f t="shared" si="58"/>
        <v>0</v>
      </c>
      <c r="R67" s="32">
        <f t="shared" si="58"/>
        <v>0</v>
      </c>
      <c r="S67" s="32">
        <f t="shared" si="58"/>
        <v>0</v>
      </c>
      <c r="T67" s="32">
        <f t="shared" si="58"/>
        <v>0</v>
      </c>
      <c r="U67" s="32">
        <f t="shared" si="58"/>
        <v>0</v>
      </c>
      <c r="V67" s="32">
        <f t="shared" si="58"/>
        <v>0</v>
      </c>
      <c r="W67" s="34">
        <f t="shared" si="59"/>
        <v>0</v>
      </c>
      <c r="X67" s="30" t="str">
        <f t="shared" si="60"/>
        <v>ok</v>
      </c>
      <c r="Y67" s="66" t="str">
        <f t="shared" si="61"/>
        <v/>
      </c>
    </row>
    <row r="68" spans="1:25" ht="12" hidden="1" customHeight="1" x14ac:dyDescent="0.25">
      <c r="A68" s="39" t="s">
        <v>2134</v>
      </c>
      <c r="C68" s="29" t="s">
        <v>191</v>
      </c>
      <c r="D68" s="29" t="s">
        <v>202</v>
      </c>
      <c r="E68" s="29" t="s">
        <v>2132</v>
      </c>
      <c r="F68" s="33">
        <f>VLOOKUP(C68,'WSS-26'!$C$1:$AU$617,8,)</f>
        <v>0</v>
      </c>
      <c r="G68" s="32">
        <f t="shared" si="58"/>
        <v>0</v>
      </c>
      <c r="H68" s="32">
        <f t="shared" si="58"/>
        <v>0</v>
      </c>
      <c r="I68" s="32">
        <f t="shared" si="58"/>
        <v>0</v>
      </c>
      <c r="J68" s="32">
        <f t="shared" si="58"/>
        <v>0</v>
      </c>
      <c r="K68" s="32">
        <f t="shared" si="58"/>
        <v>0</v>
      </c>
      <c r="L68" s="32">
        <f t="shared" si="58"/>
        <v>0</v>
      </c>
      <c r="M68" s="32">
        <f t="shared" si="58"/>
        <v>0</v>
      </c>
      <c r="N68" s="32">
        <f t="shared" si="58"/>
        <v>0</v>
      </c>
      <c r="O68" s="32">
        <f t="shared" si="58"/>
        <v>0</v>
      </c>
      <c r="P68" s="32">
        <f t="shared" si="58"/>
        <v>0</v>
      </c>
      <c r="Q68" s="32">
        <f t="shared" si="58"/>
        <v>0</v>
      </c>
      <c r="R68" s="32">
        <f t="shared" si="58"/>
        <v>0</v>
      </c>
      <c r="S68" s="32">
        <f t="shared" si="58"/>
        <v>0</v>
      </c>
      <c r="T68" s="32">
        <f t="shared" si="58"/>
        <v>0</v>
      </c>
      <c r="U68" s="32">
        <f t="shared" si="58"/>
        <v>0</v>
      </c>
      <c r="V68" s="32">
        <f t="shared" si="58"/>
        <v>0</v>
      </c>
      <c r="W68" s="34">
        <f t="shared" si="59"/>
        <v>0</v>
      </c>
      <c r="X68" s="30" t="str">
        <f t="shared" si="60"/>
        <v>ok</v>
      </c>
      <c r="Y68" s="66" t="str">
        <f t="shared" si="61"/>
        <v/>
      </c>
    </row>
    <row r="69" spans="1:25" ht="12" customHeight="1" x14ac:dyDescent="0.25">
      <c r="A69" s="39" t="s">
        <v>2136</v>
      </c>
      <c r="C69" s="29" t="s">
        <v>191</v>
      </c>
      <c r="D69" s="29" t="s">
        <v>203</v>
      </c>
      <c r="E69" s="29" t="s">
        <v>376</v>
      </c>
      <c r="F69" s="33">
        <f>VLOOKUP(C69,'WSS-26'!$C$1:$AU$617,9,)</f>
        <v>0</v>
      </c>
      <c r="G69" s="32">
        <f t="shared" si="58"/>
        <v>0</v>
      </c>
      <c r="H69" s="32">
        <f t="shared" si="58"/>
        <v>0</v>
      </c>
      <c r="I69" s="32">
        <f t="shared" si="58"/>
        <v>0</v>
      </c>
      <c r="J69" s="32">
        <f t="shared" si="58"/>
        <v>0</v>
      </c>
      <c r="K69" s="32">
        <f t="shared" si="58"/>
        <v>0</v>
      </c>
      <c r="L69" s="32">
        <f t="shared" si="58"/>
        <v>0</v>
      </c>
      <c r="M69" s="32">
        <f t="shared" si="58"/>
        <v>0</v>
      </c>
      <c r="N69" s="32">
        <f t="shared" si="58"/>
        <v>0</v>
      </c>
      <c r="O69" s="32">
        <f t="shared" si="58"/>
        <v>0</v>
      </c>
      <c r="P69" s="32">
        <f t="shared" si="58"/>
        <v>0</v>
      </c>
      <c r="Q69" s="32">
        <f t="shared" si="58"/>
        <v>0</v>
      </c>
      <c r="R69" s="32">
        <f t="shared" si="58"/>
        <v>0</v>
      </c>
      <c r="S69" s="32">
        <f t="shared" si="58"/>
        <v>0</v>
      </c>
      <c r="T69" s="32">
        <f t="shared" si="58"/>
        <v>0</v>
      </c>
      <c r="U69" s="32">
        <f t="shared" si="58"/>
        <v>0</v>
      </c>
      <c r="V69" s="32">
        <f t="shared" si="58"/>
        <v>0</v>
      </c>
      <c r="W69" s="34">
        <f t="shared" si="59"/>
        <v>0</v>
      </c>
      <c r="X69" s="30" t="str">
        <f t="shared" si="60"/>
        <v>ok</v>
      </c>
      <c r="Y69" s="66" t="str">
        <f t="shared" si="61"/>
        <v/>
      </c>
    </row>
    <row r="70" spans="1:25" ht="12" hidden="1" customHeight="1" x14ac:dyDescent="0.25">
      <c r="A70" s="39" t="s">
        <v>2135</v>
      </c>
      <c r="C70" s="29" t="s">
        <v>191</v>
      </c>
      <c r="D70" s="29" t="s">
        <v>204</v>
      </c>
      <c r="E70" s="29" t="s">
        <v>376</v>
      </c>
      <c r="F70" s="33">
        <f>VLOOKUP(C70,'WSS-26'!$C$1:$AU$617,10,)</f>
        <v>0</v>
      </c>
      <c r="G70" s="32">
        <f t="shared" si="58"/>
        <v>0</v>
      </c>
      <c r="H70" s="32">
        <f t="shared" si="58"/>
        <v>0</v>
      </c>
      <c r="I70" s="32">
        <f t="shared" si="58"/>
        <v>0</v>
      </c>
      <c r="J70" s="32">
        <f t="shared" si="58"/>
        <v>0</v>
      </c>
      <c r="K70" s="32">
        <f t="shared" si="58"/>
        <v>0</v>
      </c>
      <c r="L70" s="32">
        <f t="shared" si="58"/>
        <v>0</v>
      </c>
      <c r="M70" s="32">
        <f t="shared" si="58"/>
        <v>0</v>
      </c>
      <c r="N70" s="32">
        <f t="shared" si="58"/>
        <v>0</v>
      </c>
      <c r="O70" s="32">
        <f t="shared" si="58"/>
        <v>0</v>
      </c>
      <c r="P70" s="32">
        <f t="shared" si="58"/>
        <v>0</v>
      </c>
      <c r="Q70" s="32">
        <f t="shared" si="58"/>
        <v>0</v>
      </c>
      <c r="R70" s="32">
        <f t="shared" si="58"/>
        <v>0</v>
      </c>
      <c r="S70" s="32">
        <f t="shared" si="58"/>
        <v>0</v>
      </c>
      <c r="T70" s="32">
        <f t="shared" si="58"/>
        <v>0</v>
      </c>
      <c r="U70" s="32">
        <f t="shared" si="58"/>
        <v>0</v>
      </c>
      <c r="V70" s="32">
        <f t="shared" si="58"/>
        <v>0</v>
      </c>
      <c r="W70" s="34">
        <f t="shared" si="59"/>
        <v>0</v>
      </c>
      <c r="X70" s="30" t="str">
        <f t="shared" si="60"/>
        <v>ok</v>
      </c>
      <c r="Y70" s="66" t="str">
        <f t="shared" si="61"/>
        <v/>
      </c>
    </row>
    <row r="71" spans="1:25" ht="12" hidden="1" customHeight="1" x14ac:dyDescent="0.25">
      <c r="A71" s="39" t="s">
        <v>2135</v>
      </c>
      <c r="C71" s="29" t="s">
        <v>191</v>
      </c>
      <c r="D71" s="29" t="s">
        <v>205</v>
      </c>
      <c r="E71" s="29" t="s">
        <v>376</v>
      </c>
      <c r="F71" s="33">
        <f>VLOOKUP(C71,'WSS-26'!$C$1:$AU$617,11,)</f>
        <v>0</v>
      </c>
      <c r="G71" s="32">
        <f t="shared" si="58"/>
        <v>0</v>
      </c>
      <c r="H71" s="32">
        <f t="shared" si="58"/>
        <v>0</v>
      </c>
      <c r="I71" s="32">
        <f t="shared" si="58"/>
        <v>0</v>
      </c>
      <c r="J71" s="32">
        <f t="shared" si="58"/>
        <v>0</v>
      </c>
      <c r="K71" s="32">
        <f t="shared" si="58"/>
        <v>0</v>
      </c>
      <c r="L71" s="32">
        <f t="shared" si="58"/>
        <v>0</v>
      </c>
      <c r="M71" s="32">
        <f t="shared" si="58"/>
        <v>0</v>
      </c>
      <c r="N71" s="32">
        <f t="shared" si="58"/>
        <v>0</v>
      </c>
      <c r="O71" s="32">
        <f t="shared" si="58"/>
        <v>0</v>
      </c>
      <c r="P71" s="32">
        <f t="shared" si="58"/>
        <v>0</v>
      </c>
      <c r="Q71" s="32">
        <f t="shared" si="58"/>
        <v>0</v>
      </c>
      <c r="R71" s="32">
        <f t="shared" si="58"/>
        <v>0</v>
      </c>
      <c r="S71" s="32">
        <f t="shared" si="58"/>
        <v>0</v>
      </c>
      <c r="T71" s="32">
        <f t="shared" si="58"/>
        <v>0</v>
      </c>
      <c r="U71" s="32">
        <f t="shared" si="58"/>
        <v>0</v>
      </c>
      <c r="V71" s="32">
        <f t="shared" si="58"/>
        <v>0</v>
      </c>
      <c r="W71" s="34">
        <f t="shared" si="59"/>
        <v>0</v>
      </c>
      <c r="X71" s="30" t="str">
        <f t="shared" si="60"/>
        <v>ok</v>
      </c>
      <c r="Y71" s="66" t="str">
        <f t="shared" si="61"/>
        <v/>
      </c>
    </row>
    <row r="72" spans="1:25" ht="12" customHeight="1" x14ac:dyDescent="0.25">
      <c r="A72" s="29" t="s">
        <v>160</v>
      </c>
      <c r="D72" s="29" t="s">
        <v>206</v>
      </c>
      <c r="F72" s="32">
        <f t="shared" ref="F72:T72" si="62">SUM(F66:F71)</f>
        <v>2753659906.0233479</v>
      </c>
      <c r="G72" s="32">
        <f t="shared" si="62"/>
        <v>1138820906.2741797</v>
      </c>
      <c r="H72" s="32">
        <f t="shared" si="62"/>
        <v>258315420.4694964</v>
      </c>
      <c r="I72" s="32">
        <f>SUM(I66:I71)</f>
        <v>17460052.02171183</v>
      </c>
      <c r="J72" s="32">
        <f>SUM(J66:J71)</f>
        <v>286026071.57387298</v>
      </c>
      <c r="K72" s="32">
        <f>SUM(K66:K71)</f>
        <v>19755284.736775398</v>
      </c>
      <c r="L72" s="32">
        <f t="shared" si="62"/>
        <v>266840132.27806681</v>
      </c>
      <c r="M72" s="32">
        <f t="shared" si="62"/>
        <v>521201115.00255299</v>
      </c>
      <c r="N72" s="32">
        <f t="shared" si="62"/>
        <v>170680316.94456485</v>
      </c>
      <c r="O72" s="32">
        <f t="shared" si="62"/>
        <v>71982468.27703923</v>
      </c>
      <c r="P72" s="32">
        <f>SUM(P66:P71)</f>
        <v>1046449.4912183003</v>
      </c>
      <c r="Q72" s="32">
        <f t="shared" si="62"/>
        <v>11935.343238969035</v>
      </c>
      <c r="R72" s="32">
        <f t="shared" si="62"/>
        <v>143431.71681565852</v>
      </c>
      <c r="S72" s="32">
        <f t="shared" si="62"/>
        <v>24181.213814803639</v>
      </c>
      <c r="T72" s="32">
        <f t="shared" si="62"/>
        <v>0</v>
      </c>
      <c r="U72" s="32">
        <f t="shared" ref="U72:V72" si="63">SUM(U66:U71)</f>
        <v>1352140.68</v>
      </c>
      <c r="V72" s="32">
        <f t="shared" si="63"/>
        <v>0</v>
      </c>
      <c r="W72" s="34">
        <f t="shared" ref="W72" si="64">SUM(G72:V72)</f>
        <v>2753659906.0233469</v>
      </c>
      <c r="X72" s="30" t="str">
        <f t="shared" ref="X72" si="65">IF(ABS(F72-W72)&lt;0.01,"ok","err")</f>
        <v>ok</v>
      </c>
      <c r="Y72" s="66" t="str">
        <f t="shared" ref="Y72" si="66">IF(X72="err",W72-F72,"")</f>
        <v/>
      </c>
    </row>
    <row r="73" spans="1:25" ht="12" customHeight="1" x14ac:dyDescent="0.25">
      <c r="F73" s="33"/>
      <c r="G73" s="33"/>
    </row>
    <row r="74" spans="1:25" ht="12" customHeight="1" x14ac:dyDescent="0.25">
      <c r="A74" s="4" t="s">
        <v>426</v>
      </c>
      <c r="F74" s="33"/>
      <c r="G74" s="33"/>
    </row>
    <row r="75" spans="1:25" ht="12" customHeight="1" x14ac:dyDescent="0.25">
      <c r="A75" s="39" t="s">
        <v>2124</v>
      </c>
      <c r="C75" s="29" t="s">
        <v>191</v>
      </c>
      <c r="D75" s="29" t="s">
        <v>207</v>
      </c>
      <c r="E75" s="29" t="s">
        <v>2125</v>
      </c>
      <c r="F75" s="32">
        <f>VLOOKUP(C75,'WSS-26'!$C$1:$AU$617,13,)</f>
        <v>801341279.68185115</v>
      </c>
      <c r="G75" s="32">
        <f t="shared" ref="G75:V77" si="67">IF(VLOOKUP($E75,$D$5:$V$970,3,)=0,0,(VLOOKUP($E75,$D$5:$V$970,G$1,)/VLOOKUP($E75,$D$5:$V$970,3,))*$F75)</f>
        <v>344219592.12516838</v>
      </c>
      <c r="H75" s="32">
        <f t="shared" si="67"/>
        <v>101543080.69561099</v>
      </c>
      <c r="I75" s="32">
        <f t="shared" si="67"/>
        <v>8981383.4436309896</v>
      </c>
      <c r="J75" s="32">
        <f t="shared" si="67"/>
        <v>76609367.685335368</v>
      </c>
      <c r="K75" s="32">
        <f t="shared" si="67"/>
        <v>5075913.5851923712</v>
      </c>
      <c r="L75" s="32">
        <f t="shared" si="67"/>
        <v>61122749.797619827</v>
      </c>
      <c r="M75" s="32">
        <f t="shared" si="67"/>
        <v>130559021.28294764</v>
      </c>
      <c r="N75" s="32">
        <f t="shared" si="67"/>
        <v>41777270.296711296</v>
      </c>
      <c r="O75" s="32">
        <f t="shared" si="67"/>
        <v>25550142.990466125</v>
      </c>
      <c r="P75" s="32">
        <f t="shared" si="67"/>
        <v>5702336.3910053484</v>
      </c>
      <c r="Q75" s="32">
        <f t="shared" si="67"/>
        <v>67284.352099029071</v>
      </c>
      <c r="R75" s="32">
        <f t="shared" si="67"/>
        <v>37022.975642305901</v>
      </c>
      <c r="S75" s="32">
        <f t="shared" si="67"/>
        <v>96114.060421273432</v>
      </c>
      <c r="T75" s="32">
        <f t="shared" si="67"/>
        <v>0</v>
      </c>
      <c r="U75" s="32">
        <f t="shared" si="67"/>
        <v>0</v>
      </c>
      <c r="V75" s="32">
        <f t="shared" si="67"/>
        <v>0</v>
      </c>
      <c r="W75" s="34">
        <f>SUM(G75:V75)</f>
        <v>801341279.68185115</v>
      </c>
      <c r="X75" s="30" t="str">
        <f t="shared" ref="X75" si="68">IF(ABS(F75-W75)&lt;0.01,"ok","err")</f>
        <v>ok</v>
      </c>
      <c r="Y75" s="66" t="str">
        <f t="shared" ref="Y75" si="69">IF(X75="err",W75-F75,"")</f>
        <v/>
      </c>
    </row>
    <row r="76" spans="1:25" ht="12" hidden="1" customHeight="1" x14ac:dyDescent="0.25">
      <c r="A76" s="39" t="s">
        <v>2123</v>
      </c>
      <c r="C76" s="29" t="s">
        <v>191</v>
      </c>
      <c r="D76" s="29" t="s">
        <v>208</v>
      </c>
      <c r="E76" s="29" t="s">
        <v>2125</v>
      </c>
      <c r="F76" s="33">
        <f>VLOOKUP(C76,'WSS-26'!$C$1:$AU$617,14,)</f>
        <v>0</v>
      </c>
      <c r="G76" s="32">
        <f t="shared" si="67"/>
        <v>0</v>
      </c>
      <c r="H76" s="32">
        <f t="shared" si="67"/>
        <v>0</v>
      </c>
      <c r="I76" s="32">
        <f t="shared" si="67"/>
        <v>0</v>
      </c>
      <c r="J76" s="32">
        <f t="shared" si="67"/>
        <v>0</v>
      </c>
      <c r="K76" s="32">
        <f t="shared" si="67"/>
        <v>0</v>
      </c>
      <c r="L76" s="32">
        <f t="shared" si="67"/>
        <v>0</v>
      </c>
      <c r="M76" s="32">
        <f t="shared" si="67"/>
        <v>0</v>
      </c>
      <c r="N76" s="32">
        <f t="shared" si="67"/>
        <v>0</v>
      </c>
      <c r="O76" s="32">
        <f t="shared" si="67"/>
        <v>0</v>
      </c>
      <c r="P76" s="32">
        <f t="shared" si="67"/>
        <v>0</v>
      </c>
      <c r="Q76" s="32">
        <f t="shared" si="67"/>
        <v>0</v>
      </c>
      <c r="R76" s="32">
        <f t="shared" si="67"/>
        <v>0</v>
      </c>
      <c r="S76" s="32">
        <f t="shared" si="67"/>
        <v>0</v>
      </c>
      <c r="T76" s="32">
        <f t="shared" si="67"/>
        <v>0</v>
      </c>
      <c r="U76" s="32">
        <f t="shared" si="67"/>
        <v>0</v>
      </c>
      <c r="V76" s="32">
        <f t="shared" si="67"/>
        <v>0</v>
      </c>
      <c r="W76" s="34">
        <f>SUM(G76:V76)</f>
        <v>0</v>
      </c>
      <c r="X76" s="30" t="str">
        <f t="shared" ref="X76:X77" si="70">IF(ABS(F76-W76)&lt;0.01,"ok","err")</f>
        <v>ok</v>
      </c>
      <c r="Y76" s="66" t="str">
        <f t="shared" ref="Y76:Y77" si="71">IF(X76="err",W76-F76,"")</f>
        <v/>
      </c>
    </row>
    <row r="77" spans="1:25" ht="12" hidden="1" customHeight="1" x14ac:dyDescent="0.25">
      <c r="A77" s="39" t="s">
        <v>2123</v>
      </c>
      <c r="C77" s="29" t="s">
        <v>191</v>
      </c>
      <c r="D77" s="29" t="s">
        <v>209</v>
      </c>
      <c r="E77" s="29" t="s">
        <v>2125</v>
      </c>
      <c r="F77" s="33">
        <f>VLOOKUP(C77,'WSS-26'!$C$1:$AU$617,15,)</f>
        <v>0</v>
      </c>
      <c r="G77" s="32">
        <f t="shared" si="67"/>
        <v>0</v>
      </c>
      <c r="H77" s="32">
        <f t="shared" si="67"/>
        <v>0</v>
      </c>
      <c r="I77" s="32">
        <f t="shared" si="67"/>
        <v>0</v>
      </c>
      <c r="J77" s="32">
        <f t="shared" si="67"/>
        <v>0</v>
      </c>
      <c r="K77" s="32">
        <f t="shared" si="67"/>
        <v>0</v>
      </c>
      <c r="L77" s="32">
        <f t="shared" si="67"/>
        <v>0</v>
      </c>
      <c r="M77" s="32">
        <f t="shared" si="67"/>
        <v>0</v>
      </c>
      <c r="N77" s="32">
        <f t="shared" si="67"/>
        <v>0</v>
      </c>
      <c r="O77" s="32">
        <f t="shared" si="67"/>
        <v>0</v>
      </c>
      <c r="P77" s="32">
        <f t="shared" si="67"/>
        <v>0</v>
      </c>
      <c r="Q77" s="32">
        <f t="shared" si="67"/>
        <v>0</v>
      </c>
      <c r="R77" s="32">
        <f t="shared" si="67"/>
        <v>0</v>
      </c>
      <c r="S77" s="32">
        <f t="shared" si="67"/>
        <v>0</v>
      </c>
      <c r="T77" s="32">
        <f t="shared" si="67"/>
        <v>0</v>
      </c>
      <c r="U77" s="32">
        <f t="shared" si="67"/>
        <v>0</v>
      </c>
      <c r="V77" s="32">
        <f t="shared" si="67"/>
        <v>0</v>
      </c>
      <c r="W77" s="34">
        <f>SUM(G77:V77)</f>
        <v>0</v>
      </c>
      <c r="X77" s="30" t="str">
        <f t="shared" si="70"/>
        <v>ok</v>
      </c>
      <c r="Y77" s="66" t="str">
        <f t="shared" si="71"/>
        <v/>
      </c>
    </row>
    <row r="78" spans="1:25" ht="12" hidden="1" customHeight="1" x14ac:dyDescent="0.25">
      <c r="A78" s="29" t="s">
        <v>428</v>
      </c>
      <c r="D78" s="29" t="s">
        <v>210</v>
      </c>
      <c r="F78" s="32">
        <f t="shared" ref="F78:T78" si="72">SUM(F75:F77)</f>
        <v>801341279.68185115</v>
      </c>
      <c r="G78" s="32">
        <f t="shared" si="72"/>
        <v>344219592.12516838</v>
      </c>
      <c r="H78" s="32">
        <f t="shared" si="72"/>
        <v>101543080.69561099</v>
      </c>
      <c r="I78" s="32">
        <f>SUM(I75:I77)</f>
        <v>8981383.4436309896</v>
      </c>
      <c r="J78" s="32">
        <f>SUM(J75:J77)</f>
        <v>76609367.685335368</v>
      </c>
      <c r="K78" s="32">
        <f>SUM(K75:K77)</f>
        <v>5075913.5851923712</v>
      </c>
      <c r="L78" s="32">
        <f t="shared" si="72"/>
        <v>61122749.797619827</v>
      </c>
      <c r="M78" s="32">
        <f t="shared" si="72"/>
        <v>130559021.28294764</v>
      </c>
      <c r="N78" s="32">
        <f t="shared" si="72"/>
        <v>41777270.296711296</v>
      </c>
      <c r="O78" s="32">
        <f t="shared" si="72"/>
        <v>25550142.990466125</v>
      </c>
      <c r="P78" s="32">
        <f>SUM(P75:P77)</f>
        <v>5702336.3910053484</v>
      </c>
      <c r="Q78" s="32">
        <f t="shared" si="72"/>
        <v>67284.352099029071</v>
      </c>
      <c r="R78" s="32">
        <f t="shared" si="72"/>
        <v>37022.975642305901</v>
      </c>
      <c r="S78" s="32">
        <f t="shared" si="72"/>
        <v>96114.060421273432</v>
      </c>
      <c r="T78" s="32">
        <f t="shared" si="72"/>
        <v>0</v>
      </c>
      <c r="U78" s="32">
        <f t="shared" ref="U78:V78" si="73">SUM(U75:U77)</f>
        <v>0</v>
      </c>
      <c r="V78" s="32">
        <f t="shared" si="73"/>
        <v>0</v>
      </c>
      <c r="W78" s="34">
        <f>SUM(G78:V78)</f>
        <v>801341279.68185115</v>
      </c>
      <c r="X78" s="30" t="str">
        <f>IF(ABS(F78-W78)&lt;0.01,"ok","err")</f>
        <v>ok</v>
      </c>
      <c r="Y78" s="66" t="str">
        <f>IF(X78="err",W78-F78,"")</f>
        <v/>
      </c>
    </row>
    <row r="79" spans="1:25" ht="12" customHeight="1" x14ac:dyDescent="0.25">
      <c r="F79" s="33"/>
      <c r="G79" s="33"/>
    </row>
    <row r="80" spans="1:25" ht="12" customHeight="1" x14ac:dyDescent="0.25">
      <c r="A80" s="4" t="s">
        <v>1593</v>
      </c>
      <c r="F80" s="33"/>
      <c r="G80" s="33"/>
    </row>
    <row r="81" spans="1:25" ht="12" customHeight="1" x14ac:dyDescent="0.25">
      <c r="A81" s="39" t="s">
        <v>145</v>
      </c>
      <c r="C81" s="29" t="s">
        <v>191</v>
      </c>
      <c r="D81" s="29" t="s">
        <v>211</v>
      </c>
      <c r="E81" s="29" t="s">
        <v>2129</v>
      </c>
      <c r="F81" s="32">
        <f>VLOOKUP(C81,'WSS-26'!$C$1:$AU$617,17,)</f>
        <v>0</v>
      </c>
      <c r="G81" s="32">
        <f t="shared" ref="G81:V81" si="74">IF(VLOOKUP($E81,$D$5:$V$970,3,)=0,0,(VLOOKUP($E81,$D$5:$V$970,G$1,)/VLOOKUP($E81,$D$5:$V$970,3,))*$F81)</f>
        <v>0</v>
      </c>
      <c r="H81" s="32">
        <f t="shared" si="74"/>
        <v>0</v>
      </c>
      <c r="I81" s="32">
        <f t="shared" si="74"/>
        <v>0</v>
      </c>
      <c r="J81" s="32">
        <f t="shared" si="74"/>
        <v>0</v>
      </c>
      <c r="K81" s="32">
        <f t="shared" si="74"/>
        <v>0</v>
      </c>
      <c r="L81" s="32">
        <f t="shared" si="74"/>
        <v>0</v>
      </c>
      <c r="M81" s="32">
        <f t="shared" si="74"/>
        <v>0</v>
      </c>
      <c r="N81" s="32">
        <f t="shared" si="74"/>
        <v>0</v>
      </c>
      <c r="O81" s="32">
        <f t="shared" si="74"/>
        <v>0</v>
      </c>
      <c r="P81" s="32">
        <f t="shared" si="74"/>
        <v>0</v>
      </c>
      <c r="Q81" s="32">
        <f t="shared" si="74"/>
        <v>0</v>
      </c>
      <c r="R81" s="32">
        <f t="shared" si="74"/>
        <v>0</v>
      </c>
      <c r="S81" s="32">
        <f t="shared" si="74"/>
        <v>0</v>
      </c>
      <c r="T81" s="32">
        <f t="shared" si="74"/>
        <v>0</v>
      </c>
      <c r="U81" s="32">
        <f t="shared" si="74"/>
        <v>0</v>
      </c>
      <c r="V81" s="32">
        <f t="shared" si="74"/>
        <v>0</v>
      </c>
      <c r="W81" s="34">
        <f>SUM(G81:V81)</f>
        <v>0</v>
      </c>
      <c r="X81" s="30" t="str">
        <f t="shared" ref="X81" si="75">IF(ABS(F81-W81)&lt;0.01,"ok","err")</f>
        <v>ok</v>
      </c>
      <c r="Y81" s="66" t="str">
        <f t="shared" ref="Y81" si="76">IF(X81="err",W81-F81,"")</f>
        <v/>
      </c>
    </row>
    <row r="82" spans="1:25" ht="12" customHeight="1" x14ac:dyDescent="0.25">
      <c r="F82" s="33"/>
    </row>
    <row r="83" spans="1:25" ht="12" customHeight="1" x14ac:dyDescent="0.25">
      <c r="A83" s="4" t="s">
        <v>1594</v>
      </c>
      <c r="F83" s="33"/>
      <c r="G83" s="33"/>
    </row>
    <row r="84" spans="1:25" ht="12" customHeight="1" x14ac:dyDescent="0.25">
      <c r="A84" s="39" t="s">
        <v>147</v>
      </c>
      <c r="C84" s="29" t="s">
        <v>191</v>
      </c>
      <c r="D84" s="29" t="s">
        <v>212</v>
      </c>
      <c r="E84" s="29" t="s">
        <v>2129</v>
      </c>
      <c r="F84" s="32">
        <f>VLOOKUP(C84,'WSS-26'!$C$1:$AU$617,18,)</f>
        <v>192891282.4357987</v>
      </c>
      <c r="G84" s="32">
        <f t="shared" ref="G84:V84" si="77">IF(VLOOKUP($E84,$D$5:$V$970,3,)=0,0,(VLOOKUP($E84,$D$5:$V$970,G$1,)/VLOOKUP($E84,$D$5:$V$970,3,))*$F84)</f>
        <v>90457362.734412089</v>
      </c>
      <c r="H84" s="32">
        <f t="shared" si="77"/>
        <v>26684475.531864867</v>
      </c>
      <c r="I84" s="32">
        <f t="shared" si="77"/>
        <v>2360215.0447088648</v>
      </c>
      <c r="J84" s="32">
        <f t="shared" si="77"/>
        <v>20132152.614504348</v>
      </c>
      <c r="K84" s="32">
        <f t="shared" si="77"/>
        <v>1333897.7992203145</v>
      </c>
      <c r="L84" s="32">
        <f t="shared" si="77"/>
        <v>16062428.97341387</v>
      </c>
      <c r="M84" s="32">
        <f t="shared" si="77"/>
        <v>34309565.802247971</v>
      </c>
      <c r="N84" s="32">
        <f t="shared" si="77"/>
        <v>0</v>
      </c>
      <c r="O84" s="32">
        <f t="shared" si="77"/>
        <v>0</v>
      </c>
      <c r="P84" s="32">
        <f t="shared" si="77"/>
        <v>1498515.2593151708</v>
      </c>
      <c r="Q84" s="32">
        <f t="shared" si="77"/>
        <v>17681.634582724713</v>
      </c>
      <c r="R84" s="32">
        <f t="shared" si="77"/>
        <v>9729.2565960788561</v>
      </c>
      <c r="S84" s="32">
        <f t="shared" si="77"/>
        <v>25257.784932366241</v>
      </c>
      <c r="T84" s="32">
        <f t="shared" si="77"/>
        <v>0</v>
      </c>
      <c r="U84" s="32">
        <f t="shared" si="77"/>
        <v>0</v>
      </c>
      <c r="V84" s="32">
        <f t="shared" si="77"/>
        <v>0</v>
      </c>
      <c r="W84" s="34">
        <f>SUM(G84:V84)</f>
        <v>192891282.43579867</v>
      </c>
      <c r="X84" s="30" t="str">
        <f t="shared" ref="X84" si="78">IF(ABS(F84-W84)&lt;0.01,"ok","err")</f>
        <v>ok</v>
      </c>
      <c r="Y84" s="66" t="str">
        <f t="shared" ref="Y84" si="79">IF(X84="err",W84-F84,"")</f>
        <v/>
      </c>
    </row>
    <row r="85" spans="1:25" ht="12" customHeight="1" x14ac:dyDescent="0.25">
      <c r="F85" s="33"/>
    </row>
    <row r="86" spans="1:25" ht="12" customHeight="1" x14ac:dyDescent="0.25">
      <c r="A86" s="4" t="s">
        <v>146</v>
      </c>
      <c r="F86" s="33"/>
    </row>
    <row r="87" spans="1:25" ht="12" customHeight="1" x14ac:dyDescent="0.25">
      <c r="A87" s="39" t="s">
        <v>767</v>
      </c>
      <c r="C87" s="29" t="s">
        <v>191</v>
      </c>
      <c r="D87" s="29" t="s">
        <v>213</v>
      </c>
      <c r="E87" s="29" t="s">
        <v>2129</v>
      </c>
      <c r="F87" s="32">
        <f>VLOOKUP(C87,'WSS-26'!$C$1:$AU$617,19,)</f>
        <v>0</v>
      </c>
      <c r="G87" s="32">
        <f t="shared" ref="G87:V91" si="80">IF(VLOOKUP($E87,$D$5:$V$970,3,)=0,0,(VLOOKUP($E87,$D$5:$V$970,G$1,)/VLOOKUP($E87,$D$5:$V$970,3,))*$F87)</f>
        <v>0</v>
      </c>
      <c r="H87" s="32">
        <f t="shared" si="80"/>
        <v>0</v>
      </c>
      <c r="I87" s="32">
        <f t="shared" si="80"/>
        <v>0</v>
      </c>
      <c r="J87" s="32">
        <f t="shared" si="80"/>
        <v>0</v>
      </c>
      <c r="K87" s="32">
        <f t="shared" si="80"/>
        <v>0</v>
      </c>
      <c r="L87" s="32">
        <f t="shared" si="80"/>
        <v>0</v>
      </c>
      <c r="M87" s="32">
        <f t="shared" si="80"/>
        <v>0</v>
      </c>
      <c r="N87" s="32">
        <f t="shared" si="80"/>
        <v>0</v>
      </c>
      <c r="O87" s="32">
        <f t="shared" si="80"/>
        <v>0</v>
      </c>
      <c r="P87" s="32">
        <f t="shared" si="80"/>
        <v>0</v>
      </c>
      <c r="Q87" s="32">
        <f t="shared" si="80"/>
        <v>0</v>
      </c>
      <c r="R87" s="32">
        <f t="shared" si="80"/>
        <v>0</v>
      </c>
      <c r="S87" s="32">
        <f t="shared" si="80"/>
        <v>0</v>
      </c>
      <c r="T87" s="32">
        <f t="shared" si="80"/>
        <v>0</v>
      </c>
      <c r="U87" s="32">
        <f t="shared" si="80"/>
        <v>0</v>
      </c>
      <c r="V87" s="32">
        <f t="shared" si="80"/>
        <v>0</v>
      </c>
      <c r="W87" s="34">
        <f t="shared" ref="W87:W91" si="81">SUM(G87:V87)</f>
        <v>0</v>
      </c>
      <c r="X87" s="30" t="str">
        <f t="shared" ref="X87:X91" si="82">IF(ABS(F87-W87)&lt;0.01,"ok","err")</f>
        <v>ok</v>
      </c>
      <c r="Y87" s="66" t="str">
        <f t="shared" ref="Y87:Y91" si="83">IF(X87="err",W87-F87,"")</f>
        <v/>
      </c>
    </row>
    <row r="88" spans="1:25" ht="12" customHeight="1" x14ac:dyDescent="0.25">
      <c r="A88" s="39" t="s">
        <v>768</v>
      </c>
      <c r="C88" s="29" t="s">
        <v>191</v>
      </c>
      <c r="D88" s="29" t="s">
        <v>214</v>
      </c>
      <c r="E88" s="29" t="s">
        <v>2129</v>
      </c>
      <c r="F88" s="33">
        <f>VLOOKUP(C88,'WSS-26'!$C$1:$AU$617,20,)</f>
        <v>157810826.04909959</v>
      </c>
      <c r="G88" s="32">
        <f t="shared" si="80"/>
        <v>74006201.602666542</v>
      </c>
      <c r="H88" s="32">
        <f t="shared" si="80"/>
        <v>21831464.196792766</v>
      </c>
      <c r="I88" s="32">
        <f t="shared" si="80"/>
        <v>1930971.0690683462</v>
      </c>
      <c r="J88" s="32">
        <f t="shared" si="80"/>
        <v>16470789.110435395</v>
      </c>
      <c r="K88" s="32">
        <f t="shared" si="80"/>
        <v>1091306.5168204121</v>
      </c>
      <c r="L88" s="32">
        <f t="shared" si="80"/>
        <v>13141211.736684453</v>
      </c>
      <c r="M88" s="32">
        <f t="shared" si="80"/>
        <v>28069806.225902453</v>
      </c>
      <c r="N88" s="32">
        <f t="shared" si="80"/>
        <v>0</v>
      </c>
      <c r="O88" s="32">
        <f t="shared" si="80"/>
        <v>0</v>
      </c>
      <c r="P88" s="32">
        <f t="shared" si="80"/>
        <v>1225985.5807554065</v>
      </c>
      <c r="Q88" s="32">
        <f t="shared" si="80"/>
        <v>14465.938139671218</v>
      </c>
      <c r="R88" s="32">
        <f t="shared" si="80"/>
        <v>7959.831055516398</v>
      </c>
      <c r="S88" s="32">
        <f t="shared" si="80"/>
        <v>20664.240778604853</v>
      </c>
      <c r="T88" s="32">
        <f t="shared" si="80"/>
        <v>0</v>
      </c>
      <c r="U88" s="32">
        <f t="shared" si="80"/>
        <v>0</v>
      </c>
      <c r="V88" s="32">
        <f t="shared" si="80"/>
        <v>0</v>
      </c>
      <c r="W88" s="34">
        <f t="shared" si="81"/>
        <v>157810826.04909959</v>
      </c>
      <c r="X88" s="30" t="str">
        <f t="shared" si="82"/>
        <v>ok</v>
      </c>
      <c r="Y88" s="66" t="str">
        <f t="shared" si="83"/>
        <v/>
      </c>
    </row>
    <row r="89" spans="1:25" ht="12" customHeight="1" x14ac:dyDescent="0.25">
      <c r="A89" s="39" t="s">
        <v>769</v>
      </c>
      <c r="C89" s="29" t="s">
        <v>191</v>
      </c>
      <c r="D89" s="29" t="s">
        <v>215</v>
      </c>
      <c r="E89" s="29" t="s">
        <v>2303</v>
      </c>
      <c r="F89" s="33">
        <f>VLOOKUP(C89,'WSS-26'!$C$1:$AU$617,21,)</f>
        <v>296962242.28070343</v>
      </c>
      <c r="G89" s="32">
        <f t="shared" si="80"/>
        <v>237188396.73574272</v>
      </c>
      <c r="H89" s="32">
        <f t="shared" si="80"/>
        <v>45893806.12085674</v>
      </c>
      <c r="I89" s="32">
        <f t="shared" si="80"/>
        <v>303338.47192634782</v>
      </c>
      <c r="J89" s="32">
        <f t="shared" si="80"/>
        <v>2430513.0967431916</v>
      </c>
      <c r="K89" s="32">
        <f t="shared" si="80"/>
        <v>111985.17063947607</v>
      </c>
      <c r="L89" s="32">
        <f t="shared" si="80"/>
        <v>399852.29326291371</v>
      </c>
      <c r="M89" s="32">
        <f t="shared" si="80"/>
        <v>140965.41067243952</v>
      </c>
      <c r="N89" s="32">
        <f t="shared" si="80"/>
        <v>0</v>
      </c>
      <c r="O89" s="32">
        <f t="shared" si="80"/>
        <v>0</v>
      </c>
      <c r="P89" s="32">
        <f t="shared" si="80"/>
        <v>10442284.951538632</v>
      </c>
      <c r="Q89" s="32">
        <f t="shared" si="80"/>
        <v>1630.8519996040204</v>
      </c>
      <c r="R89" s="32">
        <f t="shared" si="80"/>
        <v>46207.47332211391</v>
      </c>
      <c r="S89" s="32">
        <f t="shared" si="80"/>
        <v>3261.7039992080408</v>
      </c>
      <c r="T89" s="32">
        <f t="shared" si="80"/>
        <v>0</v>
      </c>
      <c r="U89" s="32">
        <f t="shared" si="80"/>
        <v>0</v>
      </c>
      <c r="V89" s="32">
        <f t="shared" si="80"/>
        <v>0</v>
      </c>
      <c r="W89" s="34">
        <f t="shared" si="81"/>
        <v>296962242.28070325</v>
      </c>
      <c r="X89" s="30" t="str">
        <f t="shared" si="82"/>
        <v>ok</v>
      </c>
      <c r="Y89" s="66" t="str">
        <f t="shared" si="83"/>
        <v/>
      </c>
    </row>
    <row r="90" spans="1:25" ht="12" customHeight="1" x14ac:dyDescent="0.25">
      <c r="A90" s="39" t="s">
        <v>770</v>
      </c>
      <c r="C90" s="29" t="s">
        <v>191</v>
      </c>
      <c r="D90" s="29" t="s">
        <v>216</v>
      </c>
      <c r="E90" s="29" t="s">
        <v>709</v>
      </c>
      <c r="F90" s="33">
        <f>VLOOKUP(C90,'WSS-26'!$C$1:$AU$617,22,)</f>
        <v>85962125.072433695</v>
      </c>
      <c r="G90" s="32">
        <f t="shared" si="80"/>
        <v>66836243.502714477</v>
      </c>
      <c r="H90" s="32">
        <f t="shared" si="80"/>
        <v>17513805.492490456</v>
      </c>
      <c r="I90" s="32">
        <f t="shared" si="80"/>
        <v>1046414.891303396</v>
      </c>
      <c r="J90" s="32">
        <f t="shared" si="80"/>
        <v>0</v>
      </c>
      <c r="K90" s="32">
        <f t="shared" si="80"/>
        <v>0</v>
      </c>
      <c r="L90" s="32">
        <f t="shared" si="80"/>
        <v>0</v>
      </c>
      <c r="M90" s="32">
        <f t="shared" si="80"/>
        <v>0</v>
      </c>
      <c r="N90" s="32">
        <f t="shared" si="80"/>
        <v>0</v>
      </c>
      <c r="O90" s="32">
        <f t="shared" si="80"/>
        <v>0</v>
      </c>
      <c r="P90" s="32">
        <f t="shared" si="80"/>
        <v>555499.9620637357</v>
      </c>
      <c r="Q90" s="32">
        <f t="shared" si="80"/>
        <v>6554.5861337556134</v>
      </c>
      <c r="R90" s="32">
        <f t="shared" si="80"/>
        <v>3606.6377278667724</v>
      </c>
      <c r="S90" s="32">
        <f t="shared" si="80"/>
        <v>0</v>
      </c>
      <c r="T90" s="32">
        <f t="shared" si="80"/>
        <v>0</v>
      </c>
      <c r="U90" s="32">
        <f t="shared" si="80"/>
        <v>0</v>
      </c>
      <c r="V90" s="32">
        <f t="shared" si="80"/>
        <v>0</v>
      </c>
      <c r="W90" s="34">
        <f t="shared" si="81"/>
        <v>85962125.072433665</v>
      </c>
      <c r="X90" s="30" t="str">
        <f t="shared" si="82"/>
        <v>ok</v>
      </c>
      <c r="Y90" s="66" t="str">
        <f t="shared" si="83"/>
        <v/>
      </c>
    </row>
    <row r="91" spans="1:25" ht="12" customHeight="1" x14ac:dyDescent="0.25">
      <c r="A91" s="39" t="s">
        <v>771</v>
      </c>
      <c r="C91" s="29" t="s">
        <v>191</v>
      </c>
      <c r="D91" s="29" t="s">
        <v>217</v>
      </c>
      <c r="E91" s="29" t="s">
        <v>2302</v>
      </c>
      <c r="F91" s="33">
        <f>VLOOKUP(C91,'WSS-26'!$C$1:$AU$617,23,)</f>
        <v>159242931.82209611</v>
      </c>
      <c r="G91" s="32">
        <f t="shared" si="80"/>
        <v>128525700.62614807</v>
      </c>
      <c r="H91" s="32">
        <f t="shared" si="80"/>
        <v>24868558.779691964</v>
      </c>
      <c r="I91" s="32">
        <f t="shared" si="80"/>
        <v>164370.56014436961</v>
      </c>
      <c r="J91" s="32">
        <f t="shared" si="80"/>
        <v>0</v>
      </c>
      <c r="K91" s="32">
        <f t="shared" si="80"/>
        <v>0</v>
      </c>
      <c r="L91" s="32">
        <f t="shared" si="80"/>
        <v>0</v>
      </c>
      <c r="M91" s="32">
        <f t="shared" si="80"/>
        <v>0</v>
      </c>
      <c r="N91" s="32">
        <f t="shared" si="80"/>
        <v>0</v>
      </c>
      <c r="O91" s="32">
        <f t="shared" si="80"/>
        <v>0</v>
      </c>
      <c r="P91" s="32">
        <f t="shared" si="80"/>
        <v>5658379.6172358859</v>
      </c>
      <c r="Q91" s="32">
        <f t="shared" si="80"/>
        <v>883.71268894822379</v>
      </c>
      <c r="R91" s="32">
        <f t="shared" si="80"/>
        <v>25038.526186866337</v>
      </c>
      <c r="S91" s="32">
        <f t="shared" si="80"/>
        <v>0</v>
      </c>
      <c r="T91" s="32">
        <f t="shared" si="80"/>
        <v>0</v>
      </c>
      <c r="U91" s="32">
        <f t="shared" si="80"/>
        <v>0</v>
      </c>
      <c r="V91" s="32">
        <f t="shared" si="80"/>
        <v>0</v>
      </c>
      <c r="W91" s="34">
        <f t="shared" si="81"/>
        <v>159242931.82209611</v>
      </c>
      <c r="X91" s="30" t="str">
        <f t="shared" si="82"/>
        <v>ok</v>
      </c>
      <c r="Y91" s="66" t="str">
        <f t="shared" si="83"/>
        <v/>
      </c>
    </row>
    <row r="92" spans="1:25" ht="12" customHeight="1" x14ac:dyDescent="0.25">
      <c r="A92" s="29" t="s">
        <v>151</v>
      </c>
      <c r="D92" s="29" t="s">
        <v>218</v>
      </c>
      <c r="F92" s="32">
        <f>SUM(F87:F91)</f>
        <v>699978125.22433281</v>
      </c>
      <c r="G92" s="32">
        <f t="shared" ref="G92:T92" si="84">SUM(G87:G91)</f>
        <v>506556542.4672718</v>
      </c>
      <c r="H92" s="32">
        <f t="shared" si="84"/>
        <v>110107634.58983193</v>
      </c>
      <c r="I92" s="32">
        <f>SUM(I87:I91)</f>
        <v>3445094.9924424593</v>
      </c>
      <c r="J92" s="32">
        <f>SUM(J87:J91)</f>
        <v>18901302.207178585</v>
      </c>
      <c r="K92" s="32">
        <f>SUM(K87:K91)</f>
        <v>1203291.6874598882</v>
      </c>
      <c r="L92" s="32">
        <f t="shared" si="84"/>
        <v>13541064.029947367</v>
      </c>
      <c r="M92" s="32">
        <f t="shared" si="84"/>
        <v>28210771.636574894</v>
      </c>
      <c r="N92" s="32">
        <f t="shared" si="84"/>
        <v>0</v>
      </c>
      <c r="O92" s="32">
        <f t="shared" si="84"/>
        <v>0</v>
      </c>
      <c r="P92" s="32">
        <f>SUM(P87:P91)</f>
        <v>17882150.11159366</v>
      </c>
      <c r="Q92" s="32">
        <f t="shared" si="84"/>
        <v>23535.088961979076</v>
      </c>
      <c r="R92" s="32">
        <f t="shared" si="84"/>
        <v>82812.468292363425</v>
      </c>
      <c r="S92" s="32">
        <f t="shared" si="84"/>
        <v>23925.944777812896</v>
      </c>
      <c r="T92" s="32">
        <f t="shared" si="84"/>
        <v>0</v>
      </c>
      <c r="U92" s="32">
        <f t="shared" ref="U92:V92" si="85">SUM(U87:U91)</f>
        <v>0</v>
      </c>
      <c r="V92" s="32">
        <f t="shared" si="85"/>
        <v>0</v>
      </c>
      <c r="W92" s="34">
        <f t="shared" ref="W92" si="86">SUM(G92:V92)</f>
        <v>699978125.22433281</v>
      </c>
      <c r="X92" s="30" t="str">
        <f t="shared" ref="X92" si="87">IF(ABS(F92-W92)&lt;0.01,"ok","err")</f>
        <v>ok</v>
      </c>
      <c r="Y92" s="34" t="str">
        <f t="shared" ref="Y92" si="88">IF(X92="err",W92-F92,"")</f>
        <v/>
      </c>
    </row>
    <row r="93" spans="1:25" ht="12" customHeight="1" x14ac:dyDescent="0.25">
      <c r="F93" s="33"/>
    </row>
    <row r="94" spans="1:25" ht="12" customHeight="1" x14ac:dyDescent="0.25">
      <c r="A94" s="4" t="s">
        <v>766</v>
      </c>
      <c r="F94" s="33"/>
    </row>
    <row r="95" spans="1:25" ht="12" customHeight="1" x14ac:dyDescent="0.25">
      <c r="A95" s="39" t="s">
        <v>375</v>
      </c>
      <c r="C95" s="29" t="s">
        <v>191</v>
      </c>
      <c r="D95" s="29" t="s">
        <v>219</v>
      </c>
      <c r="E95" s="29" t="s">
        <v>2058</v>
      </c>
      <c r="F95" s="32">
        <f>VLOOKUP(C95,'WSS-26'!$C$1:$AU$617,24,)</f>
        <v>116445918.02613682</v>
      </c>
      <c r="G95" s="32">
        <f t="shared" ref="G95:V96" si="89">IF(VLOOKUP($E95,$D$5:$V$970,3,)=0,0,(VLOOKUP($E95,$D$5:$V$970,G$1,)/VLOOKUP($E95,$D$5:$V$970,3,))*$F95)</f>
        <v>74236016.587967336</v>
      </c>
      <c r="H95" s="32">
        <f t="shared" si="89"/>
        <v>19452846.044618752</v>
      </c>
      <c r="I95" s="32">
        <f t="shared" si="89"/>
        <v>1162268.6907222723</v>
      </c>
      <c r="J95" s="32">
        <f t="shared" si="89"/>
        <v>12359324.321120679</v>
      </c>
      <c r="K95" s="32">
        <f t="shared" si="89"/>
        <v>0</v>
      </c>
      <c r="L95" s="32">
        <f t="shared" si="89"/>
        <v>8591202.5973801054</v>
      </c>
      <c r="M95" s="32">
        <f t="shared" si="89"/>
        <v>0</v>
      </c>
      <c r="N95" s="32">
        <f t="shared" si="89"/>
        <v>0</v>
      </c>
      <c r="O95" s="32">
        <f t="shared" si="89"/>
        <v>0</v>
      </c>
      <c r="P95" s="32">
        <f t="shared" si="89"/>
        <v>617002.12694784184</v>
      </c>
      <c r="Q95" s="32">
        <f t="shared" si="89"/>
        <v>7280.2769792557274</v>
      </c>
      <c r="R95" s="32">
        <f t="shared" si="89"/>
        <v>4005.9465368042793</v>
      </c>
      <c r="S95" s="32">
        <f t="shared" si="89"/>
        <v>15971.433863760023</v>
      </c>
      <c r="T95" s="32">
        <f t="shared" si="89"/>
        <v>0</v>
      </c>
      <c r="U95" s="32">
        <f t="shared" si="89"/>
        <v>0</v>
      </c>
      <c r="V95" s="32">
        <f t="shared" si="89"/>
        <v>0</v>
      </c>
      <c r="W95" s="34">
        <f>SUM(G95:V95)</f>
        <v>116445918.0261368</v>
      </c>
      <c r="X95" s="30" t="str">
        <f t="shared" ref="X95:X96" si="90">IF(ABS(F95-W95)&lt;0.01,"ok","err")</f>
        <v>ok</v>
      </c>
      <c r="Y95" s="66" t="str">
        <f t="shared" ref="Y95:Y96" si="91">IF(X95="err",W95-F95,"")</f>
        <v/>
      </c>
    </row>
    <row r="96" spans="1:25" ht="12" customHeight="1" x14ac:dyDescent="0.25">
      <c r="A96" s="39" t="s">
        <v>378</v>
      </c>
      <c r="C96" s="29" t="s">
        <v>191</v>
      </c>
      <c r="D96" s="29" t="s">
        <v>220</v>
      </c>
      <c r="E96" s="29" t="s">
        <v>2304</v>
      </c>
      <c r="F96" s="33">
        <f>VLOOKUP(C96,'WSS-26'!$C$1:$AU$617,25,)</f>
        <v>100987948.48753521</v>
      </c>
      <c r="G96" s="32">
        <f t="shared" si="89"/>
        <v>80729421.900471523</v>
      </c>
      <c r="H96" s="32">
        <f t="shared" si="89"/>
        <v>15620411.824263452</v>
      </c>
      <c r="I96" s="32">
        <f t="shared" si="89"/>
        <v>103244.25568789318</v>
      </c>
      <c r="J96" s="32">
        <f t="shared" si="89"/>
        <v>827249.22433793976</v>
      </c>
      <c r="K96" s="32">
        <f t="shared" si="89"/>
        <v>0</v>
      </c>
      <c r="L96" s="32">
        <f t="shared" si="89"/>
        <v>136093.69144923467</v>
      </c>
      <c r="M96" s="32">
        <f t="shared" si="89"/>
        <v>0</v>
      </c>
      <c r="N96" s="32">
        <f t="shared" si="89"/>
        <v>0</v>
      </c>
      <c r="O96" s="32">
        <f t="shared" si="89"/>
        <v>0</v>
      </c>
      <c r="P96" s="32">
        <f t="shared" si="89"/>
        <v>3554135.1898293463</v>
      </c>
      <c r="Q96" s="32">
        <f t="shared" si="89"/>
        <v>555.07664348329672</v>
      </c>
      <c r="R96" s="32">
        <f t="shared" si="89"/>
        <v>15727.171565360073</v>
      </c>
      <c r="S96" s="32">
        <f t="shared" si="89"/>
        <v>1110.1532869665934</v>
      </c>
      <c r="T96" s="32">
        <f t="shared" si="89"/>
        <v>0</v>
      </c>
      <c r="U96" s="32">
        <f t="shared" si="89"/>
        <v>0</v>
      </c>
      <c r="V96" s="32">
        <f t="shared" si="89"/>
        <v>0</v>
      </c>
      <c r="W96" s="34">
        <f>SUM(G96:V96)</f>
        <v>100987948.48753519</v>
      </c>
      <c r="X96" s="30" t="str">
        <f t="shared" si="90"/>
        <v>ok</v>
      </c>
      <c r="Y96" s="66" t="str">
        <f t="shared" si="91"/>
        <v/>
      </c>
    </row>
    <row r="97" spans="1:25" ht="12" customHeight="1" x14ac:dyDescent="0.25">
      <c r="A97" s="29" t="s">
        <v>1434</v>
      </c>
      <c r="D97" s="29" t="s">
        <v>221</v>
      </c>
      <c r="F97" s="32">
        <f t="shared" ref="F97:T97" si="92">F95+F96</f>
        <v>217433866.51367202</v>
      </c>
      <c r="G97" s="32">
        <f t="shared" si="92"/>
        <v>154965438.48843884</v>
      </c>
      <c r="H97" s="32">
        <f t="shared" si="92"/>
        <v>35073257.868882202</v>
      </c>
      <c r="I97" s="32">
        <f>I95+I96</f>
        <v>1265512.9464101654</v>
      </c>
      <c r="J97" s="32">
        <f>J95+J96</f>
        <v>13186573.545458619</v>
      </c>
      <c r="K97" s="32">
        <f>K95+K96</f>
        <v>0</v>
      </c>
      <c r="L97" s="32">
        <f t="shared" si="92"/>
        <v>8727296.2888293397</v>
      </c>
      <c r="M97" s="32">
        <f t="shared" si="92"/>
        <v>0</v>
      </c>
      <c r="N97" s="32">
        <f t="shared" si="92"/>
        <v>0</v>
      </c>
      <c r="O97" s="32">
        <f t="shared" si="92"/>
        <v>0</v>
      </c>
      <c r="P97" s="32">
        <f>P95+P96</f>
        <v>4171137.3167771883</v>
      </c>
      <c r="Q97" s="32">
        <f t="shared" si="92"/>
        <v>7835.3536227390241</v>
      </c>
      <c r="R97" s="32">
        <f t="shared" si="92"/>
        <v>19733.118102164353</v>
      </c>
      <c r="S97" s="32">
        <f t="shared" si="92"/>
        <v>17081.587150726617</v>
      </c>
      <c r="T97" s="32">
        <f t="shared" si="92"/>
        <v>0</v>
      </c>
      <c r="U97" s="32">
        <f t="shared" ref="U97:V97" si="93">U95+U96</f>
        <v>0</v>
      </c>
      <c r="V97" s="32">
        <f t="shared" si="93"/>
        <v>0</v>
      </c>
      <c r="W97" s="34">
        <f>SUM(G97:V97)</f>
        <v>217433866.51367199</v>
      </c>
      <c r="X97" s="30" t="str">
        <f>IF(ABS(F97-W97)&lt;0.01,"ok","err")</f>
        <v>ok</v>
      </c>
      <c r="Y97" s="34" t="str">
        <f>IF(X97="err",W97-F97,"")</f>
        <v/>
      </c>
    </row>
    <row r="98" spans="1:25" ht="12" customHeight="1" x14ac:dyDescent="0.25">
      <c r="F98" s="33"/>
    </row>
    <row r="99" spans="1:25" ht="12" customHeight="1" x14ac:dyDescent="0.25">
      <c r="A99" s="4" t="s">
        <v>128</v>
      </c>
      <c r="F99" s="33"/>
    </row>
    <row r="100" spans="1:25" ht="12" customHeight="1" x14ac:dyDescent="0.25">
      <c r="A100" s="39" t="s">
        <v>378</v>
      </c>
      <c r="C100" s="29" t="s">
        <v>191</v>
      </c>
      <c r="D100" s="29" t="s">
        <v>222</v>
      </c>
      <c r="E100" s="29" t="s">
        <v>379</v>
      </c>
      <c r="F100" s="32">
        <f>VLOOKUP(C100,'WSS-26'!$C$1:$AU$617,26,)</f>
        <v>74781369.745024964</v>
      </c>
      <c r="G100" s="32">
        <f t="shared" ref="G100:V100" si="94">IF(VLOOKUP($E100,$D$5:$V$970,3,)=0,0,(VLOOKUP($E100,$D$5:$V$970,G$1,)/VLOOKUP($E100,$D$5:$V$970,3,))*$F100)</f>
        <v>52473543.260095976</v>
      </c>
      <c r="H100" s="32">
        <f t="shared" si="94"/>
        <v>20578830.828034647</v>
      </c>
      <c r="I100" s="32">
        <f t="shared" si="94"/>
        <v>176585.29696254325</v>
      </c>
      <c r="J100" s="32">
        <f t="shared" si="94"/>
        <v>1316409.2741292806</v>
      </c>
      <c r="K100" s="32">
        <f t="shared" si="94"/>
        <v>0</v>
      </c>
      <c r="L100" s="32">
        <f t="shared" si="94"/>
        <v>234233.96171166503</v>
      </c>
      <c r="M100" s="32">
        <f t="shared" si="94"/>
        <v>0</v>
      </c>
      <c r="N100" s="32">
        <f t="shared" si="94"/>
        <v>0</v>
      </c>
      <c r="O100" s="32">
        <f t="shared" si="94"/>
        <v>0</v>
      </c>
      <c r="P100" s="32">
        <f t="shared" si="94"/>
        <v>0</v>
      </c>
      <c r="Q100" s="32">
        <f t="shared" si="94"/>
        <v>0</v>
      </c>
      <c r="R100" s="32">
        <f t="shared" si="94"/>
        <v>0</v>
      </c>
      <c r="S100" s="32">
        <f t="shared" si="94"/>
        <v>1767.1240908589041</v>
      </c>
      <c r="T100" s="32">
        <f t="shared" si="94"/>
        <v>0</v>
      </c>
      <c r="U100" s="32">
        <f t="shared" si="94"/>
        <v>0</v>
      </c>
      <c r="V100" s="32">
        <f t="shared" si="94"/>
        <v>0</v>
      </c>
      <c r="W100" s="34">
        <f>SUM(G100:V100)</f>
        <v>74781369.745024979</v>
      </c>
      <c r="X100" s="30" t="str">
        <f t="shared" ref="X100" si="95">IF(ABS(F100-W100)&lt;0.01,"ok","err")</f>
        <v>ok</v>
      </c>
      <c r="Y100" s="66" t="str">
        <f t="shared" ref="Y100" si="96">IF(X100="err",W100-F100,"")</f>
        <v/>
      </c>
    </row>
    <row r="101" spans="1:25" ht="12" customHeight="1" x14ac:dyDescent="0.25">
      <c r="F101" s="33"/>
    </row>
    <row r="102" spans="1:25" ht="12" customHeight="1" x14ac:dyDescent="0.25">
      <c r="A102" s="4" t="s">
        <v>127</v>
      </c>
      <c r="F102" s="33"/>
    </row>
    <row r="103" spans="1:25" ht="12" customHeight="1" x14ac:dyDescent="0.25">
      <c r="A103" s="39" t="s">
        <v>378</v>
      </c>
      <c r="C103" s="29" t="s">
        <v>191</v>
      </c>
      <c r="D103" s="29" t="s">
        <v>223</v>
      </c>
      <c r="E103" s="29" t="s">
        <v>2284</v>
      </c>
      <c r="F103" s="32">
        <f>VLOOKUP(C103,'WSS-26'!$C$1:$AU$617,27,)</f>
        <v>53433764.74503462</v>
      </c>
      <c r="G103" s="32">
        <f t="shared" ref="G103:V103" si="97">IF(VLOOKUP($E103,$D$5:$V$970,3,)=0,0,(VLOOKUP($E103,$D$5:$V$970,G$1,)/VLOOKUP($E103,$D$5:$V$970,3,))*$F103)</f>
        <v>32827421.634554908</v>
      </c>
      <c r="H103" s="32">
        <f t="shared" si="97"/>
        <v>12628586.921352245</v>
      </c>
      <c r="I103" s="32">
        <f t="shared" si="97"/>
        <v>277405.26504465227</v>
      </c>
      <c r="J103" s="32">
        <f t="shared" si="97"/>
        <v>3562769.6336716097</v>
      </c>
      <c r="K103" s="32">
        <f t="shared" si="97"/>
        <v>837895.41064658109</v>
      </c>
      <c r="L103" s="32">
        <f t="shared" si="97"/>
        <v>692195.51576311304</v>
      </c>
      <c r="M103" s="32">
        <f t="shared" si="97"/>
        <v>1490091.3070191608</v>
      </c>
      <c r="N103" s="32">
        <f t="shared" si="97"/>
        <v>883461.44243367075</v>
      </c>
      <c r="O103" s="32">
        <f t="shared" si="97"/>
        <v>44648.825352589294</v>
      </c>
      <c r="P103" s="32">
        <f t="shared" si="97"/>
        <v>0</v>
      </c>
      <c r="Q103" s="32">
        <f t="shared" si="97"/>
        <v>2331.7970784188251</v>
      </c>
      <c r="R103" s="32">
        <f t="shared" si="97"/>
        <v>57542.734354529079</v>
      </c>
      <c r="S103" s="32">
        <f t="shared" si="97"/>
        <v>4782.5977631507913</v>
      </c>
      <c r="T103" s="32">
        <f t="shared" si="97"/>
        <v>124631.66</v>
      </c>
      <c r="U103" s="32">
        <f t="shared" si="97"/>
        <v>0</v>
      </c>
      <c r="V103" s="32">
        <f t="shared" si="97"/>
        <v>0</v>
      </c>
      <c r="W103" s="34">
        <f>SUM(G103:V103)</f>
        <v>53433764.745034613</v>
      </c>
      <c r="X103" s="30" t="str">
        <f t="shared" ref="X103" si="98">IF(ABS(F103-W103)&lt;0.01,"ok","err")</f>
        <v>ok</v>
      </c>
      <c r="Y103" s="66" t="str">
        <f t="shared" ref="Y103" si="99">IF(X103="err",W103-F103,"")</f>
        <v/>
      </c>
    </row>
    <row r="104" spans="1:25" ht="12" customHeight="1" x14ac:dyDescent="0.25">
      <c r="F104" s="33"/>
    </row>
    <row r="105" spans="1:25" ht="12" customHeight="1" x14ac:dyDescent="0.25">
      <c r="A105" s="4" t="s">
        <v>144</v>
      </c>
      <c r="F105" s="33"/>
    </row>
    <row r="106" spans="1:25" ht="12" customHeight="1" x14ac:dyDescent="0.25">
      <c r="A106" s="39" t="s">
        <v>378</v>
      </c>
      <c r="C106" s="29" t="s">
        <v>191</v>
      </c>
      <c r="D106" s="29" t="s">
        <v>224</v>
      </c>
      <c r="E106" s="29" t="s">
        <v>2299</v>
      </c>
      <c r="F106" s="32">
        <f>VLOOKUP(C106,'WSS-26'!$C$1:$AU$617,28,)</f>
        <v>87559273.069333047</v>
      </c>
      <c r="G106" s="32">
        <f t="shared" ref="G106:V106" si="100">IF(VLOOKUP($E106,$D$5:$V$970,3,)=0,0,(VLOOKUP($E106,$D$5:$V$970,G$1,)/VLOOKUP($E106,$D$5:$V$970,3,))*$F106)</f>
        <v>0</v>
      </c>
      <c r="H106" s="32">
        <f t="shared" si="100"/>
        <v>0</v>
      </c>
      <c r="I106" s="32">
        <f t="shared" si="100"/>
        <v>0</v>
      </c>
      <c r="J106" s="32">
        <f t="shared" si="100"/>
        <v>0</v>
      </c>
      <c r="K106" s="32">
        <f t="shared" si="100"/>
        <v>0</v>
      </c>
      <c r="L106" s="32">
        <f t="shared" si="100"/>
        <v>0</v>
      </c>
      <c r="M106" s="32">
        <f t="shared" si="100"/>
        <v>0</v>
      </c>
      <c r="N106" s="32">
        <f t="shared" si="100"/>
        <v>0</v>
      </c>
      <c r="O106" s="32">
        <f t="shared" si="100"/>
        <v>0</v>
      </c>
      <c r="P106" s="32">
        <f t="shared" si="100"/>
        <v>87559273.069333047</v>
      </c>
      <c r="Q106" s="32">
        <f t="shared" si="100"/>
        <v>0</v>
      </c>
      <c r="R106" s="32">
        <f t="shared" si="100"/>
        <v>0</v>
      </c>
      <c r="S106" s="32">
        <f t="shared" si="100"/>
        <v>0</v>
      </c>
      <c r="T106" s="32">
        <f t="shared" si="100"/>
        <v>0</v>
      </c>
      <c r="U106" s="32">
        <f t="shared" si="100"/>
        <v>0</v>
      </c>
      <c r="V106" s="32">
        <f t="shared" si="100"/>
        <v>0</v>
      </c>
      <c r="W106" s="34">
        <f>SUM(G106:V106)</f>
        <v>87559273.069333047</v>
      </c>
      <c r="X106" s="30" t="str">
        <f t="shared" ref="X106" si="101">IF(ABS(F106-W106)&lt;0.01,"ok","err")</f>
        <v>ok</v>
      </c>
      <c r="Y106" s="66" t="str">
        <f t="shared" ref="Y106" si="102">IF(X106="err",W106-F106,"")</f>
        <v/>
      </c>
    </row>
    <row r="107" spans="1:25" ht="12" customHeight="1" x14ac:dyDescent="0.25">
      <c r="F107" s="33"/>
    </row>
    <row r="108" spans="1:25" ht="12" customHeight="1" x14ac:dyDescent="0.25">
      <c r="A108" s="4" t="s">
        <v>279</v>
      </c>
      <c r="F108" s="33"/>
    </row>
    <row r="109" spans="1:25" ht="12" customHeight="1" x14ac:dyDescent="0.25">
      <c r="A109" s="39" t="s">
        <v>378</v>
      </c>
      <c r="C109" s="29" t="s">
        <v>191</v>
      </c>
      <c r="D109" s="29" t="s">
        <v>225</v>
      </c>
      <c r="E109" s="29" t="s">
        <v>2298</v>
      </c>
      <c r="F109" s="32">
        <f>VLOOKUP(C109,'WSS-26'!$C$1:$AU$617,30,)</f>
        <v>0</v>
      </c>
      <c r="G109" s="32">
        <f t="shared" ref="G109:V109" si="103">IF(VLOOKUP($E109,$D$5:$V$970,3,)=0,0,(VLOOKUP($E109,$D$5:$V$970,G$1,)/VLOOKUP($E109,$D$5:$V$970,3,))*$F109)</f>
        <v>0</v>
      </c>
      <c r="H109" s="32">
        <f t="shared" si="103"/>
        <v>0</v>
      </c>
      <c r="I109" s="32">
        <f t="shared" si="103"/>
        <v>0</v>
      </c>
      <c r="J109" s="32">
        <f t="shared" si="103"/>
        <v>0</v>
      </c>
      <c r="K109" s="32">
        <f t="shared" si="103"/>
        <v>0</v>
      </c>
      <c r="L109" s="32">
        <f t="shared" si="103"/>
        <v>0</v>
      </c>
      <c r="M109" s="32">
        <f t="shared" si="103"/>
        <v>0</v>
      </c>
      <c r="N109" s="32">
        <f t="shared" si="103"/>
        <v>0</v>
      </c>
      <c r="O109" s="32">
        <f t="shared" si="103"/>
        <v>0</v>
      </c>
      <c r="P109" s="32">
        <f t="shared" si="103"/>
        <v>0</v>
      </c>
      <c r="Q109" s="32">
        <f t="shared" si="103"/>
        <v>0</v>
      </c>
      <c r="R109" s="32">
        <f t="shared" si="103"/>
        <v>0</v>
      </c>
      <c r="S109" s="32">
        <f t="shared" si="103"/>
        <v>0</v>
      </c>
      <c r="T109" s="32">
        <f t="shared" si="103"/>
        <v>0</v>
      </c>
      <c r="U109" s="32">
        <f t="shared" si="103"/>
        <v>0</v>
      </c>
      <c r="V109" s="32">
        <f t="shared" si="103"/>
        <v>0</v>
      </c>
      <c r="W109" s="34">
        <f>SUM(G109:V109)</f>
        <v>0</v>
      </c>
      <c r="X109" s="30" t="str">
        <f t="shared" ref="X109" si="104">IF(ABS(F109-W109)&lt;0.01,"ok","err")</f>
        <v>ok</v>
      </c>
      <c r="Y109" s="66" t="str">
        <f t="shared" ref="Y109" si="105">IF(X109="err",W109-F109,"")</f>
        <v/>
      </c>
    </row>
    <row r="110" spans="1:25" ht="12" customHeight="1" x14ac:dyDescent="0.25">
      <c r="F110" s="33"/>
    </row>
    <row r="111" spans="1:25" ht="12" customHeight="1" x14ac:dyDescent="0.25">
      <c r="A111" s="4" t="s">
        <v>1596</v>
      </c>
      <c r="F111" s="33"/>
    </row>
    <row r="112" spans="1:25" ht="12" customHeight="1" x14ac:dyDescent="0.25">
      <c r="A112" s="39" t="s">
        <v>378</v>
      </c>
      <c r="C112" s="29" t="s">
        <v>191</v>
      </c>
      <c r="D112" s="29" t="s">
        <v>226</v>
      </c>
      <c r="E112" s="29" t="s">
        <v>2298</v>
      </c>
      <c r="F112" s="32">
        <f>VLOOKUP(C112,'WSS-26'!$C$1:$AU$617,32,)</f>
        <v>0</v>
      </c>
      <c r="G112" s="32">
        <f t="shared" ref="G112:V112" si="106">IF(VLOOKUP($E112,$D$5:$V$970,3,)=0,0,(VLOOKUP($E112,$D$5:$V$970,G$1,)/VLOOKUP($E112,$D$5:$V$970,3,))*$F112)</f>
        <v>0</v>
      </c>
      <c r="H112" s="32">
        <f t="shared" si="106"/>
        <v>0</v>
      </c>
      <c r="I112" s="32">
        <f t="shared" si="106"/>
        <v>0</v>
      </c>
      <c r="J112" s="32">
        <f t="shared" si="106"/>
        <v>0</v>
      </c>
      <c r="K112" s="32">
        <f t="shared" si="106"/>
        <v>0</v>
      </c>
      <c r="L112" s="32">
        <f t="shared" si="106"/>
        <v>0</v>
      </c>
      <c r="M112" s="32">
        <f t="shared" si="106"/>
        <v>0</v>
      </c>
      <c r="N112" s="32">
        <f t="shared" si="106"/>
        <v>0</v>
      </c>
      <c r="O112" s="32">
        <f t="shared" si="106"/>
        <v>0</v>
      </c>
      <c r="P112" s="32">
        <f t="shared" si="106"/>
        <v>0</v>
      </c>
      <c r="Q112" s="32">
        <f t="shared" si="106"/>
        <v>0</v>
      </c>
      <c r="R112" s="32">
        <f t="shared" si="106"/>
        <v>0</v>
      </c>
      <c r="S112" s="32">
        <f t="shared" si="106"/>
        <v>0</v>
      </c>
      <c r="T112" s="32">
        <f t="shared" si="106"/>
        <v>0</v>
      </c>
      <c r="U112" s="32">
        <f t="shared" si="106"/>
        <v>0</v>
      </c>
      <c r="V112" s="32">
        <f t="shared" si="106"/>
        <v>0</v>
      </c>
      <c r="W112" s="34">
        <f>SUM(G112:V112)</f>
        <v>0</v>
      </c>
      <c r="X112" s="30" t="str">
        <f t="shared" ref="X112" si="107">IF(ABS(F112-W112)&lt;0.01,"ok","err")</f>
        <v>ok</v>
      </c>
      <c r="Y112" s="66" t="str">
        <f t="shared" ref="Y112" si="108">IF(X112="err",W112-F112,"")</f>
        <v/>
      </c>
    </row>
    <row r="113" spans="1:25" ht="12" customHeight="1" x14ac:dyDescent="0.25">
      <c r="F113" s="33"/>
    </row>
    <row r="114" spans="1:25" ht="12" customHeight="1" x14ac:dyDescent="0.25">
      <c r="A114" s="4" t="s">
        <v>1595</v>
      </c>
      <c r="F114" s="33"/>
    </row>
    <row r="115" spans="1:25" ht="12" customHeight="1" x14ac:dyDescent="0.25">
      <c r="A115" s="39" t="s">
        <v>378</v>
      </c>
      <c r="C115" s="29" t="s">
        <v>191</v>
      </c>
      <c r="D115" s="29" t="s">
        <v>227</v>
      </c>
      <c r="E115" s="29" t="s">
        <v>2301</v>
      </c>
      <c r="F115" s="32">
        <f>VLOOKUP(C115,'WSS-26'!$C$1:$AU$617,34,)</f>
        <v>0</v>
      </c>
      <c r="G115" s="32">
        <f t="shared" ref="G115:V115" si="109">IF(VLOOKUP($E115,$D$5:$V$970,3,)=0,0,(VLOOKUP($E115,$D$5:$V$970,G$1,)/VLOOKUP($E115,$D$5:$V$970,3,))*$F115)</f>
        <v>0</v>
      </c>
      <c r="H115" s="32">
        <f t="shared" si="109"/>
        <v>0</v>
      </c>
      <c r="I115" s="32">
        <f t="shared" si="109"/>
        <v>0</v>
      </c>
      <c r="J115" s="32">
        <f t="shared" si="109"/>
        <v>0</v>
      </c>
      <c r="K115" s="32">
        <f t="shared" si="109"/>
        <v>0</v>
      </c>
      <c r="L115" s="32">
        <f t="shared" si="109"/>
        <v>0</v>
      </c>
      <c r="M115" s="32">
        <f t="shared" si="109"/>
        <v>0</v>
      </c>
      <c r="N115" s="32">
        <f t="shared" si="109"/>
        <v>0</v>
      </c>
      <c r="O115" s="32">
        <f t="shared" si="109"/>
        <v>0</v>
      </c>
      <c r="P115" s="32">
        <f t="shared" si="109"/>
        <v>0</v>
      </c>
      <c r="Q115" s="32">
        <f t="shared" si="109"/>
        <v>0</v>
      </c>
      <c r="R115" s="32">
        <f t="shared" si="109"/>
        <v>0</v>
      </c>
      <c r="S115" s="32">
        <f t="shared" si="109"/>
        <v>0</v>
      </c>
      <c r="T115" s="32">
        <f t="shared" si="109"/>
        <v>0</v>
      </c>
      <c r="U115" s="32">
        <f t="shared" si="109"/>
        <v>0</v>
      </c>
      <c r="V115" s="32">
        <f t="shared" si="109"/>
        <v>0</v>
      </c>
      <c r="W115" s="34">
        <f>SUM(G115:V115)</f>
        <v>0</v>
      </c>
      <c r="X115" s="30" t="str">
        <f t="shared" ref="X115" si="110">IF(ABS(F115-W115)&lt;0.01,"ok","err")</f>
        <v>ok</v>
      </c>
      <c r="Y115" s="66" t="str">
        <f t="shared" ref="Y115" si="111">IF(X115="err",W115-F115,"")</f>
        <v/>
      </c>
    </row>
    <row r="116" spans="1:25" ht="12" customHeight="1" x14ac:dyDescent="0.25">
      <c r="F116" s="33"/>
    </row>
    <row r="117" spans="1:25" ht="12" customHeight="1" x14ac:dyDescent="0.25">
      <c r="A117" s="29" t="s">
        <v>62</v>
      </c>
      <c r="D117" s="29" t="s">
        <v>228</v>
      </c>
      <c r="F117" s="32">
        <f>F72+F78+F81+F84+F92+F97+F100+F103+F106+F109+F112+F115</f>
        <v>4881078867.4383945</v>
      </c>
      <c r="G117" s="32">
        <f t="shared" ref="G117:T117" si="112">G72+G78+G81+G84+G92+G97+G100+G103+G106+G109+G112+G115</f>
        <v>2320320806.9841218</v>
      </c>
      <c r="H117" s="32">
        <f t="shared" si="112"/>
        <v>564931286.90507329</v>
      </c>
      <c r="I117" s="32">
        <f>I72+I78+I81+I84+I92+I97+I100+I103+I106+I109+I112+I115</f>
        <v>33966249.010911502</v>
      </c>
      <c r="J117" s="32">
        <f>J72+J78+J81+J84+J92+J97+J100+J103+J106+J109+J112+J115</f>
        <v>419734646.53415072</v>
      </c>
      <c r="K117" s="32">
        <f>K72+K78+K81+K84+K92+K97+K100+K103+K106+K109+K112+K115</f>
        <v>28206283.219294555</v>
      </c>
      <c r="L117" s="32">
        <f t="shared" si="112"/>
        <v>367220100.84535193</v>
      </c>
      <c r="M117" s="32">
        <f t="shared" si="112"/>
        <v>715770565.03134263</v>
      </c>
      <c r="N117" s="32">
        <f t="shared" si="112"/>
        <v>213341048.68370983</v>
      </c>
      <c r="O117" s="32">
        <f>O72+O78+O81+O84+O92+O97+O100+O103+O106+O109+O112+O115</f>
        <v>97577260.092857942</v>
      </c>
      <c r="P117" s="32">
        <f>P72+P78+P81+P84+P92+P97+P100+P103+P106+P109+P112+P115</f>
        <v>117859861.63924271</v>
      </c>
      <c r="Q117" s="32">
        <f t="shared" si="112"/>
        <v>130603.56958385975</v>
      </c>
      <c r="R117" s="32">
        <f t="shared" si="112"/>
        <v>350272.26980310015</v>
      </c>
      <c r="S117" s="32">
        <f t="shared" si="112"/>
        <v>193110.31295099252</v>
      </c>
      <c r="T117" s="32">
        <f t="shared" si="112"/>
        <v>124631.66</v>
      </c>
      <c r="U117" s="32">
        <f t="shared" ref="U117:V117" si="113">U72+U78+U81+U84+U92+U97+U100+U103+U106+U109+U112+U115</f>
        <v>1352140.68</v>
      </c>
      <c r="V117" s="32">
        <f t="shared" si="113"/>
        <v>0</v>
      </c>
      <c r="W117" s="34">
        <f>SUM(G117:V117)</f>
        <v>4881078867.4383955</v>
      </c>
      <c r="X117" s="30" t="str">
        <f>IF(ABS(F117-W117)&lt;0.01,"ok","err")</f>
        <v>ok</v>
      </c>
      <c r="Y117" s="66" t="str">
        <f>IF(X117="err",W117-F117,"")</f>
        <v/>
      </c>
    </row>
    <row r="118" spans="1:25" ht="12" customHeight="1" x14ac:dyDescent="0.25">
      <c r="Y118" s="66"/>
    </row>
    <row r="120" spans="1:25" ht="12" customHeight="1" x14ac:dyDescent="0.25">
      <c r="A120" s="3" t="s">
        <v>386</v>
      </c>
    </row>
    <row r="122" spans="1:25" ht="12" customHeight="1" x14ac:dyDescent="0.25">
      <c r="A122" s="4" t="s">
        <v>137</v>
      </c>
    </row>
    <row r="123" spans="1:25" ht="12" customHeight="1" x14ac:dyDescent="0.25">
      <c r="A123" s="39" t="s">
        <v>2133</v>
      </c>
      <c r="C123" s="29" t="s">
        <v>753</v>
      </c>
      <c r="D123" s="29" t="s">
        <v>229</v>
      </c>
      <c r="E123" s="29" t="s">
        <v>2237</v>
      </c>
      <c r="F123" s="32">
        <f>VLOOKUP(C123,'WSS-26'!$C$1:$AU$617,6,)</f>
        <v>2253628854.7489562</v>
      </c>
      <c r="G123" s="32">
        <f t="shared" ref="G123:V128" si="114">IF(VLOOKUP($E123,$D$5:$V$970,3,)=0,0,(VLOOKUP($E123,$D$5:$V$970,G$1,)/VLOOKUP($E123,$D$5:$V$970,3,))*$F123)</f>
        <v>931997396.85656977</v>
      </c>
      <c r="H123" s="32">
        <f t="shared" si="114"/>
        <v>211402247.81535465</v>
      </c>
      <c r="I123" s="32">
        <f t="shared" si="114"/>
        <v>14289097.560084598</v>
      </c>
      <c r="J123" s="32">
        <f t="shared" si="114"/>
        <v>234080312.95465207</v>
      </c>
      <c r="K123" s="32">
        <f t="shared" si="114"/>
        <v>16167488.537835289</v>
      </c>
      <c r="L123" s="32">
        <f t="shared" si="114"/>
        <v>218378769.91006523</v>
      </c>
      <c r="M123" s="32">
        <f t="shared" si="114"/>
        <v>426544753.21352333</v>
      </c>
      <c r="N123" s="32">
        <f t="shared" si="114"/>
        <v>139682728.17138687</v>
      </c>
      <c r="O123" s="32">
        <f t="shared" si="114"/>
        <v>58909590.334969983</v>
      </c>
      <c r="P123" s="32">
        <f t="shared" si="114"/>
        <v>856401.73655411426</v>
      </c>
      <c r="Q123" s="32">
        <f t="shared" si="114"/>
        <v>9767.7420286405304</v>
      </c>
      <c r="R123" s="32">
        <f t="shared" si="114"/>
        <v>117382.80001919673</v>
      </c>
      <c r="S123" s="32">
        <f t="shared" si="114"/>
        <v>19789.615912445501</v>
      </c>
      <c r="T123" s="32">
        <f t="shared" si="114"/>
        <v>0</v>
      </c>
      <c r="U123" s="32">
        <f t="shared" si="114"/>
        <v>1173127.4999999998</v>
      </c>
      <c r="V123" s="32">
        <f t="shared" si="114"/>
        <v>0</v>
      </c>
      <c r="W123" s="34">
        <f t="shared" ref="W123:W128" si="115">SUM(G123:V123)</f>
        <v>2253628854.7489562</v>
      </c>
      <c r="X123" s="30" t="str">
        <f t="shared" ref="X123:X128" si="116">IF(ABS(F123-W123)&lt;0.01,"ok","err")</f>
        <v>ok</v>
      </c>
      <c r="Y123" s="66" t="str">
        <f t="shared" ref="Y123:Y128" si="117">IF(X123="err",W123-F123,"")</f>
        <v/>
      </c>
    </row>
    <row r="124" spans="1:25" ht="12" hidden="1" customHeight="1" x14ac:dyDescent="0.25">
      <c r="A124" s="39" t="s">
        <v>2134</v>
      </c>
      <c r="C124" s="29" t="s">
        <v>753</v>
      </c>
      <c r="D124" s="29" t="s">
        <v>230</v>
      </c>
      <c r="E124" s="29" t="s">
        <v>2132</v>
      </c>
      <c r="F124" s="33">
        <f>VLOOKUP(C124,'WSS-26'!$C$1:$AU$617,7,)</f>
        <v>0</v>
      </c>
      <c r="G124" s="32">
        <f t="shared" si="114"/>
        <v>0</v>
      </c>
      <c r="H124" s="32">
        <f t="shared" si="114"/>
        <v>0</v>
      </c>
      <c r="I124" s="32">
        <f t="shared" si="114"/>
        <v>0</v>
      </c>
      <c r="J124" s="32">
        <f t="shared" si="114"/>
        <v>0</v>
      </c>
      <c r="K124" s="32">
        <f t="shared" si="114"/>
        <v>0</v>
      </c>
      <c r="L124" s="32">
        <f t="shared" si="114"/>
        <v>0</v>
      </c>
      <c r="M124" s="32">
        <f t="shared" si="114"/>
        <v>0</v>
      </c>
      <c r="N124" s="32">
        <f t="shared" si="114"/>
        <v>0</v>
      </c>
      <c r="O124" s="32">
        <f t="shared" si="114"/>
        <v>0</v>
      </c>
      <c r="P124" s="32">
        <f t="shared" si="114"/>
        <v>0</v>
      </c>
      <c r="Q124" s="32">
        <f t="shared" si="114"/>
        <v>0</v>
      </c>
      <c r="R124" s="32">
        <f t="shared" si="114"/>
        <v>0</v>
      </c>
      <c r="S124" s="32">
        <f t="shared" si="114"/>
        <v>0</v>
      </c>
      <c r="T124" s="32">
        <f t="shared" si="114"/>
        <v>0</v>
      </c>
      <c r="U124" s="32">
        <f t="shared" si="114"/>
        <v>0</v>
      </c>
      <c r="V124" s="32">
        <f t="shared" si="114"/>
        <v>0</v>
      </c>
      <c r="W124" s="34">
        <f t="shared" si="115"/>
        <v>0</v>
      </c>
      <c r="X124" s="30" t="str">
        <f t="shared" si="116"/>
        <v>ok</v>
      </c>
      <c r="Y124" s="66" t="str">
        <f t="shared" si="117"/>
        <v/>
      </c>
    </row>
    <row r="125" spans="1:25" ht="12" hidden="1" customHeight="1" x14ac:dyDescent="0.25">
      <c r="A125" s="39" t="s">
        <v>2134</v>
      </c>
      <c r="C125" s="29" t="s">
        <v>753</v>
      </c>
      <c r="D125" s="29" t="s">
        <v>231</v>
      </c>
      <c r="E125" s="29" t="s">
        <v>2132</v>
      </c>
      <c r="F125" s="33">
        <f>VLOOKUP(C125,'WSS-26'!$C$1:$AU$617,8,)</f>
        <v>0</v>
      </c>
      <c r="G125" s="32">
        <f t="shared" si="114"/>
        <v>0</v>
      </c>
      <c r="H125" s="32">
        <f t="shared" si="114"/>
        <v>0</v>
      </c>
      <c r="I125" s="32">
        <f t="shared" si="114"/>
        <v>0</v>
      </c>
      <c r="J125" s="32">
        <f t="shared" si="114"/>
        <v>0</v>
      </c>
      <c r="K125" s="32">
        <f t="shared" si="114"/>
        <v>0</v>
      </c>
      <c r="L125" s="32">
        <f t="shared" si="114"/>
        <v>0</v>
      </c>
      <c r="M125" s="32">
        <f t="shared" si="114"/>
        <v>0</v>
      </c>
      <c r="N125" s="32">
        <f t="shared" si="114"/>
        <v>0</v>
      </c>
      <c r="O125" s="32">
        <f t="shared" si="114"/>
        <v>0</v>
      </c>
      <c r="P125" s="32">
        <f t="shared" si="114"/>
        <v>0</v>
      </c>
      <c r="Q125" s="32">
        <f t="shared" si="114"/>
        <v>0</v>
      </c>
      <c r="R125" s="32">
        <f t="shared" si="114"/>
        <v>0</v>
      </c>
      <c r="S125" s="32">
        <f t="shared" si="114"/>
        <v>0</v>
      </c>
      <c r="T125" s="32">
        <f t="shared" si="114"/>
        <v>0</v>
      </c>
      <c r="U125" s="32">
        <f t="shared" si="114"/>
        <v>0</v>
      </c>
      <c r="V125" s="32">
        <f t="shared" si="114"/>
        <v>0</v>
      </c>
      <c r="W125" s="34">
        <f t="shared" si="115"/>
        <v>0</v>
      </c>
      <c r="X125" s="30" t="str">
        <f t="shared" si="116"/>
        <v>ok</v>
      </c>
      <c r="Y125" s="66" t="str">
        <f t="shared" si="117"/>
        <v/>
      </c>
    </row>
    <row r="126" spans="1:25" ht="12" customHeight="1" x14ac:dyDescent="0.25">
      <c r="A126" s="39" t="s">
        <v>2136</v>
      </c>
      <c r="C126" s="29" t="s">
        <v>753</v>
      </c>
      <c r="D126" s="29" t="s">
        <v>232</v>
      </c>
      <c r="E126" s="29" t="s">
        <v>376</v>
      </c>
      <c r="F126" s="33">
        <f>VLOOKUP(C126,'WSS-26'!$C$1:$AU$617,9,)</f>
        <v>60528491.942099355</v>
      </c>
      <c r="G126" s="32">
        <f t="shared" si="114"/>
        <v>20417466.174987022</v>
      </c>
      <c r="H126" s="32">
        <f t="shared" si="114"/>
        <v>5956471.3114396036</v>
      </c>
      <c r="I126" s="32">
        <f t="shared" si="114"/>
        <v>452514.13520814409</v>
      </c>
      <c r="J126" s="32">
        <f t="shared" si="114"/>
        <v>6191303.5491304928</v>
      </c>
      <c r="K126" s="32">
        <f t="shared" si="114"/>
        <v>481635.80038353452</v>
      </c>
      <c r="L126" s="32">
        <f t="shared" si="114"/>
        <v>6291777.8460876169</v>
      </c>
      <c r="M126" s="32">
        <f t="shared" si="114"/>
        <v>13455278.425488662</v>
      </c>
      <c r="N126" s="32">
        <f t="shared" si="114"/>
        <v>4814688.5011650482</v>
      </c>
      <c r="O126" s="32">
        <f t="shared" si="114"/>
        <v>2035150.4566992025</v>
      </c>
      <c r="P126" s="32">
        <f t="shared" si="114"/>
        <v>421001.78431128041</v>
      </c>
      <c r="Q126" s="32">
        <f t="shared" si="114"/>
        <v>4548.8177602731157</v>
      </c>
      <c r="R126" s="32">
        <f t="shared" si="114"/>
        <v>5372.6089989322991</v>
      </c>
      <c r="S126" s="32">
        <f t="shared" si="114"/>
        <v>1282.5304395291039</v>
      </c>
      <c r="T126" s="32">
        <f t="shared" si="114"/>
        <v>0</v>
      </c>
      <c r="U126" s="32">
        <f t="shared" si="114"/>
        <v>0</v>
      </c>
      <c r="V126" s="32">
        <f t="shared" si="114"/>
        <v>0</v>
      </c>
      <c r="W126" s="34">
        <f t="shared" si="115"/>
        <v>60528491.942099333</v>
      </c>
      <c r="X126" s="30" t="str">
        <f t="shared" si="116"/>
        <v>ok</v>
      </c>
      <c r="Y126" s="66" t="str">
        <f t="shared" si="117"/>
        <v/>
      </c>
    </row>
    <row r="127" spans="1:25" ht="12" hidden="1" customHeight="1" x14ac:dyDescent="0.25">
      <c r="A127" s="39" t="s">
        <v>2135</v>
      </c>
      <c r="C127" s="29" t="s">
        <v>753</v>
      </c>
      <c r="D127" s="29" t="s">
        <v>233</v>
      </c>
      <c r="E127" s="29" t="s">
        <v>376</v>
      </c>
      <c r="F127" s="33">
        <f>VLOOKUP(C127,'WSS-26'!$C$1:$AU$617,10,)</f>
        <v>0</v>
      </c>
      <c r="G127" s="32">
        <f t="shared" si="114"/>
        <v>0</v>
      </c>
      <c r="H127" s="32">
        <f t="shared" si="114"/>
        <v>0</v>
      </c>
      <c r="I127" s="32">
        <f t="shared" si="114"/>
        <v>0</v>
      </c>
      <c r="J127" s="32">
        <f t="shared" si="114"/>
        <v>0</v>
      </c>
      <c r="K127" s="32">
        <f t="shared" si="114"/>
        <v>0</v>
      </c>
      <c r="L127" s="32">
        <f t="shared" si="114"/>
        <v>0</v>
      </c>
      <c r="M127" s="32">
        <f t="shared" si="114"/>
        <v>0</v>
      </c>
      <c r="N127" s="32">
        <f t="shared" si="114"/>
        <v>0</v>
      </c>
      <c r="O127" s="32">
        <f t="shared" si="114"/>
        <v>0</v>
      </c>
      <c r="P127" s="32">
        <f t="shared" si="114"/>
        <v>0</v>
      </c>
      <c r="Q127" s="32">
        <f t="shared" si="114"/>
        <v>0</v>
      </c>
      <c r="R127" s="32">
        <f t="shared" si="114"/>
        <v>0</v>
      </c>
      <c r="S127" s="32">
        <f t="shared" si="114"/>
        <v>0</v>
      </c>
      <c r="T127" s="32">
        <f t="shared" si="114"/>
        <v>0</v>
      </c>
      <c r="U127" s="32">
        <f t="shared" si="114"/>
        <v>0</v>
      </c>
      <c r="V127" s="32">
        <f t="shared" si="114"/>
        <v>0</v>
      </c>
      <c r="W127" s="34">
        <f t="shared" si="115"/>
        <v>0</v>
      </c>
      <c r="X127" s="30" t="str">
        <f t="shared" si="116"/>
        <v>ok</v>
      </c>
      <c r="Y127" s="66" t="str">
        <f t="shared" si="117"/>
        <v/>
      </c>
    </row>
    <row r="128" spans="1:25" ht="12" hidden="1" customHeight="1" x14ac:dyDescent="0.25">
      <c r="A128" s="39" t="s">
        <v>2135</v>
      </c>
      <c r="C128" s="29" t="s">
        <v>753</v>
      </c>
      <c r="D128" s="29" t="s">
        <v>234</v>
      </c>
      <c r="E128" s="29" t="s">
        <v>376</v>
      </c>
      <c r="F128" s="33">
        <f>VLOOKUP(C128,'WSS-26'!$C$1:$AU$617,11,)</f>
        <v>0</v>
      </c>
      <c r="G128" s="32">
        <f t="shared" si="114"/>
        <v>0</v>
      </c>
      <c r="H128" s="32">
        <f t="shared" si="114"/>
        <v>0</v>
      </c>
      <c r="I128" s="32">
        <f t="shared" si="114"/>
        <v>0</v>
      </c>
      <c r="J128" s="32">
        <f t="shared" si="114"/>
        <v>0</v>
      </c>
      <c r="K128" s="32">
        <f t="shared" si="114"/>
        <v>0</v>
      </c>
      <c r="L128" s="32">
        <f t="shared" si="114"/>
        <v>0</v>
      </c>
      <c r="M128" s="32">
        <f t="shared" si="114"/>
        <v>0</v>
      </c>
      <c r="N128" s="32">
        <f t="shared" si="114"/>
        <v>0</v>
      </c>
      <c r="O128" s="32">
        <f t="shared" si="114"/>
        <v>0</v>
      </c>
      <c r="P128" s="32">
        <f t="shared" si="114"/>
        <v>0</v>
      </c>
      <c r="Q128" s="32">
        <f t="shared" si="114"/>
        <v>0</v>
      </c>
      <c r="R128" s="32">
        <f t="shared" si="114"/>
        <v>0</v>
      </c>
      <c r="S128" s="32">
        <f t="shared" si="114"/>
        <v>0</v>
      </c>
      <c r="T128" s="32">
        <f t="shared" si="114"/>
        <v>0</v>
      </c>
      <c r="U128" s="32">
        <f t="shared" si="114"/>
        <v>0</v>
      </c>
      <c r="V128" s="32">
        <f t="shared" si="114"/>
        <v>0</v>
      </c>
      <c r="W128" s="34">
        <f t="shared" si="115"/>
        <v>0</v>
      </c>
      <c r="X128" s="30" t="str">
        <f t="shared" si="116"/>
        <v>ok</v>
      </c>
      <c r="Y128" s="66" t="str">
        <f t="shared" si="117"/>
        <v/>
      </c>
    </row>
    <row r="129" spans="1:26" ht="12" customHeight="1" x14ac:dyDescent="0.25">
      <c r="A129" s="29" t="s">
        <v>160</v>
      </c>
      <c r="D129" s="29" t="s">
        <v>387</v>
      </c>
      <c r="F129" s="32">
        <f t="shared" ref="F129:T129" si="118">SUM(F123:F128)</f>
        <v>2314157346.6910558</v>
      </c>
      <c r="G129" s="32">
        <f t="shared" si="118"/>
        <v>952414863.03155684</v>
      </c>
      <c r="H129" s="32">
        <f t="shared" si="118"/>
        <v>217358719.12679425</v>
      </c>
      <c r="I129" s="32">
        <f>SUM(I123:I128)</f>
        <v>14741611.695292743</v>
      </c>
      <c r="J129" s="32">
        <f>SUM(J123:J128)</f>
        <v>240271616.50378257</v>
      </c>
      <c r="K129" s="32">
        <f>SUM(K123:K128)</f>
        <v>16649124.338218823</v>
      </c>
      <c r="L129" s="32">
        <f t="shared" si="118"/>
        <v>224670547.75615284</v>
      </c>
      <c r="M129" s="32">
        <f t="shared" si="118"/>
        <v>440000031.63901198</v>
      </c>
      <c r="N129" s="32">
        <f t="shared" si="118"/>
        <v>144497416.67255193</v>
      </c>
      <c r="O129" s="32">
        <f t="shared" si="118"/>
        <v>60944740.791669182</v>
      </c>
      <c r="P129" s="32">
        <f>SUM(P123:P128)</f>
        <v>1277403.5208653947</v>
      </c>
      <c r="Q129" s="32">
        <f t="shared" si="118"/>
        <v>14316.559788913646</v>
      </c>
      <c r="R129" s="32">
        <f t="shared" si="118"/>
        <v>122755.40901812902</v>
      </c>
      <c r="S129" s="32">
        <f t="shared" si="118"/>
        <v>21072.146351974603</v>
      </c>
      <c r="T129" s="32">
        <f t="shared" si="118"/>
        <v>0</v>
      </c>
      <c r="U129" s="32">
        <f t="shared" ref="U129:V129" si="119">SUM(U123:U128)</f>
        <v>1173127.4999999998</v>
      </c>
      <c r="V129" s="32">
        <f t="shared" si="119"/>
        <v>0</v>
      </c>
      <c r="W129" s="34">
        <f t="shared" ref="W129" si="120">SUM(G129:V129)</f>
        <v>2314157346.6910558</v>
      </c>
      <c r="X129" s="30" t="str">
        <f t="shared" ref="X129" si="121">IF(ABS(F129-W129)&lt;0.01,"ok","err")</f>
        <v>ok</v>
      </c>
      <c r="Y129" s="66" t="str">
        <f t="shared" ref="Y129" si="122">IF(X129="err",W129-F129,"")</f>
        <v/>
      </c>
    </row>
    <row r="130" spans="1:26" ht="12" customHeight="1" x14ac:dyDescent="0.25">
      <c r="F130" s="33"/>
      <c r="G130" s="33"/>
    </row>
    <row r="131" spans="1:26" ht="12" customHeight="1" x14ac:dyDescent="0.25">
      <c r="A131" s="4" t="s">
        <v>426</v>
      </c>
      <c r="F131" s="33"/>
      <c r="G131" s="33"/>
    </row>
    <row r="132" spans="1:26" ht="12" customHeight="1" x14ac:dyDescent="0.25">
      <c r="A132" s="39" t="s">
        <v>2124</v>
      </c>
      <c r="C132" s="29" t="s">
        <v>753</v>
      </c>
      <c r="D132" s="29" t="s">
        <v>235</v>
      </c>
      <c r="E132" s="29" t="s">
        <v>2125</v>
      </c>
      <c r="F132" s="32">
        <f>VLOOKUP(C132,'WSS-26'!$C$1:$AU$617,13,)</f>
        <v>653087623.67655969</v>
      </c>
      <c r="G132" s="32">
        <f t="shared" ref="G132:V134" si="123">IF(VLOOKUP($E132,$D$5:$V$970,3,)=0,0,(VLOOKUP($E132,$D$5:$V$970,G$1,)/VLOOKUP($E132,$D$5:$V$970,3,))*$F132)</f>
        <v>280536596.75836647</v>
      </c>
      <c r="H132" s="32">
        <f t="shared" si="123"/>
        <v>82756911.385649234</v>
      </c>
      <c r="I132" s="32">
        <f t="shared" si="123"/>
        <v>7319765.6469884273</v>
      </c>
      <c r="J132" s="32">
        <f t="shared" si="123"/>
        <v>62436107.014034614</v>
      </c>
      <c r="K132" s="32">
        <f t="shared" si="123"/>
        <v>4136834.6114117336</v>
      </c>
      <c r="L132" s="32">
        <f t="shared" si="123"/>
        <v>49814620.100131266</v>
      </c>
      <c r="M132" s="32">
        <f t="shared" si="123"/>
        <v>106404703.11609329</v>
      </c>
      <c r="N132" s="32">
        <f t="shared" si="123"/>
        <v>34048187.549510606</v>
      </c>
      <c r="O132" s="32">
        <f t="shared" si="123"/>
        <v>20823190.559788339</v>
      </c>
      <c r="P132" s="32">
        <f t="shared" si="123"/>
        <v>4647364.8836418437</v>
      </c>
      <c r="Q132" s="32">
        <f t="shared" si="123"/>
        <v>54836.283537543371</v>
      </c>
      <c r="R132" s="32">
        <f t="shared" si="123"/>
        <v>30173.470151529404</v>
      </c>
      <c r="S132" s="32">
        <f t="shared" si="123"/>
        <v>78332.297254617995</v>
      </c>
      <c r="T132" s="32">
        <f t="shared" si="123"/>
        <v>0</v>
      </c>
      <c r="U132" s="32">
        <f t="shared" si="123"/>
        <v>0</v>
      </c>
      <c r="V132" s="32">
        <f t="shared" si="123"/>
        <v>0</v>
      </c>
      <c r="W132" s="34">
        <f>SUM(G132:V132)</f>
        <v>653087623.67655945</v>
      </c>
      <c r="X132" s="30" t="str">
        <f t="shared" ref="X132:X134" si="124">IF(ABS(F132-W132)&lt;0.01,"ok","err")</f>
        <v>ok</v>
      </c>
      <c r="Y132" s="66" t="str">
        <f t="shared" ref="Y132:Y134" si="125">IF(X132="err",W132-F132,"")</f>
        <v/>
      </c>
    </row>
    <row r="133" spans="1:26" ht="12" hidden="1" customHeight="1" x14ac:dyDescent="0.25">
      <c r="A133" s="39" t="s">
        <v>2123</v>
      </c>
      <c r="C133" s="29" t="s">
        <v>753</v>
      </c>
      <c r="D133" s="29" t="s">
        <v>236</v>
      </c>
      <c r="E133" s="29" t="s">
        <v>2125</v>
      </c>
      <c r="F133" s="33">
        <f>VLOOKUP(C133,'WSS-26'!$C$1:$AU$617,14,)</f>
        <v>0</v>
      </c>
      <c r="G133" s="32">
        <f t="shared" si="123"/>
        <v>0</v>
      </c>
      <c r="H133" s="32">
        <f t="shared" si="123"/>
        <v>0</v>
      </c>
      <c r="I133" s="32">
        <f t="shared" si="123"/>
        <v>0</v>
      </c>
      <c r="J133" s="32">
        <f t="shared" si="123"/>
        <v>0</v>
      </c>
      <c r="K133" s="32">
        <f t="shared" si="123"/>
        <v>0</v>
      </c>
      <c r="L133" s="32">
        <f t="shared" si="123"/>
        <v>0</v>
      </c>
      <c r="M133" s="32">
        <f t="shared" si="123"/>
        <v>0</v>
      </c>
      <c r="N133" s="32">
        <f t="shared" si="123"/>
        <v>0</v>
      </c>
      <c r="O133" s="32">
        <f t="shared" si="123"/>
        <v>0</v>
      </c>
      <c r="P133" s="32">
        <f t="shared" si="123"/>
        <v>0</v>
      </c>
      <c r="Q133" s="32">
        <f t="shared" si="123"/>
        <v>0</v>
      </c>
      <c r="R133" s="32">
        <f t="shared" si="123"/>
        <v>0</v>
      </c>
      <c r="S133" s="32">
        <f t="shared" si="123"/>
        <v>0</v>
      </c>
      <c r="T133" s="32">
        <f t="shared" si="123"/>
        <v>0</v>
      </c>
      <c r="U133" s="32">
        <f t="shared" si="123"/>
        <v>0</v>
      </c>
      <c r="V133" s="32">
        <f t="shared" si="123"/>
        <v>0</v>
      </c>
      <c r="W133" s="34">
        <f>SUM(G133:V133)</f>
        <v>0</v>
      </c>
      <c r="X133" s="30" t="str">
        <f t="shared" si="124"/>
        <v>ok</v>
      </c>
      <c r="Y133" s="66" t="str">
        <f t="shared" si="125"/>
        <v/>
      </c>
    </row>
    <row r="134" spans="1:26" ht="12" hidden="1" customHeight="1" x14ac:dyDescent="0.25">
      <c r="A134" s="39" t="s">
        <v>2123</v>
      </c>
      <c r="C134" s="29" t="s">
        <v>753</v>
      </c>
      <c r="D134" s="29" t="s">
        <v>237</v>
      </c>
      <c r="E134" s="29" t="s">
        <v>2125</v>
      </c>
      <c r="F134" s="33">
        <f>VLOOKUP(C134,'WSS-26'!$C$1:$AU$617,15,)</f>
        <v>0</v>
      </c>
      <c r="G134" s="32">
        <f t="shared" si="123"/>
        <v>0</v>
      </c>
      <c r="H134" s="32">
        <f t="shared" si="123"/>
        <v>0</v>
      </c>
      <c r="I134" s="32">
        <f t="shared" si="123"/>
        <v>0</v>
      </c>
      <c r="J134" s="32">
        <f t="shared" si="123"/>
        <v>0</v>
      </c>
      <c r="K134" s="32">
        <f t="shared" si="123"/>
        <v>0</v>
      </c>
      <c r="L134" s="32">
        <f t="shared" si="123"/>
        <v>0</v>
      </c>
      <c r="M134" s="32">
        <f t="shared" si="123"/>
        <v>0</v>
      </c>
      <c r="N134" s="32">
        <f t="shared" si="123"/>
        <v>0</v>
      </c>
      <c r="O134" s="32">
        <f t="shared" si="123"/>
        <v>0</v>
      </c>
      <c r="P134" s="32">
        <f t="shared" si="123"/>
        <v>0</v>
      </c>
      <c r="Q134" s="32">
        <f t="shared" si="123"/>
        <v>0</v>
      </c>
      <c r="R134" s="32">
        <f t="shared" si="123"/>
        <v>0</v>
      </c>
      <c r="S134" s="32">
        <f t="shared" si="123"/>
        <v>0</v>
      </c>
      <c r="T134" s="32">
        <f t="shared" si="123"/>
        <v>0</v>
      </c>
      <c r="U134" s="32">
        <f t="shared" si="123"/>
        <v>0</v>
      </c>
      <c r="V134" s="32">
        <f t="shared" si="123"/>
        <v>0</v>
      </c>
      <c r="W134" s="34">
        <f>SUM(G134:V134)</f>
        <v>0</v>
      </c>
      <c r="X134" s="30" t="str">
        <f t="shared" si="124"/>
        <v>ok</v>
      </c>
      <c r="Y134" s="66" t="str">
        <f t="shared" si="125"/>
        <v/>
      </c>
    </row>
    <row r="135" spans="1:26" ht="12" hidden="1" customHeight="1" x14ac:dyDescent="0.25">
      <c r="A135" s="29" t="s">
        <v>428</v>
      </c>
      <c r="D135" s="29" t="s">
        <v>604</v>
      </c>
      <c r="F135" s="32">
        <f>SUM(F132:F134)</f>
        <v>653087623.67655969</v>
      </c>
      <c r="G135" s="32">
        <f t="shared" ref="G135:T135" si="126">SUM(G132:G134)</f>
        <v>280536596.75836647</v>
      </c>
      <c r="H135" s="32">
        <f t="shared" si="126"/>
        <v>82756911.385649234</v>
      </c>
      <c r="I135" s="32">
        <f>SUM(I132:I134)</f>
        <v>7319765.6469884273</v>
      </c>
      <c r="J135" s="32">
        <f>SUM(J132:J134)</f>
        <v>62436107.014034614</v>
      </c>
      <c r="K135" s="32">
        <f>SUM(K132:K134)</f>
        <v>4136834.6114117336</v>
      </c>
      <c r="L135" s="32">
        <f t="shared" si="126"/>
        <v>49814620.100131266</v>
      </c>
      <c r="M135" s="32">
        <f t="shared" si="126"/>
        <v>106404703.11609329</v>
      </c>
      <c r="N135" s="32">
        <f t="shared" si="126"/>
        <v>34048187.549510606</v>
      </c>
      <c r="O135" s="32">
        <f t="shared" si="126"/>
        <v>20823190.559788339</v>
      </c>
      <c r="P135" s="32">
        <f>SUM(P132:P134)</f>
        <v>4647364.8836418437</v>
      </c>
      <c r="Q135" s="32">
        <f t="shared" si="126"/>
        <v>54836.283537543371</v>
      </c>
      <c r="R135" s="32">
        <f t="shared" si="126"/>
        <v>30173.470151529404</v>
      </c>
      <c r="S135" s="32">
        <f t="shared" si="126"/>
        <v>78332.297254617995</v>
      </c>
      <c r="T135" s="32">
        <f t="shared" si="126"/>
        <v>0</v>
      </c>
      <c r="U135" s="32">
        <f t="shared" ref="U135:V135" si="127">SUM(U132:U134)</f>
        <v>0</v>
      </c>
      <c r="V135" s="32">
        <f t="shared" si="127"/>
        <v>0</v>
      </c>
      <c r="W135" s="34">
        <f>SUM(G135:V135)</f>
        <v>653087623.67655945</v>
      </c>
      <c r="X135" s="30" t="str">
        <f>IF(ABS(F135-W135)&lt;0.01,"ok","err")</f>
        <v>ok</v>
      </c>
      <c r="Y135" s="66" t="str">
        <f>IF(X135="err",W135-F135,"")</f>
        <v/>
      </c>
    </row>
    <row r="136" spans="1:26" ht="12" customHeight="1" x14ac:dyDescent="0.25">
      <c r="F136" s="33"/>
      <c r="G136" s="33"/>
    </row>
    <row r="137" spans="1:26" ht="12" customHeight="1" x14ac:dyDescent="0.25">
      <c r="A137" s="4" t="s">
        <v>1593</v>
      </c>
      <c r="F137" s="33"/>
      <c r="G137" s="33"/>
    </row>
    <row r="138" spans="1:26" ht="12" customHeight="1" x14ac:dyDescent="0.25">
      <c r="A138" s="39" t="s">
        <v>145</v>
      </c>
      <c r="C138" s="29" t="s">
        <v>753</v>
      </c>
      <c r="D138" s="29" t="s">
        <v>605</v>
      </c>
      <c r="E138" s="29" t="s">
        <v>2129</v>
      </c>
      <c r="F138" s="32">
        <f>VLOOKUP(C138,'WSS-26'!$C$1:$AU$617,17,)</f>
        <v>0</v>
      </c>
      <c r="G138" s="32">
        <f t="shared" ref="G138:V138" si="128">IF(VLOOKUP($E138,$D$5:$V$970,3,)=0,0,(VLOOKUP($E138,$D$5:$V$970,G$1,)/VLOOKUP($E138,$D$5:$V$970,3,))*$F138)</f>
        <v>0</v>
      </c>
      <c r="H138" s="32">
        <f t="shared" si="128"/>
        <v>0</v>
      </c>
      <c r="I138" s="32">
        <f t="shared" si="128"/>
        <v>0</v>
      </c>
      <c r="J138" s="32">
        <f t="shared" si="128"/>
        <v>0</v>
      </c>
      <c r="K138" s="32">
        <f t="shared" si="128"/>
        <v>0</v>
      </c>
      <c r="L138" s="32">
        <f t="shared" si="128"/>
        <v>0</v>
      </c>
      <c r="M138" s="32">
        <f t="shared" si="128"/>
        <v>0</v>
      </c>
      <c r="N138" s="32">
        <f t="shared" si="128"/>
        <v>0</v>
      </c>
      <c r="O138" s="32">
        <f t="shared" si="128"/>
        <v>0</v>
      </c>
      <c r="P138" s="32">
        <f t="shared" si="128"/>
        <v>0</v>
      </c>
      <c r="Q138" s="32">
        <f t="shared" si="128"/>
        <v>0</v>
      </c>
      <c r="R138" s="32">
        <f t="shared" si="128"/>
        <v>0</v>
      </c>
      <c r="S138" s="32">
        <f t="shared" si="128"/>
        <v>0</v>
      </c>
      <c r="T138" s="32">
        <f t="shared" si="128"/>
        <v>0</v>
      </c>
      <c r="U138" s="32">
        <f t="shared" si="128"/>
        <v>0</v>
      </c>
      <c r="V138" s="32">
        <f t="shared" si="128"/>
        <v>0</v>
      </c>
      <c r="W138" s="34">
        <f>SUM(G138:V138)</f>
        <v>0</v>
      </c>
      <c r="X138" s="30" t="str">
        <f t="shared" ref="X138" si="129">IF(ABS(F138-W138)&lt;0.01,"ok","err")</f>
        <v>ok</v>
      </c>
      <c r="Y138" s="66" t="str">
        <f t="shared" ref="Y138" si="130">IF(X138="err",W138-F138,"")</f>
        <v/>
      </c>
    </row>
    <row r="139" spans="1:26" ht="12" customHeight="1" x14ac:dyDescent="0.25">
      <c r="F139" s="33"/>
    </row>
    <row r="140" spans="1:26" ht="12" customHeight="1" x14ac:dyDescent="0.25">
      <c r="A140" s="4" t="s">
        <v>1594</v>
      </c>
      <c r="F140" s="33"/>
      <c r="G140" s="33"/>
    </row>
    <row r="141" spans="1:26" ht="12" customHeight="1" x14ac:dyDescent="0.25">
      <c r="A141" s="39" t="s">
        <v>147</v>
      </c>
      <c r="C141" s="29" t="s">
        <v>753</v>
      </c>
      <c r="D141" s="29" t="s">
        <v>606</v>
      </c>
      <c r="E141" s="29" t="s">
        <v>2129</v>
      </c>
      <c r="F141" s="32">
        <f>VLOOKUP(C141,'WSS-26'!$C$1:$AU$617,18,)</f>
        <v>155547291.50650045</v>
      </c>
      <c r="G141" s="32">
        <f t="shared" ref="G141:V141" si="131">IF(VLOOKUP($E141,$D$5:$V$970,3,)=0,0,(VLOOKUP($E141,$D$5:$V$970,G$1,)/VLOOKUP($E141,$D$5:$V$970,3,))*$F141)</f>
        <v>72944705.393008068</v>
      </c>
      <c r="H141" s="32">
        <f t="shared" si="131"/>
        <v>21518328.054221775</v>
      </c>
      <c r="I141" s="32">
        <f t="shared" si="131"/>
        <v>1903274.4919384862</v>
      </c>
      <c r="J141" s="32">
        <f t="shared" si="131"/>
        <v>16234542.960353544</v>
      </c>
      <c r="K141" s="32">
        <f t="shared" si="131"/>
        <v>1075653.534960866</v>
      </c>
      <c r="L141" s="32">
        <f t="shared" si="131"/>
        <v>12952722.85133802</v>
      </c>
      <c r="M141" s="32">
        <f t="shared" si="131"/>
        <v>27667191.414313883</v>
      </c>
      <c r="N141" s="32">
        <f t="shared" si="131"/>
        <v>0</v>
      </c>
      <c r="O141" s="32">
        <f t="shared" si="131"/>
        <v>0</v>
      </c>
      <c r="P141" s="32">
        <f t="shared" si="131"/>
        <v>1208400.8511126826</v>
      </c>
      <c r="Q141" s="32">
        <f t="shared" si="131"/>
        <v>14258.448251366213</v>
      </c>
      <c r="R141" s="32">
        <f t="shared" si="131"/>
        <v>7845.6604818080459</v>
      </c>
      <c r="S141" s="32">
        <f t="shared" si="131"/>
        <v>20367.846519921961</v>
      </c>
      <c r="T141" s="32">
        <f t="shared" si="131"/>
        <v>0</v>
      </c>
      <c r="U141" s="32">
        <f t="shared" si="131"/>
        <v>0</v>
      </c>
      <c r="V141" s="32">
        <f t="shared" si="131"/>
        <v>0</v>
      </c>
      <c r="W141" s="34">
        <f>SUM(G141:V141)</f>
        <v>155547291.50650042</v>
      </c>
      <c r="X141" s="30" t="str">
        <f t="shared" ref="X141" si="132">IF(ABS(F141-W141)&lt;0.01,"ok","err")</f>
        <v>ok</v>
      </c>
      <c r="Y141" s="66" t="str">
        <f t="shared" ref="Y141" si="133">IF(X141="err",W141-F141,"")</f>
        <v/>
      </c>
      <c r="Z141" s="34"/>
    </row>
    <row r="142" spans="1:26" ht="12" customHeight="1" x14ac:dyDescent="0.25">
      <c r="F142" s="33"/>
    </row>
    <row r="143" spans="1:26" ht="12" customHeight="1" x14ac:dyDescent="0.25">
      <c r="A143" s="4" t="s">
        <v>146</v>
      </c>
      <c r="F143" s="33"/>
    </row>
    <row r="144" spans="1:26" ht="12" customHeight="1" x14ac:dyDescent="0.25">
      <c r="A144" s="39" t="s">
        <v>767</v>
      </c>
      <c r="C144" s="29" t="s">
        <v>753</v>
      </c>
      <c r="D144" s="29" t="s">
        <v>607</v>
      </c>
      <c r="E144" s="29" t="s">
        <v>2129</v>
      </c>
      <c r="F144" s="32">
        <f>VLOOKUP(C144,'WSS-26'!$C$1:$AU$617,19,)</f>
        <v>0</v>
      </c>
      <c r="G144" s="32">
        <f t="shared" ref="G144:V148" si="134">IF(VLOOKUP($E144,$D$5:$V$970,3,)=0,0,(VLOOKUP($E144,$D$5:$V$970,G$1,)/VLOOKUP($E144,$D$5:$V$970,3,))*$F144)</f>
        <v>0</v>
      </c>
      <c r="H144" s="32">
        <f t="shared" si="134"/>
        <v>0</v>
      </c>
      <c r="I144" s="32">
        <f t="shared" si="134"/>
        <v>0</v>
      </c>
      <c r="J144" s="32">
        <f t="shared" si="134"/>
        <v>0</v>
      </c>
      <c r="K144" s="32">
        <f t="shared" si="134"/>
        <v>0</v>
      </c>
      <c r="L144" s="32">
        <f t="shared" si="134"/>
        <v>0</v>
      </c>
      <c r="M144" s="32">
        <f t="shared" si="134"/>
        <v>0</v>
      </c>
      <c r="N144" s="32">
        <f t="shared" si="134"/>
        <v>0</v>
      </c>
      <c r="O144" s="32">
        <f t="shared" si="134"/>
        <v>0</v>
      </c>
      <c r="P144" s="32">
        <f t="shared" si="134"/>
        <v>0</v>
      </c>
      <c r="Q144" s="32">
        <f t="shared" si="134"/>
        <v>0</v>
      </c>
      <c r="R144" s="32">
        <f t="shared" si="134"/>
        <v>0</v>
      </c>
      <c r="S144" s="32">
        <f t="shared" si="134"/>
        <v>0</v>
      </c>
      <c r="T144" s="32">
        <f t="shared" si="134"/>
        <v>0</v>
      </c>
      <c r="U144" s="32">
        <f t="shared" si="134"/>
        <v>0</v>
      </c>
      <c r="V144" s="32">
        <f t="shared" si="134"/>
        <v>0</v>
      </c>
      <c r="W144" s="34">
        <f>SUM(G144:V144)</f>
        <v>0</v>
      </c>
      <c r="X144" s="30" t="str">
        <f t="shared" ref="X144:X148" si="135">IF(ABS(F144-W144)&lt;0.01,"ok","err")</f>
        <v>ok</v>
      </c>
      <c r="Y144" s="66" t="str">
        <f t="shared" ref="Y144:Y148" si="136">IF(X144="err",W144-F144,"")</f>
        <v/>
      </c>
    </row>
    <row r="145" spans="1:25" ht="12" customHeight="1" x14ac:dyDescent="0.25">
      <c r="A145" s="39" t="s">
        <v>768</v>
      </c>
      <c r="C145" s="29" t="s">
        <v>753</v>
      </c>
      <c r="D145" s="29" t="s">
        <v>608</v>
      </c>
      <c r="E145" s="29" t="s">
        <v>2129</v>
      </c>
      <c r="F145" s="33">
        <f>VLOOKUP(C145,'WSS-26'!$C$1:$AU$617,20,)</f>
        <v>127721035.01035312</v>
      </c>
      <c r="G145" s="32">
        <f t="shared" si="134"/>
        <v>59895438.751056165</v>
      </c>
      <c r="H145" s="32">
        <f t="shared" si="134"/>
        <v>17668858.802743394</v>
      </c>
      <c r="I145" s="32">
        <f t="shared" si="134"/>
        <v>1562792.8051002326</v>
      </c>
      <c r="J145" s="32">
        <f t="shared" si="134"/>
        <v>13330303.663498659</v>
      </c>
      <c r="K145" s="32">
        <f t="shared" si="134"/>
        <v>883227.09747733199</v>
      </c>
      <c r="L145" s="32">
        <f t="shared" si="134"/>
        <v>10635576.825238438</v>
      </c>
      <c r="M145" s="32">
        <f t="shared" si="134"/>
        <v>22717736.124116626</v>
      </c>
      <c r="N145" s="32">
        <f t="shared" si="134"/>
        <v>0</v>
      </c>
      <c r="O145" s="32">
        <f t="shared" si="134"/>
        <v>0</v>
      </c>
      <c r="P145" s="32">
        <f t="shared" si="134"/>
        <v>992226.90357841121</v>
      </c>
      <c r="Q145" s="32">
        <f t="shared" si="134"/>
        <v>11707.717637950302</v>
      </c>
      <c r="R145" s="32">
        <f t="shared" si="134"/>
        <v>6442.130025995808</v>
      </c>
      <c r="S145" s="32">
        <f t="shared" si="134"/>
        <v>16724.189879884452</v>
      </c>
      <c r="T145" s="32">
        <f t="shared" si="134"/>
        <v>0</v>
      </c>
      <c r="U145" s="32">
        <f t="shared" si="134"/>
        <v>0</v>
      </c>
      <c r="V145" s="32">
        <f t="shared" si="134"/>
        <v>0</v>
      </c>
      <c r="W145" s="34">
        <f>SUM(G145:V145)</f>
        <v>127721035.01035309</v>
      </c>
      <c r="X145" s="30" t="str">
        <f t="shared" si="135"/>
        <v>ok</v>
      </c>
      <c r="Y145" s="66" t="str">
        <f t="shared" si="136"/>
        <v/>
      </c>
    </row>
    <row r="146" spans="1:25" ht="12" customHeight="1" x14ac:dyDescent="0.25">
      <c r="A146" s="39" t="s">
        <v>769</v>
      </c>
      <c r="C146" s="29" t="s">
        <v>753</v>
      </c>
      <c r="D146" s="29" t="s">
        <v>609</v>
      </c>
      <c r="E146" s="29" t="s">
        <v>2303</v>
      </c>
      <c r="F146" s="33">
        <f>VLOOKUP(C146,'WSS-26'!$C$1:$AU$617,21,)</f>
        <v>240082274.30560106</v>
      </c>
      <c r="G146" s="32">
        <f t="shared" si="134"/>
        <v>191757474.92298812</v>
      </c>
      <c r="H146" s="32">
        <f t="shared" si="134"/>
        <v>37103334.300730959</v>
      </c>
      <c r="I146" s="32">
        <f t="shared" si="134"/>
        <v>245237.2047878881</v>
      </c>
      <c r="J146" s="32">
        <f t="shared" si="134"/>
        <v>1964974.0906929167</v>
      </c>
      <c r="K146" s="32">
        <f t="shared" si="134"/>
        <v>90535.598900188066</v>
      </c>
      <c r="L146" s="32">
        <f t="shared" si="134"/>
        <v>323264.82725749671</v>
      </c>
      <c r="M146" s="32">
        <f t="shared" si="134"/>
        <v>113964.98131460082</v>
      </c>
      <c r="N146" s="32">
        <f t="shared" si="134"/>
        <v>0</v>
      </c>
      <c r="O146" s="32">
        <f t="shared" si="134"/>
        <v>0</v>
      </c>
      <c r="P146" s="32">
        <f t="shared" si="134"/>
        <v>8442176.0182656497</v>
      </c>
      <c r="Q146" s="32">
        <f t="shared" si="134"/>
        <v>1318.4795956338069</v>
      </c>
      <c r="R146" s="32">
        <f t="shared" si="134"/>
        <v>37356.921876291191</v>
      </c>
      <c r="S146" s="32">
        <f t="shared" si="134"/>
        <v>2636.9591912676137</v>
      </c>
      <c r="T146" s="32">
        <f t="shared" si="134"/>
        <v>0</v>
      </c>
      <c r="U146" s="32">
        <f t="shared" si="134"/>
        <v>0</v>
      </c>
      <c r="V146" s="32">
        <f t="shared" si="134"/>
        <v>0</v>
      </c>
      <c r="W146" s="34">
        <f t="shared" ref="W146:W148" si="137">SUM(G146:V146)</f>
        <v>240082274.30560094</v>
      </c>
      <c r="X146" s="30" t="str">
        <f t="shared" si="135"/>
        <v>ok</v>
      </c>
      <c r="Y146" s="66" t="str">
        <f t="shared" si="136"/>
        <v/>
      </c>
    </row>
    <row r="147" spans="1:25" ht="12" customHeight="1" x14ac:dyDescent="0.25">
      <c r="A147" s="39" t="s">
        <v>770</v>
      </c>
      <c r="C147" s="29" t="s">
        <v>753</v>
      </c>
      <c r="D147" s="29" t="s">
        <v>610</v>
      </c>
      <c r="E147" s="29" t="s">
        <v>709</v>
      </c>
      <c r="F147" s="33">
        <f>VLOOKUP(C147,'WSS-26'!$C$1:$AU$617,22,)</f>
        <v>69581062.942207456</v>
      </c>
      <c r="G147" s="32">
        <f t="shared" si="134"/>
        <v>54099835.969206542</v>
      </c>
      <c r="H147" s="32">
        <f t="shared" si="134"/>
        <v>14176350.355504958</v>
      </c>
      <c r="I147" s="32">
        <f t="shared" si="134"/>
        <v>847008.6140156819</v>
      </c>
      <c r="J147" s="32">
        <f t="shared" si="134"/>
        <v>0</v>
      </c>
      <c r="K147" s="32">
        <f t="shared" si="134"/>
        <v>0</v>
      </c>
      <c r="L147" s="32">
        <f t="shared" si="134"/>
        <v>0</v>
      </c>
      <c r="M147" s="32">
        <f t="shared" si="134"/>
        <v>0</v>
      </c>
      <c r="N147" s="32">
        <f t="shared" si="134"/>
        <v>0</v>
      </c>
      <c r="O147" s="32">
        <f t="shared" si="134"/>
        <v>0</v>
      </c>
      <c r="P147" s="32">
        <f t="shared" si="134"/>
        <v>449643.11657234316</v>
      </c>
      <c r="Q147" s="32">
        <f t="shared" si="134"/>
        <v>5305.5350824409015</v>
      </c>
      <c r="R147" s="32">
        <f t="shared" si="134"/>
        <v>2919.3518254810306</v>
      </c>
      <c r="S147" s="32">
        <f t="shared" si="134"/>
        <v>0</v>
      </c>
      <c r="T147" s="32">
        <f t="shared" si="134"/>
        <v>0</v>
      </c>
      <c r="U147" s="32">
        <f t="shared" si="134"/>
        <v>0</v>
      </c>
      <c r="V147" s="32">
        <f t="shared" si="134"/>
        <v>0</v>
      </c>
      <c r="W147" s="34">
        <f t="shared" si="137"/>
        <v>69581062.942207456</v>
      </c>
      <c r="X147" s="30" t="str">
        <f t="shared" si="135"/>
        <v>ok</v>
      </c>
      <c r="Y147" s="66" t="str">
        <f t="shared" si="136"/>
        <v/>
      </c>
    </row>
    <row r="148" spans="1:25" ht="12" customHeight="1" x14ac:dyDescent="0.25">
      <c r="A148" s="39" t="s">
        <v>771</v>
      </c>
      <c r="C148" s="29" t="s">
        <v>753</v>
      </c>
      <c r="D148" s="29" t="s">
        <v>611</v>
      </c>
      <c r="E148" s="29" t="s">
        <v>2302</v>
      </c>
      <c r="F148" s="33">
        <f>VLOOKUP(C148,'WSS-26'!$C$1:$AU$617,23,)</f>
        <v>128769742.20323366</v>
      </c>
      <c r="G148" s="32">
        <f t="shared" si="134"/>
        <v>103930649.52238345</v>
      </c>
      <c r="H148" s="32">
        <f t="shared" si="134"/>
        <v>20109639.193308</v>
      </c>
      <c r="I148" s="32">
        <f t="shared" si="134"/>
        <v>132916.13268737029</v>
      </c>
      <c r="J148" s="32">
        <f t="shared" si="134"/>
        <v>0</v>
      </c>
      <c r="K148" s="32">
        <f t="shared" si="134"/>
        <v>0</v>
      </c>
      <c r="L148" s="32">
        <f t="shared" si="134"/>
        <v>0</v>
      </c>
      <c r="M148" s="32">
        <f t="shared" si="134"/>
        <v>0</v>
      </c>
      <c r="N148" s="32">
        <f t="shared" si="134"/>
        <v>0</v>
      </c>
      <c r="O148" s="32">
        <f t="shared" si="134"/>
        <v>0</v>
      </c>
      <c r="P148" s="32">
        <f t="shared" si="134"/>
        <v>4575575.6708467901</v>
      </c>
      <c r="Q148" s="32">
        <f t="shared" si="134"/>
        <v>714.60286391059299</v>
      </c>
      <c r="R148" s="32">
        <f t="shared" si="134"/>
        <v>20247.081144133466</v>
      </c>
      <c r="S148" s="32">
        <f t="shared" si="134"/>
        <v>0</v>
      </c>
      <c r="T148" s="32">
        <f t="shared" si="134"/>
        <v>0</v>
      </c>
      <c r="U148" s="32">
        <f t="shared" si="134"/>
        <v>0</v>
      </c>
      <c r="V148" s="32">
        <f t="shared" si="134"/>
        <v>0</v>
      </c>
      <c r="W148" s="34">
        <f t="shared" si="137"/>
        <v>128769742.20323366</v>
      </c>
      <c r="X148" s="30" t="str">
        <f t="shared" si="135"/>
        <v>ok</v>
      </c>
      <c r="Y148" s="66" t="str">
        <f t="shared" si="136"/>
        <v/>
      </c>
    </row>
    <row r="149" spans="1:25" ht="12" customHeight="1" x14ac:dyDescent="0.25">
      <c r="A149" s="29" t="s">
        <v>151</v>
      </c>
      <c r="D149" s="29" t="s">
        <v>612</v>
      </c>
      <c r="F149" s="32">
        <f>SUM(F144:F148)</f>
        <v>566154114.46139526</v>
      </c>
      <c r="G149" s="32">
        <f t="shared" ref="G149:T149" si="138">SUM(G144:G148)</f>
        <v>409683399.16563427</v>
      </c>
      <c r="H149" s="32">
        <f t="shared" si="138"/>
        <v>89058182.652287304</v>
      </c>
      <c r="I149" s="32">
        <f>SUM(I144:I148)</f>
        <v>2787954.7565911729</v>
      </c>
      <c r="J149" s="32">
        <f>SUM(J144:J148)</f>
        <v>15295277.754191576</v>
      </c>
      <c r="K149" s="32">
        <f>SUM(K144:K148)</f>
        <v>973762.6963775201</v>
      </c>
      <c r="L149" s="32">
        <f t="shared" si="138"/>
        <v>10958841.652495936</v>
      </c>
      <c r="M149" s="32">
        <f t="shared" si="138"/>
        <v>22831701.105431225</v>
      </c>
      <c r="N149" s="32">
        <f t="shared" si="138"/>
        <v>0</v>
      </c>
      <c r="O149" s="32">
        <f t="shared" si="138"/>
        <v>0</v>
      </c>
      <c r="P149" s="32">
        <f>SUM(P144:P148)</f>
        <v>14459621.709263194</v>
      </c>
      <c r="Q149" s="32">
        <f t="shared" si="138"/>
        <v>19046.335179935602</v>
      </c>
      <c r="R149" s="32">
        <f t="shared" si="138"/>
        <v>66965.484871901499</v>
      </c>
      <c r="S149" s="32">
        <f t="shared" si="138"/>
        <v>19361.149071152067</v>
      </c>
      <c r="T149" s="32">
        <f t="shared" si="138"/>
        <v>0</v>
      </c>
      <c r="U149" s="32">
        <f t="shared" ref="U149:V149" si="139">SUM(U144:U148)</f>
        <v>0</v>
      </c>
      <c r="V149" s="32">
        <f t="shared" si="139"/>
        <v>0</v>
      </c>
      <c r="W149" s="34">
        <f t="shared" ref="W149" si="140">SUM(G149:V149)</f>
        <v>566154114.46139514</v>
      </c>
      <c r="X149" s="30" t="str">
        <f t="shared" ref="X149" si="141">IF(ABS(F149-W149)&lt;0.01,"ok","err")</f>
        <v>ok</v>
      </c>
      <c r="Y149" s="34" t="str">
        <f t="shared" ref="Y149" si="142">IF(X149="err",W149-F149,"")</f>
        <v/>
      </c>
    </row>
    <row r="150" spans="1:25" ht="12" customHeight="1" x14ac:dyDescent="0.25">
      <c r="F150" s="33"/>
    </row>
    <row r="151" spans="1:25" ht="12" customHeight="1" x14ac:dyDescent="0.25">
      <c r="A151" s="4" t="s">
        <v>766</v>
      </c>
      <c r="F151" s="33"/>
    </row>
    <row r="152" spans="1:25" ht="12" customHeight="1" x14ac:dyDescent="0.25">
      <c r="A152" s="39" t="s">
        <v>375</v>
      </c>
      <c r="C152" s="29" t="s">
        <v>753</v>
      </c>
      <c r="D152" s="29" t="s">
        <v>613</v>
      </c>
      <c r="E152" s="29" t="s">
        <v>2058</v>
      </c>
      <c r="F152" s="32">
        <f>VLOOKUP(C152,'WSS-26'!$C$1:$AU$617,24,)</f>
        <v>93644199.517810032</v>
      </c>
      <c r="G152" s="32">
        <f t="shared" ref="G152:V153" si="143">IF(VLOOKUP($E152,$D$5:$V$970,3,)=0,0,(VLOOKUP($E152,$D$5:$V$970,G$1,)/VLOOKUP($E152,$D$5:$V$970,3,))*$F152)</f>
        <v>59699579.569725327</v>
      </c>
      <c r="H152" s="32">
        <f t="shared" si="143"/>
        <v>15643710.205304435</v>
      </c>
      <c r="I152" s="32">
        <f t="shared" si="143"/>
        <v>934680.43373466074</v>
      </c>
      <c r="J152" s="32">
        <f t="shared" si="143"/>
        <v>9939197.9749137107</v>
      </c>
      <c r="K152" s="32">
        <f t="shared" si="143"/>
        <v>0</v>
      </c>
      <c r="L152" s="32">
        <f t="shared" si="143"/>
        <v>6908926.5108152004</v>
      </c>
      <c r="M152" s="32">
        <f t="shared" si="143"/>
        <v>0</v>
      </c>
      <c r="N152" s="32">
        <f t="shared" si="143"/>
        <v>0</v>
      </c>
      <c r="O152" s="32">
        <f t="shared" si="143"/>
        <v>0</v>
      </c>
      <c r="P152" s="32">
        <f t="shared" si="143"/>
        <v>496184.59159597306</v>
      </c>
      <c r="Q152" s="32">
        <f t="shared" si="143"/>
        <v>5854.6982285572221</v>
      </c>
      <c r="R152" s="32">
        <f t="shared" si="143"/>
        <v>3221.5268951375315</v>
      </c>
      <c r="S152" s="32">
        <f t="shared" si="143"/>
        <v>12844.006597017422</v>
      </c>
      <c r="T152" s="32">
        <f t="shared" si="143"/>
        <v>0</v>
      </c>
      <c r="U152" s="32">
        <f t="shared" si="143"/>
        <v>0</v>
      </c>
      <c r="V152" s="32">
        <f t="shared" si="143"/>
        <v>0</v>
      </c>
      <c r="W152" s="34">
        <f t="shared" ref="W152:W153" si="144">SUM(G152:V152)</f>
        <v>93644199.517810017</v>
      </c>
      <c r="X152" s="30" t="str">
        <f t="shared" ref="X152:X153" si="145">IF(ABS(F152-W152)&lt;0.01,"ok","err")</f>
        <v>ok</v>
      </c>
      <c r="Y152" s="66" t="str">
        <f t="shared" ref="Y152:Y153" si="146">IF(X152="err",W152-F152,"")</f>
        <v/>
      </c>
    </row>
    <row r="153" spans="1:25" ht="12" customHeight="1" x14ac:dyDescent="0.25">
      <c r="A153" s="39" t="s">
        <v>378</v>
      </c>
      <c r="C153" s="29" t="s">
        <v>753</v>
      </c>
      <c r="D153" s="29" t="s">
        <v>614</v>
      </c>
      <c r="E153" s="29" t="s">
        <v>2304</v>
      </c>
      <c r="F153" s="33">
        <f>VLOOKUP(C153,'WSS-26'!$C$1:$AU$617,25,)</f>
        <v>81213113.841727078</v>
      </c>
      <c r="G153" s="32">
        <f t="shared" si="143"/>
        <v>64921486.468150623</v>
      </c>
      <c r="H153" s="32">
        <f t="shared" si="143"/>
        <v>12561719.519385491</v>
      </c>
      <c r="I153" s="32">
        <f t="shared" si="143"/>
        <v>83027.604939614845</v>
      </c>
      <c r="J153" s="32">
        <f t="shared" si="143"/>
        <v>665262.40445343708</v>
      </c>
      <c r="K153" s="32">
        <f t="shared" si="143"/>
        <v>0</v>
      </c>
      <c r="L153" s="32">
        <f t="shared" si="143"/>
        <v>109444.66762954176</v>
      </c>
      <c r="M153" s="32">
        <f t="shared" si="143"/>
        <v>0</v>
      </c>
      <c r="N153" s="32">
        <f t="shared" si="143"/>
        <v>0</v>
      </c>
      <c r="O153" s="32">
        <f t="shared" si="143"/>
        <v>0</v>
      </c>
      <c r="P153" s="32">
        <f t="shared" si="143"/>
        <v>2858186.4480208317</v>
      </c>
      <c r="Q153" s="32">
        <f t="shared" si="143"/>
        <v>446.38497279362821</v>
      </c>
      <c r="R153" s="32">
        <f t="shared" si="143"/>
        <v>12647.574229152799</v>
      </c>
      <c r="S153" s="32">
        <f t="shared" si="143"/>
        <v>892.76994558725642</v>
      </c>
      <c r="T153" s="32">
        <f t="shared" si="143"/>
        <v>0</v>
      </c>
      <c r="U153" s="32">
        <f t="shared" si="143"/>
        <v>0</v>
      </c>
      <c r="V153" s="32">
        <f t="shared" si="143"/>
        <v>0</v>
      </c>
      <c r="W153" s="34">
        <f t="shared" si="144"/>
        <v>81213113.841727078</v>
      </c>
      <c r="X153" s="30" t="str">
        <f t="shared" si="145"/>
        <v>ok</v>
      </c>
      <c r="Y153" s="66" t="str">
        <f t="shared" si="146"/>
        <v/>
      </c>
    </row>
    <row r="154" spans="1:25" ht="12" customHeight="1" x14ac:dyDescent="0.25">
      <c r="A154" s="29" t="s">
        <v>1434</v>
      </c>
      <c r="D154" s="29" t="s">
        <v>615</v>
      </c>
      <c r="F154" s="32">
        <f t="shared" ref="F154:T154" si="147">F152+F153</f>
        <v>174857313.35953712</v>
      </c>
      <c r="G154" s="32">
        <f t="shared" si="147"/>
        <v>124621066.03787595</v>
      </c>
      <c r="H154" s="32">
        <f t="shared" si="147"/>
        <v>28205429.724689923</v>
      </c>
      <c r="I154" s="32">
        <f>I152+I153</f>
        <v>1017708.0386742756</v>
      </c>
      <c r="J154" s="32">
        <f>J152+J153</f>
        <v>10604460.379367149</v>
      </c>
      <c r="K154" s="32">
        <f>K152+K153</f>
        <v>0</v>
      </c>
      <c r="L154" s="32">
        <f t="shared" si="147"/>
        <v>7018371.1784447422</v>
      </c>
      <c r="M154" s="32">
        <f t="shared" si="147"/>
        <v>0</v>
      </c>
      <c r="N154" s="32">
        <f t="shared" si="147"/>
        <v>0</v>
      </c>
      <c r="O154" s="32">
        <f t="shared" si="147"/>
        <v>0</v>
      </c>
      <c r="P154" s="32">
        <f>P152+P153</f>
        <v>3354371.0396168046</v>
      </c>
      <c r="Q154" s="32">
        <f t="shared" si="147"/>
        <v>6301.0832013508507</v>
      </c>
      <c r="R154" s="32">
        <f t="shared" si="147"/>
        <v>15869.10112429033</v>
      </c>
      <c r="S154" s="32">
        <f t="shared" si="147"/>
        <v>13736.776542604679</v>
      </c>
      <c r="T154" s="32">
        <f t="shared" si="147"/>
        <v>0</v>
      </c>
      <c r="U154" s="32">
        <f t="shared" ref="U154:V154" si="148">U152+U153</f>
        <v>0</v>
      </c>
      <c r="V154" s="32">
        <f t="shared" si="148"/>
        <v>0</v>
      </c>
      <c r="W154" s="34">
        <f>SUM(G154:V154)</f>
        <v>174857313.35953707</v>
      </c>
      <c r="X154" s="30" t="str">
        <f>IF(ABS(F154-W154)&lt;0.01,"ok","err")</f>
        <v>ok</v>
      </c>
      <c r="Y154" s="34" t="str">
        <f>IF(X154="err",W154-F154,"")</f>
        <v/>
      </c>
    </row>
    <row r="155" spans="1:25" ht="12" customHeight="1" x14ac:dyDescent="0.25">
      <c r="F155" s="33"/>
    </row>
    <row r="156" spans="1:25" ht="12" customHeight="1" x14ac:dyDescent="0.25">
      <c r="A156" s="4" t="s">
        <v>128</v>
      </c>
      <c r="F156" s="33"/>
    </row>
    <row r="157" spans="1:25" ht="12" customHeight="1" x14ac:dyDescent="0.25">
      <c r="A157" s="39" t="s">
        <v>378</v>
      </c>
      <c r="C157" s="29" t="s">
        <v>753</v>
      </c>
      <c r="D157" s="29" t="s">
        <v>616</v>
      </c>
      <c r="E157" s="29" t="s">
        <v>379</v>
      </c>
      <c r="F157" s="32">
        <f>VLOOKUP(C157,'WSS-26'!$C$1:$AU$617,26,)</f>
        <v>60133861.462727927</v>
      </c>
      <c r="G157" s="32">
        <f t="shared" ref="G157:V157" si="149">IF(VLOOKUP($E157,$D$5:$V$970,3,)=0,0,(VLOOKUP($E157,$D$5:$V$970,G$1,)/VLOOKUP($E157,$D$5:$V$970,3,))*$F157)</f>
        <v>42195493.230732061</v>
      </c>
      <c r="H157" s="32">
        <f t="shared" si="149"/>
        <v>16548032.836216899</v>
      </c>
      <c r="I157" s="32">
        <f t="shared" si="149"/>
        <v>141997.34265507603</v>
      </c>
      <c r="J157" s="32">
        <f t="shared" si="149"/>
        <v>1058562.7568557176</v>
      </c>
      <c r="K157" s="32">
        <f t="shared" si="149"/>
        <v>0</v>
      </c>
      <c r="L157" s="32">
        <f t="shared" si="149"/>
        <v>188354.30069629411</v>
      </c>
      <c r="M157" s="32">
        <f t="shared" si="149"/>
        <v>0</v>
      </c>
      <c r="N157" s="32">
        <f t="shared" si="149"/>
        <v>0</v>
      </c>
      <c r="O157" s="32">
        <f t="shared" si="149"/>
        <v>0</v>
      </c>
      <c r="P157" s="32">
        <f t="shared" si="149"/>
        <v>0</v>
      </c>
      <c r="Q157" s="32">
        <f t="shared" si="149"/>
        <v>0</v>
      </c>
      <c r="R157" s="32">
        <f t="shared" si="149"/>
        <v>0</v>
      </c>
      <c r="S157" s="32">
        <f t="shared" si="149"/>
        <v>1420.9955718847725</v>
      </c>
      <c r="T157" s="32">
        <f t="shared" si="149"/>
        <v>0</v>
      </c>
      <c r="U157" s="32">
        <f t="shared" si="149"/>
        <v>0</v>
      </c>
      <c r="V157" s="32">
        <f t="shared" si="149"/>
        <v>0</v>
      </c>
      <c r="W157" s="34">
        <f>SUM(G157:V157)</f>
        <v>60133861.462727927</v>
      </c>
      <c r="X157" s="30" t="str">
        <f t="shared" ref="X157" si="150">IF(ABS(F157-W157)&lt;0.01,"ok","err")</f>
        <v>ok</v>
      </c>
      <c r="Y157" s="66" t="str">
        <f t="shared" ref="Y157" si="151">IF(X157="err",W157-F157,"")</f>
        <v/>
      </c>
    </row>
    <row r="158" spans="1:25" ht="12" customHeight="1" x14ac:dyDescent="0.25">
      <c r="F158" s="33"/>
    </row>
    <row r="159" spans="1:25" ht="12" customHeight="1" x14ac:dyDescent="0.25">
      <c r="A159" s="4" t="s">
        <v>127</v>
      </c>
      <c r="F159" s="33"/>
    </row>
    <row r="160" spans="1:25" ht="12" customHeight="1" x14ac:dyDescent="0.25">
      <c r="A160" s="39" t="s">
        <v>378</v>
      </c>
      <c r="C160" s="29" t="s">
        <v>753</v>
      </c>
      <c r="D160" s="29" t="s">
        <v>617</v>
      </c>
      <c r="E160" s="29" t="s">
        <v>2287</v>
      </c>
      <c r="F160" s="32">
        <f>VLOOKUP(C160,'WSS-26'!$C$1:$AU$617,27,)</f>
        <v>44037762.876980335</v>
      </c>
      <c r="G160" s="32">
        <f t="shared" ref="G160:V160" si="152">IF(VLOOKUP($E160,$D$5:$V$970,3,)=0,0,(VLOOKUP($E160,$D$5:$V$970,G$1,)/VLOOKUP($E160,$D$5:$V$970,3,))*$F160)</f>
        <v>27041744.34148844</v>
      </c>
      <c r="H160" s="32">
        <f t="shared" si="152"/>
        <v>10402858.400612315</v>
      </c>
      <c r="I160" s="32">
        <f t="shared" si="152"/>
        <v>228513.90340154065</v>
      </c>
      <c r="J160" s="32">
        <f t="shared" si="152"/>
        <v>2934848.3915030551</v>
      </c>
      <c r="K160" s="32">
        <f t="shared" si="152"/>
        <v>690220.32043359813</v>
      </c>
      <c r="L160" s="32">
        <f t="shared" si="152"/>
        <v>570199.34065999405</v>
      </c>
      <c r="M160" s="32">
        <f t="shared" si="152"/>
        <v>1227469.7848176842</v>
      </c>
      <c r="N160" s="32">
        <f t="shared" si="152"/>
        <v>727755.55533445871</v>
      </c>
      <c r="O160" s="32">
        <f t="shared" si="152"/>
        <v>36779.681748187279</v>
      </c>
      <c r="P160" s="32">
        <f t="shared" si="152"/>
        <v>0</v>
      </c>
      <c r="Q160" s="32">
        <f t="shared" si="152"/>
        <v>1920.82890800225</v>
      </c>
      <c r="R160" s="32">
        <f t="shared" si="152"/>
        <v>47401.100471668433</v>
      </c>
      <c r="S160" s="32">
        <f t="shared" si="152"/>
        <v>3939.6876013912301</v>
      </c>
      <c r="T160" s="32">
        <f t="shared" si="152"/>
        <v>124111.54000000001</v>
      </c>
      <c r="U160" s="32">
        <f t="shared" si="152"/>
        <v>0</v>
      </c>
      <c r="V160" s="32">
        <f t="shared" si="152"/>
        <v>0</v>
      </c>
      <c r="W160" s="34">
        <f>SUM(G160:V160)</f>
        <v>44037762.876980335</v>
      </c>
      <c r="X160" s="30" t="str">
        <f t="shared" ref="X160" si="153">IF(ABS(F160-W160)&lt;0.01,"ok","err")</f>
        <v>ok</v>
      </c>
      <c r="Y160" s="66" t="str">
        <f t="shared" ref="Y160" si="154">IF(X160="err",W160-F160,"")</f>
        <v/>
      </c>
    </row>
    <row r="161" spans="1:27" ht="12" customHeight="1" x14ac:dyDescent="0.25">
      <c r="F161" s="33"/>
    </row>
    <row r="162" spans="1:27" ht="12" customHeight="1" x14ac:dyDescent="0.25">
      <c r="A162" s="4" t="s">
        <v>144</v>
      </c>
      <c r="F162" s="33"/>
    </row>
    <row r="163" spans="1:27" ht="12" customHeight="1" x14ac:dyDescent="0.25">
      <c r="A163" s="39" t="s">
        <v>378</v>
      </c>
      <c r="C163" s="29" t="s">
        <v>753</v>
      </c>
      <c r="D163" s="29" t="s">
        <v>618</v>
      </c>
      <c r="E163" s="29" t="s">
        <v>2299</v>
      </c>
      <c r="F163" s="32">
        <f>VLOOKUP(C163,'WSS-26'!$C$1:$AU$617,28,)</f>
        <v>70408942.95572497</v>
      </c>
      <c r="G163" s="32">
        <f t="shared" ref="G163:V163" si="155">IF(VLOOKUP($E163,$D$5:$V$970,3,)=0,0,(VLOOKUP($E163,$D$5:$V$970,G$1,)/VLOOKUP($E163,$D$5:$V$970,3,))*$F163)</f>
        <v>0</v>
      </c>
      <c r="H163" s="32">
        <f t="shared" si="155"/>
        <v>0</v>
      </c>
      <c r="I163" s="32">
        <f t="shared" si="155"/>
        <v>0</v>
      </c>
      <c r="J163" s="32">
        <f t="shared" si="155"/>
        <v>0</v>
      </c>
      <c r="K163" s="32">
        <f t="shared" si="155"/>
        <v>0</v>
      </c>
      <c r="L163" s="32">
        <f t="shared" si="155"/>
        <v>0</v>
      </c>
      <c r="M163" s="32">
        <f t="shared" si="155"/>
        <v>0</v>
      </c>
      <c r="N163" s="32">
        <f t="shared" si="155"/>
        <v>0</v>
      </c>
      <c r="O163" s="32">
        <f t="shared" si="155"/>
        <v>0</v>
      </c>
      <c r="P163" s="32">
        <f t="shared" si="155"/>
        <v>70408942.95572497</v>
      </c>
      <c r="Q163" s="32">
        <f t="shared" si="155"/>
        <v>0</v>
      </c>
      <c r="R163" s="32">
        <f t="shared" si="155"/>
        <v>0</v>
      </c>
      <c r="S163" s="32">
        <f t="shared" si="155"/>
        <v>0</v>
      </c>
      <c r="T163" s="32">
        <f t="shared" si="155"/>
        <v>0</v>
      </c>
      <c r="U163" s="32">
        <f t="shared" si="155"/>
        <v>0</v>
      </c>
      <c r="V163" s="32">
        <f t="shared" si="155"/>
        <v>0</v>
      </c>
      <c r="W163" s="34">
        <f>SUM(G163:V163)</f>
        <v>70408942.95572497</v>
      </c>
      <c r="X163" s="30" t="str">
        <f t="shared" ref="X163" si="156">IF(ABS(F163-W163)&lt;0.01,"ok","err")</f>
        <v>ok</v>
      </c>
      <c r="Y163" s="66" t="str">
        <f t="shared" ref="Y163" si="157">IF(X163="err",W163-F163,"")</f>
        <v/>
      </c>
      <c r="AA163" s="59"/>
    </row>
    <row r="164" spans="1:27" ht="12" customHeight="1" x14ac:dyDescent="0.25">
      <c r="F164" s="33"/>
    </row>
    <row r="165" spans="1:27" ht="12" customHeight="1" x14ac:dyDescent="0.25">
      <c r="A165" s="4" t="s">
        <v>279</v>
      </c>
      <c r="F165" s="33"/>
    </row>
    <row r="166" spans="1:27" ht="12" customHeight="1" x14ac:dyDescent="0.25">
      <c r="A166" s="39" t="s">
        <v>378</v>
      </c>
      <c r="C166" s="29" t="s">
        <v>753</v>
      </c>
      <c r="D166" s="29" t="s">
        <v>619</v>
      </c>
      <c r="E166" s="29" t="s">
        <v>2298</v>
      </c>
      <c r="F166" s="32">
        <f>VLOOKUP(C166,'WSS-26'!$C$1:$AU$617,30,)</f>
        <v>6133963.9691142943</v>
      </c>
      <c r="G166" s="32">
        <f t="shared" ref="G166:V166" si="158">IF(VLOOKUP($E166,$D$5:$V$970,3,)=0,0,(VLOOKUP($E166,$D$5:$V$970,G$1,)/VLOOKUP($E166,$D$5:$V$970,3,))*$F166)</f>
        <v>3941591.2948219487</v>
      </c>
      <c r="H166" s="32">
        <f t="shared" si="158"/>
        <v>1525324.4187467925</v>
      </c>
      <c r="I166" s="32">
        <f t="shared" si="158"/>
        <v>50408.717154135149</v>
      </c>
      <c r="J166" s="32">
        <f t="shared" si="158"/>
        <v>201951.05232628871</v>
      </c>
      <c r="K166" s="32">
        <f t="shared" si="158"/>
        <v>9304.8348868744069</v>
      </c>
      <c r="L166" s="32">
        <f t="shared" si="158"/>
        <v>166122.92110168299</v>
      </c>
      <c r="M166" s="32">
        <f t="shared" si="158"/>
        <v>58566.256865637653</v>
      </c>
      <c r="N166" s="32">
        <f t="shared" si="158"/>
        <v>5646.1376740742762</v>
      </c>
      <c r="O166" s="32">
        <f t="shared" si="158"/>
        <v>451.69101392594212</v>
      </c>
      <c r="P166" s="32">
        <f t="shared" si="158"/>
        <v>173530.65373006844</v>
      </c>
      <c r="Q166" s="32">
        <f t="shared" si="158"/>
        <v>27.101460835556527</v>
      </c>
      <c r="R166" s="32">
        <f t="shared" si="158"/>
        <v>767.87472367410169</v>
      </c>
      <c r="S166" s="32">
        <f t="shared" si="158"/>
        <v>271.01460835556526</v>
      </c>
      <c r="T166" s="32">
        <f t="shared" si="158"/>
        <v>0</v>
      </c>
      <c r="U166" s="32">
        <f t="shared" si="158"/>
        <v>0</v>
      </c>
      <c r="V166" s="32">
        <f t="shared" si="158"/>
        <v>0</v>
      </c>
      <c r="W166" s="34">
        <f>SUM(G166:V166)</f>
        <v>6133963.9691142933</v>
      </c>
      <c r="X166" s="30" t="str">
        <f t="shared" ref="X166" si="159">IF(ABS(F166-W166)&lt;0.01,"ok","err")</f>
        <v>ok</v>
      </c>
      <c r="Y166" s="66" t="str">
        <f t="shared" ref="Y166" si="160">IF(X166="err",W166-F166,"")</f>
        <v/>
      </c>
    </row>
    <row r="167" spans="1:27" ht="12" customHeight="1" x14ac:dyDescent="0.25">
      <c r="F167" s="33"/>
    </row>
    <row r="168" spans="1:27" ht="12" customHeight="1" x14ac:dyDescent="0.25">
      <c r="A168" s="4" t="s">
        <v>1596</v>
      </c>
      <c r="F168" s="33"/>
    </row>
    <row r="169" spans="1:27" ht="12" customHeight="1" x14ac:dyDescent="0.25">
      <c r="A169" s="39" t="s">
        <v>378</v>
      </c>
      <c r="C169" s="29" t="s">
        <v>753</v>
      </c>
      <c r="D169" s="29" t="s">
        <v>620</v>
      </c>
      <c r="E169" s="29" t="s">
        <v>2298</v>
      </c>
      <c r="F169" s="32">
        <f>VLOOKUP(C169,'WSS-26'!$C$1:$AU$617,32,)</f>
        <v>700761.32293291285</v>
      </c>
      <c r="G169" s="32">
        <f t="shared" ref="G169:V169" si="161">IF(VLOOKUP($E169,$D$5:$V$970,3,)=0,0,(VLOOKUP($E169,$D$5:$V$970,G$1,)/VLOOKUP($E169,$D$5:$V$970,3,))*$F169)</f>
        <v>450298.49280629435</v>
      </c>
      <c r="H169" s="32">
        <f t="shared" si="161"/>
        <v>174257.35836808631</v>
      </c>
      <c r="I169" s="32">
        <f t="shared" si="161"/>
        <v>5758.8338467829954</v>
      </c>
      <c r="J169" s="32">
        <f t="shared" si="161"/>
        <v>23071.457104808935</v>
      </c>
      <c r="K169" s="32">
        <f t="shared" si="161"/>
        <v>1063.0105487789399</v>
      </c>
      <c r="L169" s="32">
        <f t="shared" si="161"/>
        <v>18978.350467471773</v>
      </c>
      <c r="M169" s="32">
        <f t="shared" si="161"/>
        <v>6690.7741628484146</v>
      </c>
      <c r="N169" s="32">
        <f t="shared" si="161"/>
        <v>645.03067280275479</v>
      </c>
      <c r="O169" s="32">
        <f t="shared" si="161"/>
        <v>51.602453824220383</v>
      </c>
      <c r="P169" s="32">
        <f t="shared" si="161"/>
        <v>19824.630710188987</v>
      </c>
      <c r="Q169" s="32">
        <f t="shared" si="161"/>
        <v>3.0961472294532228</v>
      </c>
      <c r="R169" s="32">
        <f t="shared" si="161"/>
        <v>87.724171501174666</v>
      </c>
      <c r="S169" s="32">
        <f t="shared" si="161"/>
        <v>30.961472294532232</v>
      </c>
      <c r="T169" s="32">
        <f t="shared" si="161"/>
        <v>0</v>
      </c>
      <c r="U169" s="32">
        <f t="shared" si="161"/>
        <v>0</v>
      </c>
      <c r="V169" s="32">
        <f t="shared" si="161"/>
        <v>0</v>
      </c>
      <c r="W169" s="34">
        <f>SUM(G169:V169)</f>
        <v>700761.32293291262</v>
      </c>
      <c r="X169" s="30" t="str">
        <f t="shared" ref="X169" si="162">IF(ABS(F169-W169)&lt;0.01,"ok","err")</f>
        <v>ok</v>
      </c>
      <c r="Y169" s="66" t="str">
        <f t="shared" ref="Y169" si="163">IF(X169="err",W169-F169,"")</f>
        <v/>
      </c>
    </row>
    <row r="170" spans="1:27" ht="12" customHeight="1" x14ac:dyDescent="0.25">
      <c r="F170" s="33"/>
    </row>
    <row r="171" spans="1:27" ht="12" customHeight="1" x14ac:dyDescent="0.25">
      <c r="A171" s="4" t="s">
        <v>1595</v>
      </c>
      <c r="F171" s="33"/>
    </row>
    <row r="172" spans="1:27" ht="12" customHeight="1" x14ac:dyDescent="0.25">
      <c r="A172" s="39" t="s">
        <v>378</v>
      </c>
      <c r="C172" s="29" t="s">
        <v>753</v>
      </c>
      <c r="D172" s="29" t="s">
        <v>621</v>
      </c>
      <c r="E172" s="29" t="s">
        <v>2301</v>
      </c>
      <c r="F172" s="32">
        <f>VLOOKUP(C172,'WSS-26'!$C$1:$AU$617,34,)</f>
        <v>0</v>
      </c>
      <c r="G172" s="32">
        <f t="shared" ref="G172:V172" si="164">IF(VLOOKUP($E172,$D$5:$V$970,3,)=0,0,(VLOOKUP($E172,$D$5:$V$970,G$1,)/VLOOKUP($E172,$D$5:$V$970,3,))*$F172)</f>
        <v>0</v>
      </c>
      <c r="H172" s="32">
        <f t="shared" si="164"/>
        <v>0</v>
      </c>
      <c r="I172" s="32">
        <f t="shared" si="164"/>
        <v>0</v>
      </c>
      <c r="J172" s="32">
        <f t="shared" si="164"/>
        <v>0</v>
      </c>
      <c r="K172" s="32">
        <f t="shared" si="164"/>
        <v>0</v>
      </c>
      <c r="L172" s="32">
        <f t="shared" si="164"/>
        <v>0</v>
      </c>
      <c r="M172" s="32">
        <f t="shared" si="164"/>
        <v>0</v>
      </c>
      <c r="N172" s="32">
        <f t="shared" si="164"/>
        <v>0</v>
      </c>
      <c r="O172" s="32">
        <f t="shared" si="164"/>
        <v>0</v>
      </c>
      <c r="P172" s="32">
        <f t="shared" si="164"/>
        <v>0</v>
      </c>
      <c r="Q172" s="32">
        <f t="shared" si="164"/>
        <v>0</v>
      </c>
      <c r="R172" s="32">
        <f t="shared" si="164"/>
        <v>0</v>
      </c>
      <c r="S172" s="32">
        <f t="shared" si="164"/>
        <v>0</v>
      </c>
      <c r="T172" s="32">
        <f t="shared" si="164"/>
        <v>0</v>
      </c>
      <c r="U172" s="32">
        <f t="shared" si="164"/>
        <v>0</v>
      </c>
      <c r="V172" s="32">
        <f t="shared" si="164"/>
        <v>0</v>
      </c>
      <c r="W172" s="34">
        <f>SUM(G172:V172)</f>
        <v>0</v>
      </c>
      <c r="X172" s="30" t="str">
        <f t="shared" ref="X172" si="165">IF(ABS(F172-W172)&lt;0.01,"ok","err")</f>
        <v>ok</v>
      </c>
      <c r="Y172" s="66" t="str">
        <f t="shared" ref="Y172" si="166">IF(X172="err",W172-F172,"")</f>
        <v/>
      </c>
    </row>
    <row r="173" spans="1:27" ht="12" customHeight="1" x14ac:dyDescent="0.25">
      <c r="F173" s="33"/>
    </row>
    <row r="174" spans="1:27" ht="12" customHeight="1" x14ac:dyDescent="0.25">
      <c r="A174" s="29" t="s">
        <v>62</v>
      </c>
      <c r="D174" s="29" t="s">
        <v>388</v>
      </c>
      <c r="F174" s="32">
        <f>F129+F135+F138+F141+F149+F154+F157+F160+F163+F166+F169+F172</f>
        <v>4045218982.2825289</v>
      </c>
      <c r="G174" s="32">
        <f t="shared" ref="G174:T174" si="167">G129+G135+G138+G141+G149+G154+G157+G160+G163+G166+G169+G172</f>
        <v>1913829757.74629</v>
      </c>
      <c r="H174" s="32">
        <f t="shared" si="167"/>
        <v>467548043.95758653</v>
      </c>
      <c r="I174" s="32">
        <f>I129+I135+I138+I141+I149+I154+I157+I160+I163+I166+I169+I172</f>
        <v>28196993.42654264</v>
      </c>
      <c r="J174" s="32">
        <f>J129+J135+J138+J141+J149+J154+J157+J160+J163+J166+J169+J172</f>
        <v>349060438.26951933</v>
      </c>
      <c r="K174" s="32">
        <f>K129+K135+K138+K141+K149+K154+K157+K160+K163+K166+K169+K172</f>
        <v>23535963.346838195</v>
      </c>
      <c r="L174" s="32">
        <f t="shared" si="167"/>
        <v>306358758.4514882</v>
      </c>
      <c r="M174" s="32">
        <f t="shared" si="167"/>
        <v>598196354.09069657</v>
      </c>
      <c r="N174" s="32">
        <f t="shared" si="167"/>
        <v>179279650.94574383</v>
      </c>
      <c r="O174" s="32">
        <f>O129+O135+O138+O141+O149+O154+O157+O160+O163+O166+O169+O172</f>
        <v>81805214.326673463</v>
      </c>
      <c r="P174" s="32">
        <f>P129+P135+P138+P141+P149+P154+P157+P160+P163+P166+P169+P172</f>
        <v>95549460.244665146</v>
      </c>
      <c r="Q174" s="32">
        <f t="shared" si="167"/>
        <v>110709.73647517695</v>
      </c>
      <c r="R174" s="32">
        <f t="shared" si="167"/>
        <v>291865.82501450198</v>
      </c>
      <c r="S174" s="32">
        <f t="shared" si="167"/>
        <v>158532.87499419737</v>
      </c>
      <c r="T174" s="32">
        <f t="shared" si="167"/>
        <v>124111.54000000001</v>
      </c>
      <c r="U174" s="32">
        <f t="shared" ref="U174:V174" si="168">U129+U135+U138+U141+U149+U154+U157+U160+U163+U166+U169+U172</f>
        <v>1173127.4999999998</v>
      </c>
      <c r="V174" s="32">
        <f t="shared" si="168"/>
        <v>0</v>
      </c>
      <c r="W174" s="34">
        <f>SUM(G174:V174)</f>
        <v>4045218982.2825279</v>
      </c>
      <c r="X174" s="30" t="str">
        <f>IF(ABS(F174-W174)&lt;0.01,"ok","err")</f>
        <v>ok</v>
      </c>
      <c r="Y174" s="66" t="str">
        <f>IF(X174="err",W174-F174,"")</f>
        <v/>
      </c>
    </row>
    <row r="176" spans="1:27" ht="12" customHeight="1" x14ac:dyDescent="0.25">
      <c r="L176" s="34"/>
      <c r="M176" s="34"/>
      <c r="N176" s="34"/>
      <c r="O176" s="34"/>
    </row>
    <row r="177" spans="1:25" ht="12" customHeight="1" x14ac:dyDescent="0.25">
      <c r="A177" s="3" t="s">
        <v>744</v>
      </c>
    </row>
    <row r="179" spans="1:25" ht="12" customHeight="1" x14ac:dyDescent="0.25">
      <c r="A179" s="4" t="s">
        <v>137</v>
      </c>
    </row>
    <row r="180" spans="1:25" ht="12" customHeight="1" x14ac:dyDescent="0.25">
      <c r="A180" s="39" t="s">
        <v>2133</v>
      </c>
      <c r="C180" s="29" t="s">
        <v>785</v>
      </c>
      <c r="D180" s="29" t="s">
        <v>622</v>
      </c>
      <c r="E180" s="29" t="s">
        <v>2255</v>
      </c>
      <c r="F180" s="32">
        <f>VLOOKUP(C180,'WSS-26'!$C$1:$AU$617,6,)</f>
        <v>114827525.17010441</v>
      </c>
      <c r="G180" s="32">
        <f t="shared" ref="G180:V185" si="169">IF(VLOOKUP($E180,$D$5:$V$970,3,)=0,0,(VLOOKUP($E180,$D$5:$V$970,G$1,)/VLOOKUP($E180,$D$5:$V$970,3,))*$F180)</f>
        <v>47483863.589399204</v>
      </c>
      <c r="H180" s="32">
        <f t="shared" si="169"/>
        <v>10770626.110773891</v>
      </c>
      <c r="I180" s="32">
        <f t="shared" si="169"/>
        <v>728007.99835612893</v>
      </c>
      <c r="J180" s="32">
        <f t="shared" si="169"/>
        <v>11926039.371774266</v>
      </c>
      <c r="K180" s="32">
        <f t="shared" si="169"/>
        <v>823709.18942801608</v>
      </c>
      <c r="L180" s="32">
        <f t="shared" si="169"/>
        <v>11126069.403417172</v>
      </c>
      <c r="M180" s="32">
        <f t="shared" si="169"/>
        <v>21731812.711792253</v>
      </c>
      <c r="N180" s="32">
        <f t="shared" si="169"/>
        <v>7116624.6093131565</v>
      </c>
      <c r="O180" s="32">
        <f t="shared" si="169"/>
        <v>3001354.8975647939</v>
      </c>
      <c r="P180" s="32">
        <f t="shared" si="169"/>
        <v>43632.378559656383</v>
      </c>
      <c r="Q180" s="32">
        <f t="shared" si="169"/>
        <v>497.65174412368731</v>
      </c>
      <c r="R180" s="32">
        <f t="shared" si="169"/>
        <v>5980.4768582535489</v>
      </c>
      <c r="S180" s="32">
        <f t="shared" si="169"/>
        <v>1008.2511234929766</v>
      </c>
      <c r="T180" s="32">
        <f t="shared" si="169"/>
        <v>0</v>
      </c>
      <c r="U180" s="32">
        <f t="shared" si="169"/>
        <v>68298.53</v>
      </c>
      <c r="V180" s="32">
        <f t="shared" si="169"/>
        <v>0</v>
      </c>
      <c r="W180" s="34">
        <f t="shared" ref="W180:W185" si="170">SUM(G180:V180)</f>
        <v>114827525.17010441</v>
      </c>
      <c r="X180" s="30" t="str">
        <f t="shared" ref="X180:X185" si="171">IF(ABS(F180-W180)&lt;0.01,"ok","err")</f>
        <v>ok</v>
      </c>
      <c r="Y180" s="66" t="str">
        <f t="shared" ref="Y180:Y185" si="172">IF(X180="err",W180-F180,"")</f>
        <v/>
      </c>
    </row>
    <row r="181" spans="1:25" ht="12" hidden="1" customHeight="1" x14ac:dyDescent="0.25">
      <c r="A181" s="39" t="s">
        <v>2134</v>
      </c>
      <c r="C181" s="29" t="s">
        <v>785</v>
      </c>
      <c r="D181" s="29" t="s">
        <v>623</v>
      </c>
      <c r="E181" s="29" t="s">
        <v>2132</v>
      </c>
      <c r="F181" s="33">
        <f>VLOOKUP(C181,'WSS-26'!$C$1:$AU$617,7,)</f>
        <v>0</v>
      </c>
      <c r="G181" s="32">
        <f t="shared" si="169"/>
        <v>0</v>
      </c>
      <c r="H181" s="32">
        <f t="shared" si="169"/>
        <v>0</v>
      </c>
      <c r="I181" s="32">
        <f t="shared" si="169"/>
        <v>0</v>
      </c>
      <c r="J181" s="32">
        <f t="shared" si="169"/>
        <v>0</v>
      </c>
      <c r="K181" s="32">
        <f t="shared" si="169"/>
        <v>0</v>
      </c>
      <c r="L181" s="32">
        <f t="shared" si="169"/>
        <v>0</v>
      </c>
      <c r="M181" s="32">
        <f t="shared" si="169"/>
        <v>0</v>
      </c>
      <c r="N181" s="32">
        <f t="shared" si="169"/>
        <v>0</v>
      </c>
      <c r="O181" s="32">
        <f t="shared" si="169"/>
        <v>0</v>
      </c>
      <c r="P181" s="32">
        <f t="shared" si="169"/>
        <v>0</v>
      </c>
      <c r="Q181" s="32">
        <f t="shared" si="169"/>
        <v>0</v>
      </c>
      <c r="R181" s="32">
        <f t="shared" si="169"/>
        <v>0</v>
      </c>
      <c r="S181" s="32">
        <f t="shared" si="169"/>
        <v>0</v>
      </c>
      <c r="T181" s="32">
        <f t="shared" si="169"/>
        <v>0</v>
      </c>
      <c r="U181" s="32">
        <f t="shared" si="169"/>
        <v>0</v>
      </c>
      <c r="V181" s="32">
        <f t="shared" si="169"/>
        <v>0</v>
      </c>
      <c r="W181" s="34">
        <f t="shared" si="170"/>
        <v>0</v>
      </c>
      <c r="X181" s="30" t="str">
        <f t="shared" si="171"/>
        <v>ok</v>
      </c>
      <c r="Y181" s="66" t="str">
        <f t="shared" si="172"/>
        <v/>
      </c>
    </row>
    <row r="182" spans="1:25" ht="12" hidden="1" customHeight="1" x14ac:dyDescent="0.25">
      <c r="A182" s="39" t="s">
        <v>2134</v>
      </c>
      <c r="C182" s="29" t="s">
        <v>785</v>
      </c>
      <c r="D182" s="29" t="s">
        <v>624</v>
      </c>
      <c r="E182" s="29" t="s">
        <v>2132</v>
      </c>
      <c r="F182" s="33">
        <f>VLOOKUP(C182,'WSS-26'!$C$1:$AU$617,8,)</f>
        <v>0</v>
      </c>
      <c r="G182" s="32">
        <f t="shared" si="169"/>
        <v>0</v>
      </c>
      <c r="H182" s="32">
        <f t="shared" si="169"/>
        <v>0</v>
      </c>
      <c r="I182" s="32">
        <f t="shared" si="169"/>
        <v>0</v>
      </c>
      <c r="J182" s="32">
        <f t="shared" si="169"/>
        <v>0</v>
      </c>
      <c r="K182" s="32">
        <f t="shared" si="169"/>
        <v>0</v>
      </c>
      <c r="L182" s="32">
        <f t="shared" si="169"/>
        <v>0</v>
      </c>
      <c r="M182" s="32">
        <f t="shared" si="169"/>
        <v>0</v>
      </c>
      <c r="N182" s="32">
        <f t="shared" si="169"/>
        <v>0</v>
      </c>
      <c r="O182" s="32">
        <f t="shared" si="169"/>
        <v>0</v>
      </c>
      <c r="P182" s="32">
        <f t="shared" si="169"/>
        <v>0</v>
      </c>
      <c r="Q182" s="32">
        <f t="shared" si="169"/>
        <v>0</v>
      </c>
      <c r="R182" s="32">
        <f t="shared" si="169"/>
        <v>0</v>
      </c>
      <c r="S182" s="32">
        <f t="shared" si="169"/>
        <v>0</v>
      </c>
      <c r="T182" s="32">
        <f t="shared" si="169"/>
        <v>0</v>
      </c>
      <c r="U182" s="32">
        <f t="shared" si="169"/>
        <v>0</v>
      </c>
      <c r="V182" s="32">
        <f t="shared" si="169"/>
        <v>0</v>
      </c>
      <c r="W182" s="34">
        <f t="shared" si="170"/>
        <v>0</v>
      </c>
      <c r="X182" s="30" t="str">
        <f t="shared" si="171"/>
        <v>ok</v>
      </c>
      <c r="Y182" s="66" t="str">
        <f t="shared" si="172"/>
        <v/>
      </c>
    </row>
    <row r="183" spans="1:25" ht="12" customHeight="1" x14ac:dyDescent="0.25">
      <c r="A183" s="39" t="s">
        <v>2136</v>
      </c>
      <c r="C183" s="29" t="s">
        <v>785</v>
      </c>
      <c r="D183" s="29" t="s">
        <v>625</v>
      </c>
      <c r="E183" s="29" t="s">
        <v>376</v>
      </c>
      <c r="F183" s="33">
        <f>VLOOKUP(C183,'WSS-26'!$C$1:$AU$617,9,)</f>
        <v>573994723.86352992</v>
      </c>
      <c r="G183" s="32">
        <f t="shared" si="169"/>
        <v>193619855.42800823</v>
      </c>
      <c r="H183" s="32">
        <f t="shared" si="169"/>
        <v>56485516.091849126</v>
      </c>
      <c r="I183" s="32">
        <f t="shared" si="169"/>
        <v>4291214.2323256098</v>
      </c>
      <c r="J183" s="32">
        <f t="shared" si="169"/>
        <v>58712441.975886963</v>
      </c>
      <c r="K183" s="32">
        <f t="shared" si="169"/>
        <v>4567376.4432854392</v>
      </c>
      <c r="L183" s="32">
        <f t="shared" si="169"/>
        <v>59665244.771510132</v>
      </c>
      <c r="M183" s="32">
        <f t="shared" si="169"/>
        <v>127597079.92945255</v>
      </c>
      <c r="N183" s="32">
        <f t="shared" si="169"/>
        <v>45657932.455326468</v>
      </c>
      <c r="O183" s="32">
        <f t="shared" si="169"/>
        <v>19299433.819220956</v>
      </c>
      <c r="P183" s="32">
        <f t="shared" si="169"/>
        <v>3992381.0288048843</v>
      </c>
      <c r="Q183" s="32">
        <f t="shared" si="169"/>
        <v>43136.66688922514</v>
      </c>
      <c r="R183" s="32">
        <f t="shared" si="169"/>
        <v>50948.720508662678</v>
      </c>
      <c r="S183" s="32">
        <f t="shared" si="169"/>
        <v>12162.300461546021</v>
      </c>
      <c r="T183" s="32">
        <f t="shared" si="169"/>
        <v>0</v>
      </c>
      <c r="U183" s="32">
        <f t="shared" si="169"/>
        <v>0</v>
      </c>
      <c r="V183" s="32">
        <f t="shared" si="169"/>
        <v>0</v>
      </c>
      <c r="W183" s="34">
        <f t="shared" si="170"/>
        <v>573994723.86352968</v>
      </c>
      <c r="X183" s="30" t="str">
        <f t="shared" si="171"/>
        <v>ok</v>
      </c>
      <c r="Y183" s="66" t="str">
        <f t="shared" si="172"/>
        <v/>
      </c>
    </row>
    <row r="184" spans="1:25" ht="12" hidden="1" customHeight="1" x14ac:dyDescent="0.25">
      <c r="A184" s="39" t="s">
        <v>2135</v>
      </c>
      <c r="C184" s="29" t="s">
        <v>785</v>
      </c>
      <c r="D184" s="29" t="s">
        <v>631</v>
      </c>
      <c r="E184" s="29" t="s">
        <v>376</v>
      </c>
      <c r="F184" s="33">
        <f>VLOOKUP(C184,'WSS-26'!$C$1:$AU$617,10,)</f>
        <v>0</v>
      </c>
      <c r="G184" s="32">
        <f t="shared" si="169"/>
        <v>0</v>
      </c>
      <c r="H184" s="32">
        <f t="shared" si="169"/>
        <v>0</v>
      </c>
      <c r="I184" s="32">
        <f t="shared" si="169"/>
        <v>0</v>
      </c>
      <c r="J184" s="32">
        <f t="shared" si="169"/>
        <v>0</v>
      </c>
      <c r="K184" s="32">
        <f t="shared" si="169"/>
        <v>0</v>
      </c>
      <c r="L184" s="32">
        <f t="shared" si="169"/>
        <v>0</v>
      </c>
      <c r="M184" s="32">
        <f t="shared" si="169"/>
        <v>0</v>
      </c>
      <c r="N184" s="32">
        <f t="shared" si="169"/>
        <v>0</v>
      </c>
      <c r="O184" s="32">
        <f t="shared" si="169"/>
        <v>0</v>
      </c>
      <c r="P184" s="32">
        <f t="shared" si="169"/>
        <v>0</v>
      </c>
      <c r="Q184" s="32">
        <f t="shared" si="169"/>
        <v>0</v>
      </c>
      <c r="R184" s="32">
        <f t="shared" si="169"/>
        <v>0</v>
      </c>
      <c r="S184" s="32">
        <f t="shared" si="169"/>
        <v>0</v>
      </c>
      <c r="T184" s="32">
        <f t="shared" si="169"/>
        <v>0</v>
      </c>
      <c r="U184" s="32">
        <f t="shared" si="169"/>
        <v>0</v>
      </c>
      <c r="V184" s="32">
        <f t="shared" si="169"/>
        <v>0</v>
      </c>
      <c r="W184" s="34">
        <f t="shared" si="170"/>
        <v>0</v>
      </c>
      <c r="X184" s="30" t="str">
        <f t="shared" si="171"/>
        <v>ok</v>
      </c>
      <c r="Y184" s="66" t="str">
        <f t="shared" si="172"/>
        <v/>
      </c>
    </row>
    <row r="185" spans="1:25" ht="12" hidden="1" customHeight="1" x14ac:dyDescent="0.25">
      <c r="A185" s="39" t="s">
        <v>2135</v>
      </c>
      <c r="C185" s="29" t="s">
        <v>785</v>
      </c>
      <c r="D185" s="29" t="s">
        <v>632</v>
      </c>
      <c r="E185" s="29" t="s">
        <v>376</v>
      </c>
      <c r="F185" s="33">
        <f>VLOOKUP(C185,'WSS-26'!$C$1:$AU$617,11,)</f>
        <v>0</v>
      </c>
      <c r="G185" s="32">
        <f t="shared" si="169"/>
        <v>0</v>
      </c>
      <c r="H185" s="32">
        <f t="shared" si="169"/>
        <v>0</v>
      </c>
      <c r="I185" s="32">
        <f t="shared" si="169"/>
        <v>0</v>
      </c>
      <c r="J185" s="32">
        <f t="shared" si="169"/>
        <v>0</v>
      </c>
      <c r="K185" s="32">
        <f t="shared" si="169"/>
        <v>0</v>
      </c>
      <c r="L185" s="32">
        <f t="shared" si="169"/>
        <v>0</v>
      </c>
      <c r="M185" s="32">
        <f t="shared" si="169"/>
        <v>0</v>
      </c>
      <c r="N185" s="32">
        <f t="shared" si="169"/>
        <v>0</v>
      </c>
      <c r="O185" s="32">
        <f t="shared" si="169"/>
        <v>0</v>
      </c>
      <c r="P185" s="32">
        <f t="shared" si="169"/>
        <v>0</v>
      </c>
      <c r="Q185" s="32">
        <f t="shared" si="169"/>
        <v>0</v>
      </c>
      <c r="R185" s="32">
        <f t="shared" si="169"/>
        <v>0</v>
      </c>
      <c r="S185" s="32">
        <f t="shared" si="169"/>
        <v>0</v>
      </c>
      <c r="T185" s="32">
        <f t="shared" si="169"/>
        <v>0</v>
      </c>
      <c r="U185" s="32">
        <f t="shared" si="169"/>
        <v>0</v>
      </c>
      <c r="V185" s="32">
        <f t="shared" si="169"/>
        <v>0</v>
      </c>
      <c r="W185" s="34">
        <f t="shared" si="170"/>
        <v>0</v>
      </c>
      <c r="X185" s="30" t="str">
        <f t="shared" si="171"/>
        <v>ok</v>
      </c>
      <c r="Y185" s="66" t="str">
        <f t="shared" si="172"/>
        <v/>
      </c>
    </row>
    <row r="186" spans="1:25" ht="12" customHeight="1" x14ac:dyDescent="0.25">
      <c r="A186" s="29" t="s">
        <v>160</v>
      </c>
      <c r="D186" s="29" t="s">
        <v>389</v>
      </c>
      <c r="F186" s="32">
        <f t="shared" ref="F186:T186" si="173">SUM(F180:F185)</f>
        <v>688822249.03363431</v>
      </c>
      <c r="G186" s="32">
        <f t="shared" si="173"/>
        <v>241103719.01740742</v>
      </c>
      <c r="H186" s="32">
        <f t="shared" si="173"/>
        <v>67256142.20262301</v>
      </c>
      <c r="I186" s="32">
        <f>SUM(I180:I185)</f>
        <v>5019222.2306817388</v>
      </c>
      <c r="J186" s="32">
        <f>SUM(J180:J185)</f>
        <v>70638481.347661227</v>
      </c>
      <c r="K186" s="32">
        <f>SUM(K180:K185)</f>
        <v>5391085.6327134557</v>
      </c>
      <c r="L186" s="32">
        <f t="shared" si="173"/>
        <v>70791314.174927309</v>
      </c>
      <c r="M186" s="32">
        <f t="shared" si="173"/>
        <v>149328892.6412448</v>
      </c>
      <c r="N186" s="32">
        <f t="shared" si="173"/>
        <v>52774557.064639628</v>
      </c>
      <c r="O186" s="32">
        <f t="shared" si="173"/>
        <v>22300788.716785751</v>
      </c>
      <c r="P186" s="32">
        <f>SUM(P180:P185)</f>
        <v>4036013.4073645407</v>
      </c>
      <c r="Q186" s="32">
        <f t="shared" si="173"/>
        <v>43634.318633348827</v>
      </c>
      <c r="R186" s="32">
        <f t="shared" si="173"/>
        <v>56929.197366916225</v>
      </c>
      <c r="S186" s="32">
        <f t="shared" si="173"/>
        <v>13170.551585038998</v>
      </c>
      <c r="T186" s="32">
        <f t="shared" si="173"/>
        <v>0</v>
      </c>
      <c r="U186" s="32">
        <f t="shared" ref="U186:V186" si="174">SUM(U180:U185)</f>
        <v>68298.53</v>
      </c>
      <c r="V186" s="32">
        <f t="shared" si="174"/>
        <v>0</v>
      </c>
      <c r="W186" s="34">
        <f t="shared" ref="W186" si="175">SUM(G186:V186)</f>
        <v>688822249.03363407</v>
      </c>
      <c r="X186" s="30" t="str">
        <f t="shared" ref="X186" si="176">IF(ABS(F186-W186)&lt;0.01,"ok","err")</f>
        <v>ok</v>
      </c>
      <c r="Y186" s="66" t="str">
        <f t="shared" ref="Y186" si="177">IF(X186="err",W186-F186,"")</f>
        <v/>
      </c>
    </row>
    <row r="187" spans="1:25" ht="12" customHeight="1" x14ac:dyDescent="0.25">
      <c r="F187" s="33"/>
      <c r="G187" s="67"/>
      <c r="H187" s="67"/>
      <c r="I187" s="67"/>
      <c r="J187" s="67"/>
      <c r="K187" s="67"/>
      <c r="L187" s="67"/>
      <c r="M187" s="67"/>
      <c r="N187" s="67"/>
      <c r="O187" s="67"/>
      <c r="P187" s="67"/>
      <c r="Q187" s="67"/>
    </row>
    <row r="188" spans="1:25" ht="12" customHeight="1" x14ac:dyDescent="0.25">
      <c r="A188" s="4" t="s">
        <v>426</v>
      </c>
      <c r="F188" s="33"/>
      <c r="G188" s="33"/>
    </row>
    <row r="189" spans="1:25" ht="12" customHeight="1" x14ac:dyDescent="0.25">
      <c r="A189" s="39" t="s">
        <v>2124</v>
      </c>
      <c r="C189" s="29" t="s">
        <v>785</v>
      </c>
      <c r="D189" s="29" t="s">
        <v>633</v>
      </c>
      <c r="E189" s="29" t="s">
        <v>2125</v>
      </c>
      <c r="F189" s="32">
        <f>VLOOKUP(C189,'WSS-26'!$C$1:$AU$617,13,)</f>
        <v>54099319.645765319</v>
      </c>
      <c r="G189" s="32">
        <f t="shared" ref="G189:V191" si="178">IF(VLOOKUP($E189,$D$5:$V$970,3,)=0,0,(VLOOKUP($E189,$D$5:$V$970,G$1,)/VLOOKUP($E189,$D$5:$V$970,3,))*$F189)</f>
        <v>23238595.358656399</v>
      </c>
      <c r="H189" s="32">
        <f t="shared" si="178"/>
        <v>6855270.9309429275</v>
      </c>
      <c r="I189" s="32">
        <f t="shared" si="178"/>
        <v>606341.82476046204</v>
      </c>
      <c r="J189" s="32">
        <f t="shared" si="178"/>
        <v>5171972.0116182957</v>
      </c>
      <c r="K189" s="32">
        <f t="shared" si="178"/>
        <v>342679.80260373943</v>
      </c>
      <c r="L189" s="32">
        <f t="shared" si="178"/>
        <v>4126455.559911252</v>
      </c>
      <c r="M189" s="32">
        <f t="shared" si="178"/>
        <v>8814164.9558209181</v>
      </c>
      <c r="N189" s="32">
        <f t="shared" si="178"/>
        <v>2820423.6534609022</v>
      </c>
      <c r="O189" s="32">
        <f t="shared" si="178"/>
        <v>1724914.6994960958</v>
      </c>
      <c r="P189" s="32">
        <f t="shared" si="178"/>
        <v>384970.20803315658</v>
      </c>
      <c r="Q189" s="32">
        <f t="shared" si="178"/>
        <v>4542.4312507759032</v>
      </c>
      <c r="R189" s="32">
        <f t="shared" si="178"/>
        <v>2499.4566538562567</v>
      </c>
      <c r="S189" s="32">
        <f t="shared" si="178"/>
        <v>6488.7525565228116</v>
      </c>
      <c r="T189" s="32">
        <f t="shared" si="178"/>
        <v>0</v>
      </c>
      <c r="U189" s="32">
        <f t="shared" si="178"/>
        <v>0</v>
      </c>
      <c r="V189" s="32">
        <f t="shared" si="178"/>
        <v>0</v>
      </c>
      <c r="W189" s="34">
        <f>SUM(G189:V189)</f>
        <v>54099319.645765305</v>
      </c>
      <c r="X189" s="30" t="str">
        <f t="shared" ref="X189:X191" si="179">IF(ABS(F189-W189)&lt;0.01,"ok","err")</f>
        <v>ok</v>
      </c>
      <c r="Y189" s="66" t="str">
        <f t="shared" ref="Y189:Y191" si="180">IF(X189="err",W189-F189,"")</f>
        <v/>
      </c>
    </row>
    <row r="190" spans="1:25" ht="12" hidden="1" customHeight="1" x14ac:dyDescent="0.25">
      <c r="A190" s="39" t="s">
        <v>2123</v>
      </c>
      <c r="C190" s="29" t="s">
        <v>785</v>
      </c>
      <c r="D190" s="29" t="s">
        <v>634</v>
      </c>
      <c r="E190" s="29" t="s">
        <v>2125</v>
      </c>
      <c r="F190" s="33">
        <f>VLOOKUP(C190,'WSS-26'!$C$1:$AU$617,14,)</f>
        <v>0</v>
      </c>
      <c r="G190" s="32">
        <f t="shared" si="178"/>
        <v>0</v>
      </c>
      <c r="H190" s="32">
        <f t="shared" si="178"/>
        <v>0</v>
      </c>
      <c r="I190" s="32">
        <f t="shared" si="178"/>
        <v>0</v>
      </c>
      <c r="J190" s="32">
        <f t="shared" si="178"/>
        <v>0</v>
      </c>
      <c r="K190" s="32">
        <f t="shared" si="178"/>
        <v>0</v>
      </c>
      <c r="L190" s="32">
        <f t="shared" si="178"/>
        <v>0</v>
      </c>
      <c r="M190" s="32">
        <f t="shared" si="178"/>
        <v>0</v>
      </c>
      <c r="N190" s="32">
        <f t="shared" si="178"/>
        <v>0</v>
      </c>
      <c r="O190" s="32">
        <f t="shared" si="178"/>
        <v>0</v>
      </c>
      <c r="P190" s="32">
        <f t="shared" si="178"/>
        <v>0</v>
      </c>
      <c r="Q190" s="32">
        <f t="shared" si="178"/>
        <v>0</v>
      </c>
      <c r="R190" s="32">
        <f t="shared" si="178"/>
        <v>0</v>
      </c>
      <c r="S190" s="32">
        <f t="shared" si="178"/>
        <v>0</v>
      </c>
      <c r="T190" s="32">
        <f t="shared" si="178"/>
        <v>0</v>
      </c>
      <c r="U190" s="32">
        <f t="shared" si="178"/>
        <v>0</v>
      </c>
      <c r="V190" s="32">
        <f t="shared" si="178"/>
        <v>0</v>
      </c>
      <c r="W190" s="34">
        <f>SUM(G190:V190)</f>
        <v>0</v>
      </c>
      <c r="X190" s="30" t="str">
        <f t="shared" si="179"/>
        <v>ok</v>
      </c>
      <c r="Y190" s="66" t="str">
        <f t="shared" si="180"/>
        <v/>
      </c>
    </row>
    <row r="191" spans="1:25" ht="12" hidden="1" customHeight="1" x14ac:dyDescent="0.25">
      <c r="A191" s="39" t="s">
        <v>2123</v>
      </c>
      <c r="C191" s="29" t="s">
        <v>785</v>
      </c>
      <c r="D191" s="29" t="s">
        <v>635</v>
      </c>
      <c r="E191" s="29" t="s">
        <v>2125</v>
      </c>
      <c r="F191" s="33">
        <f>VLOOKUP(C191,'WSS-26'!$C$1:$AU$617,15,)</f>
        <v>0</v>
      </c>
      <c r="G191" s="32">
        <f t="shared" si="178"/>
        <v>0</v>
      </c>
      <c r="H191" s="32">
        <f t="shared" si="178"/>
        <v>0</v>
      </c>
      <c r="I191" s="32">
        <f t="shared" si="178"/>
        <v>0</v>
      </c>
      <c r="J191" s="32">
        <f t="shared" si="178"/>
        <v>0</v>
      </c>
      <c r="K191" s="32">
        <f t="shared" si="178"/>
        <v>0</v>
      </c>
      <c r="L191" s="32">
        <f t="shared" si="178"/>
        <v>0</v>
      </c>
      <c r="M191" s="32">
        <f t="shared" si="178"/>
        <v>0</v>
      </c>
      <c r="N191" s="32">
        <f t="shared" si="178"/>
        <v>0</v>
      </c>
      <c r="O191" s="32">
        <f t="shared" si="178"/>
        <v>0</v>
      </c>
      <c r="P191" s="32">
        <f t="shared" si="178"/>
        <v>0</v>
      </c>
      <c r="Q191" s="32">
        <f t="shared" si="178"/>
        <v>0</v>
      </c>
      <c r="R191" s="32">
        <f t="shared" si="178"/>
        <v>0</v>
      </c>
      <c r="S191" s="32">
        <f t="shared" si="178"/>
        <v>0</v>
      </c>
      <c r="T191" s="32">
        <f t="shared" si="178"/>
        <v>0</v>
      </c>
      <c r="U191" s="32">
        <f t="shared" si="178"/>
        <v>0</v>
      </c>
      <c r="V191" s="32">
        <f t="shared" si="178"/>
        <v>0</v>
      </c>
      <c r="W191" s="34">
        <f>SUM(G191:V191)</f>
        <v>0</v>
      </c>
      <c r="X191" s="30" t="str">
        <f t="shared" si="179"/>
        <v>ok</v>
      </c>
      <c r="Y191" s="66" t="str">
        <f t="shared" si="180"/>
        <v/>
      </c>
    </row>
    <row r="192" spans="1:25" ht="12" hidden="1" customHeight="1" x14ac:dyDescent="0.25">
      <c r="A192" s="29" t="s">
        <v>428</v>
      </c>
      <c r="D192" s="29" t="s">
        <v>636</v>
      </c>
      <c r="F192" s="32">
        <f t="shared" ref="F192:T192" si="181">SUM(F189:F191)</f>
        <v>54099319.645765319</v>
      </c>
      <c r="G192" s="32">
        <f t="shared" si="181"/>
        <v>23238595.358656399</v>
      </c>
      <c r="H192" s="32">
        <f t="shared" si="181"/>
        <v>6855270.9309429275</v>
      </c>
      <c r="I192" s="32">
        <f>SUM(I189:I191)</f>
        <v>606341.82476046204</v>
      </c>
      <c r="J192" s="32">
        <f>SUM(J189:J191)</f>
        <v>5171972.0116182957</v>
      </c>
      <c r="K192" s="32">
        <f>SUM(K189:K191)</f>
        <v>342679.80260373943</v>
      </c>
      <c r="L192" s="32">
        <f t="shared" si="181"/>
        <v>4126455.559911252</v>
      </c>
      <c r="M192" s="32">
        <f t="shared" si="181"/>
        <v>8814164.9558209181</v>
      </c>
      <c r="N192" s="32">
        <f t="shared" si="181"/>
        <v>2820423.6534609022</v>
      </c>
      <c r="O192" s="32">
        <f t="shared" si="181"/>
        <v>1724914.6994960958</v>
      </c>
      <c r="P192" s="32">
        <f>SUM(P189:P191)</f>
        <v>384970.20803315658</v>
      </c>
      <c r="Q192" s="32">
        <f t="shared" si="181"/>
        <v>4542.4312507759032</v>
      </c>
      <c r="R192" s="32">
        <f t="shared" si="181"/>
        <v>2499.4566538562567</v>
      </c>
      <c r="S192" s="32">
        <f t="shared" si="181"/>
        <v>6488.7525565228116</v>
      </c>
      <c r="T192" s="32">
        <f t="shared" si="181"/>
        <v>0</v>
      </c>
      <c r="U192" s="32">
        <f t="shared" ref="U192:V192" si="182">SUM(U189:U191)</f>
        <v>0</v>
      </c>
      <c r="V192" s="32">
        <f t="shared" si="182"/>
        <v>0</v>
      </c>
      <c r="W192" s="34">
        <f>SUM(G192:V192)</f>
        <v>54099319.645765305</v>
      </c>
      <c r="X192" s="30" t="str">
        <f>IF(ABS(F192-W192)&lt;0.01,"ok","err")</f>
        <v>ok</v>
      </c>
      <c r="Y192" s="34" t="str">
        <f>IF(X192="err",W192-F192,"")</f>
        <v/>
      </c>
    </row>
    <row r="193" spans="1:25" ht="12" customHeight="1" x14ac:dyDescent="0.25">
      <c r="F193" s="33"/>
      <c r="G193" s="33"/>
    </row>
    <row r="194" spans="1:25" ht="12" customHeight="1" x14ac:dyDescent="0.25">
      <c r="A194" s="4" t="s">
        <v>1593</v>
      </c>
      <c r="F194" s="33"/>
      <c r="G194" s="33"/>
    </row>
    <row r="195" spans="1:25" ht="12" customHeight="1" x14ac:dyDescent="0.25">
      <c r="A195" s="39" t="s">
        <v>145</v>
      </c>
      <c r="C195" s="29" t="s">
        <v>785</v>
      </c>
      <c r="D195" s="29" t="s">
        <v>637</v>
      </c>
      <c r="E195" s="29" t="s">
        <v>2129</v>
      </c>
      <c r="F195" s="32">
        <f>VLOOKUP(C195,'WSS-26'!$C$1:$AU$617,17,)</f>
        <v>0</v>
      </c>
      <c r="G195" s="32">
        <f t="shared" ref="G195:V195" si="183">IF(VLOOKUP($E195,$D$5:$V$970,3,)=0,0,(VLOOKUP($E195,$D$5:$V$970,G$1,)/VLOOKUP($E195,$D$5:$V$970,3,))*$F195)</f>
        <v>0</v>
      </c>
      <c r="H195" s="32">
        <f t="shared" si="183"/>
        <v>0</v>
      </c>
      <c r="I195" s="32">
        <f t="shared" si="183"/>
        <v>0</v>
      </c>
      <c r="J195" s="32">
        <f t="shared" si="183"/>
        <v>0</v>
      </c>
      <c r="K195" s="32">
        <f t="shared" si="183"/>
        <v>0</v>
      </c>
      <c r="L195" s="32">
        <f t="shared" si="183"/>
        <v>0</v>
      </c>
      <c r="M195" s="32">
        <f t="shared" si="183"/>
        <v>0</v>
      </c>
      <c r="N195" s="32">
        <f t="shared" si="183"/>
        <v>0</v>
      </c>
      <c r="O195" s="32">
        <f t="shared" si="183"/>
        <v>0</v>
      </c>
      <c r="P195" s="32">
        <f t="shared" si="183"/>
        <v>0</v>
      </c>
      <c r="Q195" s="32">
        <f t="shared" si="183"/>
        <v>0</v>
      </c>
      <c r="R195" s="32">
        <f t="shared" si="183"/>
        <v>0</v>
      </c>
      <c r="S195" s="32">
        <f t="shared" si="183"/>
        <v>0</v>
      </c>
      <c r="T195" s="32">
        <f t="shared" si="183"/>
        <v>0</v>
      </c>
      <c r="U195" s="32">
        <f t="shared" si="183"/>
        <v>0</v>
      </c>
      <c r="V195" s="32">
        <f t="shared" si="183"/>
        <v>0</v>
      </c>
      <c r="W195" s="34">
        <f t="shared" ref="W195" si="184">SUM(G195:V195)</f>
        <v>0</v>
      </c>
      <c r="X195" s="30" t="str">
        <f t="shared" ref="X195" si="185">IF(ABS(F195-W195)&lt;0.01,"ok","err")</f>
        <v>ok</v>
      </c>
      <c r="Y195" s="66" t="str">
        <f t="shared" ref="Y195" si="186">IF(X195="err",W195-F195,"")</f>
        <v/>
      </c>
    </row>
    <row r="196" spans="1:25" ht="12" customHeight="1" x14ac:dyDescent="0.25">
      <c r="F196" s="33"/>
    </row>
    <row r="197" spans="1:25" ht="12" customHeight="1" x14ac:dyDescent="0.25">
      <c r="A197" s="4" t="s">
        <v>1594</v>
      </c>
      <c r="F197" s="33"/>
      <c r="G197" s="33"/>
    </row>
    <row r="198" spans="1:25" ht="12" customHeight="1" x14ac:dyDescent="0.25">
      <c r="A198" s="39" t="s">
        <v>147</v>
      </c>
      <c r="C198" s="29" t="s">
        <v>785</v>
      </c>
      <c r="D198" s="29" t="s">
        <v>638</v>
      </c>
      <c r="E198" s="29" t="s">
        <v>2129</v>
      </c>
      <c r="F198" s="32">
        <f>VLOOKUP(C198,'WSS-26'!$C$1:$AU$617,18,)</f>
        <v>8381464.9402496461</v>
      </c>
      <c r="G198" s="32">
        <f t="shared" ref="G198:V198" si="187">IF(VLOOKUP($E198,$D$5:$V$970,3,)=0,0,(VLOOKUP($E198,$D$5:$V$970,G$1,)/VLOOKUP($E198,$D$5:$V$970,3,))*$F198)</f>
        <v>3930531.2545592356</v>
      </c>
      <c r="H198" s="32">
        <f t="shared" si="187"/>
        <v>1159487.3199814798</v>
      </c>
      <c r="I198" s="32">
        <f t="shared" si="187"/>
        <v>102555.48824639754</v>
      </c>
      <c r="J198" s="32">
        <f t="shared" si="187"/>
        <v>874777.38329820731</v>
      </c>
      <c r="K198" s="32">
        <f t="shared" si="187"/>
        <v>57960.201709801724</v>
      </c>
      <c r="L198" s="32">
        <f t="shared" si="187"/>
        <v>697940.74463021499</v>
      </c>
      <c r="M198" s="32">
        <f t="shared" si="187"/>
        <v>1490810.8819404091</v>
      </c>
      <c r="N198" s="32">
        <f t="shared" si="187"/>
        <v>0</v>
      </c>
      <c r="O198" s="32">
        <f t="shared" si="187"/>
        <v>0</v>
      </c>
      <c r="P198" s="32">
        <f t="shared" si="187"/>
        <v>65113.119420311588</v>
      </c>
      <c r="Q198" s="32">
        <f t="shared" si="187"/>
        <v>768.29807169092055</v>
      </c>
      <c r="R198" s="32">
        <f t="shared" si="187"/>
        <v>422.75328374090134</v>
      </c>
      <c r="S198" s="32">
        <f t="shared" si="187"/>
        <v>1097.495108154792</v>
      </c>
      <c r="T198" s="32">
        <f t="shared" si="187"/>
        <v>0</v>
      </c>
      <c r="U198" s="32">
        <f t="shared" si="187"/>
        <v>0</v>
      </c>
      <c r="V198" s="32">
        <f t="shared" si="187"/>
        <v>0</v>
      </c>
      <c r="W198" s="34">
        <f t="shared" ref="W198" si="188">SUM(G198:V198)</f>
        <v>8381464.9402496433</v>
      </c>
      <c r="X198" s="30" t="str">
        <f t="shared" ref="X198" si="189">IF(ABS(F198-W198)&lt;0.01,"ok","err")</f>
        <v>ok</v>
      </c>
      <c r="Y198" s="66" t="str">
        <f t="shared" ref="Y198" si="190">IF(X198="err",W198-F198,"")</f>
        <v/>
      </c>
    </row>
    <row r="199" spans="1:25" ht="12" customHeight="1" x14ac:dyDescent="0.25">
      <c r="F199" s="33"/>
    </row>
    <row r="200" spans="1:25" ht="12" customHeight="1" x14ac:dyDescent="0.25">
      <c r="A200" s="4" t="s">
        <v>146</v>
      </c>
      <c r="F200" s="33"/>
    </row>
    <row r="201" spans="1:25" ht="12" customHeight="1" x14ac:dyDescent="0.25">
      <c r="A201" s="39" t="s">
        <v>767</v>
      </c>
      <c r="C201" s="29" t="s">
        <v>785</v>
      </c>
      <c r="D201" s="29" t="s">
        <v>639</v>
      </c>
      <c r="E201" s="29" t="s">
        <v>2129</v>
      </c>
      <c r="F201" s="32">
        <f>VLOOKUP(C201,'WSS-26'!$C$1:$AU$617,19,)</f>
        <v>0</v>
      </c>
      <c r="G201" s="32">
        <f t="shared" ref="G201:V205" si="191">IF(VLOOKUP($E201,$D$5:$V$970,3,)=0,0,(VLOOKUP($E201,$D$5:$V$970,G$1,)/VLOOKUP($E201,$D$5:$V$970,3,))*$F201)</f>
        <v>0</v>
      </c>
      <c r="H201" s="32">
        <f t="shared" si="191"/>
        <v>0</v>
      </c>
      <c r="I201" s="32">
        <f t="shared" si="191"/>
        <v>0</v>
      </c>
      <c r="J201" s="32">
        <f t="shared" si="191"/>
        <v>0</v>
      </c>
      <c r="K201" s="32">
        <f t="shared" si="191"/>
        <v>0</v>
      </c>
      <c r="L201" s="32">
        <f t="shared" si="191"/>
        <v>0</v>
      </c>
      <c r="M201" s="32">
        <f t="shared" si="191"/>
        <v>0</v>
      </c>
      <c r="N201" s="32">
        <f t="shared" si="191"/>
        <v>0</v>
      </c>
      <c r="O201" s="32">
        <f t="shared" si="191"/>
        <v>0</v>
      </c>
      <c r="P201" s="32">
        <f t="shared" si="191"/>
        <v>0</v>
      </c>
      <c r="Q201" s="32">
        <f t="shared" si="191"/>
        <v>0</v>
      </c>
      <c r="R201" s="32">
        <f t="shared" si="191"/>
        <v>0</v>
      </c>
      <c r="S201" s="32">
        <f t="shared" si="191"/>
        <v>0</v>
      </c>
      <c r="T201" s="32">
        <f t="shared" si="191"/>
        <v>0</v>
      </c>
      <c r="U201" s="32">
        <f t="shared" si="191"/>
        <v>0</v>
      </c>
      <c r="V201" s="32">
        <f t="shared" si="191"/>
        <v>0</v>
      </c>
      <c r="W201" s="34">
        <f t="shared" ref="W201:W205" si="192">SUM(G201:V201)</f>
        <v>0</v>
      </c>
      <c r="X201" s="30" t="str">
        <f t="shared" ref="X201:X205" si="193">IF(ABS(F201-W201)&lt;0.01,"ok","err")</f>
        <v>ok</v>
      </c>
      <c r="Y201" s="66" t="str">
        <f t="shared" ref="Y201:Y205" si="194">IF(X201="err",W201-F201,"")</f>
        <v/>
      </c>
    </row>
    <row r="202" spans="1:25" ht="12" customHeight="1" x14ac:dyDescent="0.25">
      <c r="A202" s="39" t="s">
        <v>768</v>
      </c>
      <c r="C202" s="29" t="s">
        <v>785</v>
      </c>
      <c r="D202" s="29" t="s">
        <v>640</v>
      </c>
      <c r="E202" s="29" t="s">
        <v>2129</v>
      </c>
      <c r="F202" s="33">
        <f>VLOOKUP(C202,'WSS-26'!$C$1:$AU$617,20,)</f>
        <v>12802418.326254947</v>
      </c>
      <c r="G202" s="32">
        <f t="shared" si="191"/>
        <v>6003760.1688981345</v>
      </c>
      <c r="H202" s="32">
        <f t="shared" si="191"/>
        <v>1771079.6167750822</v>
      </c>
      <c r="I202" s="32">
        <f t="shared" si="191"/>
        <v>156650.21228909376</v>
      </c>
      <c r="J202" s="32">
        <f t="shared" si="191"/>
        <v>1336194.3387186371</v>
      </c>
      <c r="K202" s="32">
        <f t="shared" si="191"/>
        <v>88532.345342113564</v>
      </c>
      <c r="L202" s="32">
        <f t="shared" si="191"/>
        <v>1066082.0564653876</v>
      </c>
      <c r="M202" s="32">
        <f t="shared" si="191"/>
        <v>2277165.709335498</v>
      </c>
      <c r="N202" s="32">
        <f t="shared" si="191"/>
        <v>0</v>
      </c>
      <c r="O202" s="32">
        <f t="shared" si="191"/>
        <v>0</v>
      </c>
      <c r="P202" s="32">
        <f t="shared" si="191"/>
        <v>99458.197258938191</v>
      </c>
      <c r="Q202" s="32">
        <f t="shared" si="191"/>
        <v>1173.5506123526427</v>
      </c>
      <c r="R202" s="32">
        <f t="shared" si="191"/>
        <v>645.74205414355242</v>
      </c>
      <c r="S202" s="32">
        <f t="shared" si="191"/>
        <v>1676.3885055632722</v>
      </c>
      <c r="T202" s="32">
        <f t="shared" si="191"/>
        <v>0</v>
      </c>
      <c r="U202" s="32">
        <f t="shared" si="191"/>
        <v>0</v>
      </c>
      <c r="V202" s="32">
        <f t="shared" si="191"/>
        <v>0</v>
      </c>
      <c r="W202" s="34">
        <f t="shared" si="192"/>
        <v>12802418.326254945</v>
      </c>
      <c r="X202" s="30" t="str">
        <f t="shared" si="193"/>
        <v>ok</v>
      </c>
      <c r="Y202" s="66" t="str">
        <f t="shared" si="194"/>
        <v/>
      </c>
    </row>
    <row r="203" spans="1:25" ht="12" customHeight="1" x14ac:dyDescent="0.25">
      <c r="A203" s="39" t="s">
        <v>769</v>
      </c>
      <c r="C203" s="29" t="s">
        <v>785</v>
      </c>
      <c r="D203" s="29" t="s">
        <v>641</v>
      </c>
      <c r="E203" s="29" t="s">
        <v>872</v>
      </c>
      <c r="F203" s="33">
        <f>VLOOKUP(C203,'WSS-26'!$C$1:$AU$617,21,)</f>
        <v>21824284.834222149</v>
      </c>
      <c r="G203" s="32">
        <f t="shared" si="191"/>
        <v>17431652.129410673</v>
      </c>
      <c r="H203" s="32">
        <f t="shared" si="191"/>
        <v>3372671.1794642075</v>
      </c>
      <c r="I203" s="32">
        <f t="shared" si="191"/>
        <v>22287.693105567661</v>
      </c>
      <c r="J203" s="32">
        <f t="shared" si="191"/>
        <v>178541.19745857964</v>
      </c>
      <c r="K203" s="32">
        <f t="shared" si="191"/>
        <v>8228.0730819837609</v>
      </c>
      <c r="L203" s="32">
        <f t="shared" si="191"/>
        <v>29557.155731397972</v>
      </c>
      <c r="M203" s="32">
        <f t="shared" si="191"/>
        <v>10345.004505989291</v>
      </c>
      <c r="N203" s="32">
        <f t="shared" si="191"/>
        <v>0</v>
      </c>
      <c r="O203" s="32">
        <f t="shared" si="191"/>
        <v>0</v>
      </c>
      <c r="P203" s="32">
        <f t="shared" si="191"/>
        <v>767247.84384381585</v>
      </c>
      <c r="Q203" s="32">
        <f t="shared" si="191"/>
        <v>119.82630701918097</v>
      </c>
      <c r="R203" s="32">
        <f t="shared" si="191"/>
        <v>3395.0786988767945</v>
      </c>
      <c r="S203" s="32">
        <f t="shared" si="191"/>
        <v>239.65261403836195</v>
      </c>
      <c r="T203" s="32">
        <f t="shared" si="191"/>
        <v>0</v>
      </c>
      <c r="U203" s="32">
        <f t="shared" si="191"/>
        <v>0</v>
      </c>
      <c r="V203" s="32">
        <f t="shared" si="191"/>
        <v>0</v>
      </c>
      <c r="W203" s="34">
        <f t="shared" si="192"/>
        <v>21824284.834222149</v>
      </c>
      <c r="X203" s="30" t="str">
        <f t="shared" si="193"/>
        <v>ok</v>
      </c>
      <c r="Y203" s="66" t="str">
        <f t="shared" si="194"/>
        <v/>
      </c>
    </row>
    <row r="204" spans="1:25" ht="12" customHeight="1" x14ac:dyDescent="0.25">
      <c r="A204" s="39" t="s">
        <v>770</v>
      </c>
      <c r="C204" s="29" t="s">
        <v>785</v>
      </c>
      <c r="D204" s="29" t="s">
        <v>642</v>
      </c>
      <c r="E204" s="29" t="s">
        <v>709</v>
      </c>
      <c r="F204" s="33">
        <f>VLOOKUP(C204,'WSS-26'!$C$1:$AU$617,22,)</f>
        <v>7055662.773199264</v>
      </c>
      <c r="G204" s="32">
        <f t="shared" si="191"/>
        <v>5485834.543820601</v>
      </c>
      <c r="H204" s="32">
        <f t="shared" si="191"/>
        <v>1437511.0588098362</v>
      </c>
      <c r="I204" s="32">
        <f t="shared" si="191"/>
        <v>85888.414085499971</v>
      </c>
      <c r="J204" s="32">
        <f t="shared" si="191"/>
        <v>0</v>
      </c>
      <c r="K204" s="32">
        <f t="shared" si="191"/>
        <v>0</v>
      </c>
      <c r="L204" s="32">
        <f t="shared" si="191"/>
        <v>0</v>
      </c>
      <c r="M204" s="32">
        <f t="shared" si="191"/>
        <v>0</v>
      </c>
      <c r="N204" s="32">
        <f t="shared" si="191"/>
        <v>0</v>
      </c>
      <c r="O204" s="32">
        <f t="shared" si="191"/>
        <v>0</v>
      </c>
      <c r="P204" s="32">
        <f t="shared" si="191"/>
        <v>45594.736048510989</v>
      </c>
      <c r="Q204" s="32">
        <f t="shared" si="191"/>
        <v>537.9921603694512</v>
      </c>
      <c r="R204" s="32">
        <f t="shared" si="191"/>
        <v>296.02827444625342</v>
      </c>
      <c r="S204" s="32">
        <f t="shared" si="191"/>
        <v>0</v>
      </c>
      <c r="T204" s="32">
        <f t="shared" si="191"/>
        <v>0</v>
      </c>
      <c r="U204" s="32">
        <f t="shared" si="191"/>
        <v>0</v>
      </c>
      <c r="V204" s="32">
        <f t="shared" si="191"/>
        <v>0</v>
      </c>
      <c r="W204" s="34">
        <f t="shared" si="192"/>
        <v>7055662.773199264</v>
      </c>
      <c r="X204" s="30" t="str">
        <f t="shared" si="193"/>
        <v>ok</v>
      </c>
      <c r="Y204" s="66" t="str">
        <f t="shared" si="194"/>
        <v/>
      </c>
    </row>
    <row r="205" spans="1:25" ht="12" customHeight="1" x14ac:dyDescent="0.25">
      <c r="A205" s="39" t="s">
        <v>771</v>
      </c>
      <c r="C205" s="29" t="s">
        <v>785</v>
      </c>
      <c r="D205" s="29" t="s">
        <v>643</v>
      </c>
      <c r="E205" s="29" t="s">
        <v>871</v>
      </c>
      <c r="F205" s="33">
        <f>VLOOKUP(C205,'WSS-26'!$C$1:$AU$617,23,)</f>
        <v>11949812.075310342</v>
      </c>
      <c r="G205" s="32">
        <f t="shared" si="191"/>
        <v>9552770.8259862754</v>
      </c>
      <c r="H205" s="32">
        <f t="shared" si="191"/>
        <v>1848267.428104053</v>
      </c>
      <c r="I205" s="32">
        <f t="shared" si="191"/>
        <v>12213.944088419586</v>
      </c>
      <c r="J205" s="32">
        <f t="shared" si="191"/>
        <v>97842.885439490245</v>
      </c>
      <c r="K205" s="32">
        <f t="shared" si="191"/>
        <v>0</v>
      </c>
      <c r="L205" s="32">
        <f t="shared" si="191"/>
        <v>16197.703629803753</v>
      </c>
      <c r="M205" s="32">
        <f t="shared" si="191"/>
        <v>0</v>
      </c>
      <c r="N205" s="32">
        <f t="shared" si="191"/>
        <v>0</v>
      </c>
      <c r="O205" s="32">
        <f t="shared" si="191"/>
        <v>0</v>
      </c>
      <c r="P205" s="32">
        <f t="shared" si="191"/>
        <v>420461.74192554102</v>
      </c>
      <c r="Q205" s="32">
        <f t="shared" si="191"/>
        <v>65.666366066771971</v>
      </c>
      <c r="R205" s="32">
        <f t="shared" si="191"/>
        <v>1860.5470385585393</v>
      </c>
      <c r="S205" s="32">
        <f t="shared" si="191"/>
        <v>131.33273213354394</v>
      </c>
      <c r="T205" s="32">
        <f t="shared" si="191"/>
        <v>0</v>
      </c>
      <c r="U205" s="32">
        <f t="shared" si="191"/>
        <v>0</v>
      </c>
      <c r="V205" s="32">
        <f t="shared" si="191"/>
        <v>0</v>
      </c>
      <c r="W205" s="34">
        <f t="shared" si="192"/>
        <v>11949812.075310342</v>
      </c>
      <c r="X205" s="30" t="str">
        <f t="shared" si="193"/>
        <v>ok</v>
      </c>
      <c r="Y205" s="66" t="str">
        <f t="shared" si="194"/>
        <v/>
      </c>
    </row>
    <row r="206" spans="1:25" ht="12" customHeight="1" x14ac:dyDescent="0.25">
      <c r="A206" s="29" t="s">
        <v>151</v>
      </c>
      <c r="D206" s="29" t="s">
        <v>644</v>
      </c>
      <c r="F206" s="32">
        <f>SUM(F201:F205)</f>
        <v>53632178.008986704</v>
      </c>
      <c r="G206" s="32">
        <f t="shared" ref="G206:T206" si="195">SUM(G201:G205)</f>
        <v>38474017.668115683</v>
      </c>
      <c r="H206" s="32">
        <f t="shared" si="195"/>
        <v>8429529.2831531782</v>
      </c>
      <c r="I206" s="32">
        <f>SUM(I201:I205)</f>
        <v>277040.26356858102</v>
      </c>
      <c r="J206" s="32">
        <f>SUM(J201:J205)</f>
        <v>1612578.421616707</v>
      </c>
      <c r="K206" s="32">
        <f>SUM(K201:K205)</f>
        <v>96760.418424097326</v>
      </c>
      <c r="L206" s="32">
        <f t="shared" si="195"/>
        <v>1111836.9158265893</v>
      </c>
      <c r="M206" s="32">
        <f t="shared" si="195"/>
        <v>2287510.7138414872</v>
      </c>
      <c r="N206" s="32">
        <f t="shared" si="195"/>
        <v>0</v>
      </c>
      <c r="O206" s="32">
        <f t="shared" si="195"/>
        <v>0</v>
      </c>
      <c r="P206" s="32">
        <f>SUM(P201:P205)</f>
        <v>1332762.519076806</v>
      </c>
      <c r="Q206" s="32">
        <f t="shared" si="195"/>
        <v>1897.0354458080471</v>
      </c>
      <c r="R206" s="32">
        <f t="shared" si="195"/>
        <v>6197.3960660251405</v>
      </c>
      <c r="S206" s="32">
        <f t="shared" si="195"/>
        <v>2047.3738517351781</v>
      </c>
      <c r="T206" s="32">
        <f t="shared" si="195"/>
        <v>0</v>
      </c>
      <c r="U206" s="32">
        <f t="shared" ref="U206:V206" si="196">SUM(U201:U205)</f>
        <v>0</v>
      </c>
      <c r="V206" s="32">
        <f t="shared" si="196"/>
        <v>0</v>
      </c>
      <c r="W206" s="34">
        <f t="shared" ref="W206" si="197">SUM(G206:V206)</f>
        <v>53632178.008986712</v>
      </c>
      <c r="X206" s="30" t="str">
        <f t="shared" ref="X206" si="198">IF(ABS(F206-W206)&lt;0.01,"ok","err")</f>
        <v>ok</v>
      </c>
      <c r="Y206" s="34" t="str">
        <f t="shared" ref="Y206" si="199">IF(X206="err",W206-F206,"")</f>
        <v/>
      </c>
    </row>
    <row r="207" spans="1:25" ht="12" customHeight="1" x14ac:dyDescent="0.25">
      <c r="F207" s="33"/>
    </row>
    <row r="208" spans="1:25" ht="12" customHeight="1" x14ac:dyDescent="0.25">
      <c r="A208" s="4" t="s">
        <v>766</v>
      </c>
      <c r="F208" s="33"/>
    </row>
    <row r="209" spans="1:25" ht="12" customHeight="1" x14ac:dyDescent="0.25">
      <c r="A209" s="39" t="s">
        <v>375</v>
      </c>
      <c r="C209" s="29" t="s">
        <v>785</v>
      </c>
      <c r="D209" s="29" t="s">
        <v>645</v>
      </c>
      <c r="E209" s="29" t="s">
        <v>2058</v>
      </c>
      <c r="F209" s="32">
        <f>VLOOKUP(C209,'WSS-26'!$C$1:$AU$617,24,)</f>
        <v>2797636.0572042032</v>
      </c>
      <c r="G209" s="32">
        <f t="shared" ref="G209:V210" si="200">IF(VLOOKUP($E209,$D$5:$V$970,3,)=0,0,(VLOOKUP($E209,$D$5:$V$970,G$1,)/VLOOKUP($E209,$D$5:$V$970,3,))*$F209)</f>
        <v>1783534.8827177507</v>
      </c>
      <c r="H209" s="32">
        <f t="shared" si="200"/>
        <v>467358.44787150307</v>
      </c>
      <c r="I209" s="32">
        <f t="shared" si="200"/>
        <v>27923.733630528051</v>
      </c>
      <c r="J209" s="32">
        <f t="shared" si="200"/>
        <v>296935.19489182212</v>
      </c>
      <c r="K209" s="32">
        <f t="shared" si="200"/>
        <v>0</v>
      </c>
      <c r="L209" s="32">
        <f t="shared" si="200"/>
        <v>206405.33020472396</v>
      </c>
      <c r="M209" s="32">
        <f t="shared" si="200"/>
        <v>0</v>
      </c>
      <c r="N209" s="32">
        <f t="shared" si="200"/>
        <v>0</v>
      </c>
      <c r="O209" s="32">
        <f t="shared" si="200"/>
        <v>0</v>
      </c>
      <c r="P209" s="32">
        <f t="shared" si="200"/>
        <v>14823.597314364646</v>
      </c>
      <c r="Q209" s="32">
        <f t="shared" si="200"/>
        <v>174.91008468865289</v>
      </c>
      <c r="R209" s="32">
        <f t="shared" si="200"/>
        <v>96.243652543324473</v>
      </c>
      <c r="S209" s="32">
        <f t="shared" si="200"/>
        <v>383.71683627826394</v>
      </c>
      <c r="T209" s="32">
        <f t="shared" si="200"/>
        <v>0</v>
      </c>
      <c r="U209" s="32">
        <f t="shared" si="200"/>
        <v>0</v>
      </c>
      <c r="V209" s="32">
        <f t="shared" si="200"/>
        <v>0</v>
      </c>
      <c r="W209" s="34">
        <f t="shared" ref="W209:W210" si="201">SUM(G209:V209)</f>
        <v>2797636.0572042032</v>
      </c>
      <c r="X209" s="30" t="str">
        <f t="shared" ref="X209:X210" si="202">IF(ABS(F209-W209)&lt;0.01,"ok","err")</f>
        <v>ok</v>
      </c>
      <c r="Y209" s="66" t="str">
        <f t="shared" ref="Y209:Y210" si="203">IF(X209="err",W209-F209,"")</f>
        <v/>
      </c>
    </row>
    <row r="210" spans="1:25" ht="12" customHeight="1" x14ac:dyDescent="0.25">
      <c r="A210" s="39" t="s">
        <v>378</v>
      </c>
      <c r="C210" s="29" t="s">
        <v>785</v>
      </c>
      <c r="D210" s="29" t="s">
        <v>646</v>
      </c>
      <c r="E210" s="29" t="s">
        <v>2057</v>
      </c>
      <c r="F210" s="33">
        <f>VLOOKUP(C210,'WSS-26'!$C$1:$AU$617,25,)</f>
        <v>2426255.302211578</v>
      </c>
      <c r="G210" s="32">
        <f t="shared" si="200"/>
        <v>1939566.9757224487</v>
      </c>
      <c r="H210" s="32">
        <f t="shared" si="200"/>
        <v>375266.87608817097</v>
      </c>
      <c r="I210" s="32">
        <f t="shared" si="200"/>
        <v>2479.8839026658225</v>
      </c>
      <c r="J210" s="32">
        <f t="shared" si="200"/>
        <v>19865.736639634815</v>
      </c>
      <c r="K210" s="32">
        <f t="shared" si="200"/>
        <v>0</v>
      </c>
      <c r="L210" s="32">
        <f t="shared" si="200"/>
        <v>3288.7349246822737</v>
      </c>
      <c r="M210" s="32">
        <f t="shared" si="200"/>
        <v>0</v>
      </c>
      <c r="N210" s="32">
        <f t="shared" si="200"/>
        <v>0</v>
      </c>
      <c r="O210" s="32">
        <f t="shared" si="200"/>
        <v>0</v>
      </c>
      <c r="P210" s="32">
        <f t="shared" si="200"/>
        <v>85369.336713813245</v>
      </c>
      <c r="Q210" s="32">
        <f t="shared" si="200"/>
        <v>13.332709154117325</v>
      </c>
      <c r="R210" s="32">
        <f t="shared" si="200"/>
        <v>377.76009269999088</v>
      </c>
      <c r="S210" s="32">
        <f t="shared" si="200"/>
        <v>26.665418308234649</v>
      </c>
      <c r="T210" s="32">
        <f t="shared" si="200"/>
        <v>0</v>
      </c>
      <c r="U210" s="32">
        <f t="shared" si="200"/>
        <v>0</v>
      </c>
      <c r="V210" s="32">
        <f t="shared" si="200"/>
        <v>0</v>
      </c>
      <c r="W210" s="34">
        <f t="shared" si="201"/>
        <v>2426255.302211578</v>
      </c>
      <c r="X210" s="30" t="str">
        <f t="shared" si="202"/>
        <v>ok</v>
      </c>
      <c r="Y210" s="66" t="str">
        <f t="shared" si="203"/>
        <v/>
      </c>
    </row>
    <row r="211" spans="1:25" ht="12" customHeight="1" x14ac:dyDescent="0.25">
      <c r="A211" s="29" t="s">
        <v>1434</v>
      </c>
      <c r="D211" s="29" t="s">
        <v>647</v>
      </c>
      <c r="F211" s="32">
        <f t="shared" ref="F211:T211" si="204">F209+F210</f>
        <v>5223891.3594157808</v>
      </c>
      <c r="G211" s="32">
        <f t="shared" si="204"/>
        <v>3723101.8584401994</v>
      </c>
      <c r="H211" s="32">
        <f t="shared" si="204"/>
        <v>842625.32395967399</v>
      </c>
      <c r="I211" s="32">
        <f>I209+I210</f>
        <v>30403.617533193872</v>
      </c>
      <c r="J211" s="32">
        <f>J209+J210</f>
        <v>316800.93153145694</v>
      </c>
      <c r="K211" s="32">
        <f>K209+K210</f>
        <v>0</v>
      </c>
      <c r="L211" s="32">
        <f t="shared" si="204"/>
        <v>209694.06512940623</v>
      </c>
      <c r="M211" s="32">
        <f t="shared" si="204"/>
        <v>0</v>
      </c>
      <c r="N211" s="32">
        <f t="shared" si="204"/>
        <v>0</v>
      </c>
      <c r="O211" s="32">
        <f t="shared" si="204"/>
        <v>0</v>
      </c>
      <c r="P211" s="32">
        <f>P209+P210</f>
        <v>100192.93402817789</v>
      </c>
      <c r="Q211" s="32">
        <f t="shared" si="204"/>
        <v>188.2427938427702</v>
      </c>
      <c r="R211" s="32">
        <f t="shared" si="204"/>
        <v>474.00374524331534</v>
      </c>
      <c r="S211" s="32">
        <f t="shared" si="204"/>
        <v>410.38225458649856</v>
      </c>
      <c r="T211" s="32">
        <f t="shared" si="204"/>
        <v>0</v>
      </c>
      <c r="U211" s="32">
        <f t="shared" ref="U211:V211" si="205">U209+U210</f>
        <v>0</v>
      </c>
      <c r="V211" s="32">
        <f t="shared" si="205"/>
        <v>0</v>
      </c>
      <c r="W211" s="34">
        <f>SUM(G211:V211)</f>
        <v>5223891.3594157808</v>
      </c>
      <c r="X211" s="30" t="str">
        <f>IF(ABS(F211-W211)&lt;0.01,"ok","err")</f>
        <v>ok</v>
      </c>
      <c r="Y211" s="34" t="str">
        <f>IF(X211="err",W211-F211,"")</f>
        <v/>
      </c>
    </row>
    <row r="212" spans="1:25" ht="12" customHeight="1" x14ac:dyDescent="0.25">
      <c r="F212" s="33"/>
    </row>
    <row r="213" spans="1:25" ht="12" customHeight="1" x14ac:dyDescent="0.25">
      <c r="A213" s="4" t="s">
        <v>128</v>
      </c>
      <c r="F213" s="33"/>
    </row>
    <row r="214" spans="1:25" ht="12" customHeight="1" x14ac:dyDescent="0.25">
      <c r="A214" s="39" t="s">
        <v>378</v>
      </c>
      <c r="C214" s="29" t="s">
        <v>785</v>
      </c>
      <c r="D214" s="29" t="s">
        <v>648</v>
      </c>
      <c r="E214" s="29" t="s">
        <v>379</v>
      </c>
      <c r="F214" s="32">
        <f>VLOOKUP(C214,'WSS-26'!$C$1:$AU$617,26,)</f>
        <v>1759026.8294097376</v>
      </c>
      <c r="G214" s="32">
        <f t="shared" ref="G214:V214" si="206">IF(VLOOKUP($E214,$D$5:$V$970,3,)=0,0,(VLOOKUP($E214,$D$5:$V$970,G$1,)/VLOOKUP($E214,$D$5:$V$970,3,))*$F214)</f>
        <v>1234296.3326750509</v>
      </c>
      <c r="H214" s="32">
        <f t="shared" si="206"/>
        <v>484060.61118993303</v>
      </c>
      <c r="I214" s="32">
        <f t="shared" si="206"/>
        <v>4153.6852841220407</v>
      </c>
      <c r="J214" s="32">
        <f t="shared" si="206"/>
        <v>30964.921337660493</v>
      </c>
      <c r="K214" s="32">
        <f t="shared" si="206"/>
        <v>0</v>
      </c>
      <c r="L214" s="32">
        <f t="shared" si="206"/>
        <v>5509.7121704856581</v>
      </c>
      <c r="M214" s="32">
        <f t="shared" si="206"/>
        <v>0</v>
      </c>
      <c r="N214" s="32">
        <f t="shared" si="206"/>
        <v>0</v>
      </c>
      <c r="O214" s="32">
        <f t="shared" si="206"/>
        <v>0</v>
      </c>
      <c r="P214" s="32">
        <f t="shared" si="206"/>
        <v>0</v>
      </c>
      <c r="Q214" s="32">
        <f t="shared" si="206"/>
        <v>0</v>
      </c>
      <c r="R214" s="32">
        <f t="shared" si="206"/>
        <v>0</v>
      </c>
      <c r="S214" s="32">
        <f t="shared" si="206"/>
        <v>41.566752485486518</v>
      </c>
      <c r="T214" s="32">
        <f t="shared" si="206"/>
        <v>0</v>
      </c>
      <c r="U214" s="32">
        <f t="shared" si="206"/>
        <v>0</v>
      </c>
      <c r="V214" s="32">
        <f t="shared" si="206"/>
        <v>0</v>
      </c>
      <c r="W214" s="34">
        <f t="shared" ref="W214" si="207">SUM(G214:V214)</f>
        <v>1759026.8294097376</v>
      </c>
      <c r="X214" s="30" t="str">
        <f t="shared" ref="X214" si="208">IF(ABS(F214-W214)&lt;0.01,"ok","err")</f>
        <v>ok</v>
      </c>
      <c r="Y214" s="66" t="str">
        <f t="shared" ref="Y214" si="209">IF(X214="err",W214-F214,"")</f>
        <v/>
      </c>
    </row>
    <row r="215" spans="1:25" ht="12" customHeight="1" x14ac:dyDescent="0.25">
      <c r="F215" s="33"/>
    </row>
    <row r="216" spans="1:25" ht="12" customHeight="1" x14ac:dyDescent="0.25">
      <c r="A216" s="4" t="s">
        <v>127</v>
      </c>
      <c r="F216" s="33"/>
    </row>
    <row r="217" spans="1:25" ht="12" customHeight="1" x14ac:dyDescent="0.25">
      <c r="A217" s="39" t="s">
        <v>378</v>
      </c>
      <c r="C217" s="29" t="s">
        <v>785</v>
      </c>
      <c r="D217" s="29" t="s">
        <v>649</v>
      </c>
      <c r="E217" s="29" t="s">
        <v>2308</v>
      </c>
      <c r="F217" s="32">
        <f>VLOOKUP(C217,'WSS-26'!$C$1:$AU$617,27,)</f>
        <v>10652700.500883294</v>
      </c>
      <c r="G217" s="32">
        <f t="shared" ref="G217:V217" si="210">IF(VLOOKUP($E217,$D$5:$V$970,3,)=0,0,(VLOOKUP($E217,$D$5:$V$970,G$1,)/VLOOKUP($E217,$D$5:$V$970,3,))*$F217)</f>
        <v>6555924.0601532599</v>
      </c>
      <c r="H217" s="32">
        <f t="shared" si="210"/>
        <v>2522039.5852314248</v>
      </c>
      <c r="I217" s="32">
        <f t="shared" si="210"/>
        <v>55400.264808037085</v>
      </c>
      <c r="J217" s="32">
        <f t="shared" si="210"/>
        <v>711516.34819789603</v>
      </c>
      <c r="K217" s="32">
        <f t="shared" si="210"/>
        <v>167335.06346315268</v>
      </c>
      <c r="L217" s="32">
        <f t="shared" si="210"/>
        <v>138237.51638614232</v>
      </c>
      <c r="M217" s="32">
        <f t="shared" si="210"/>
        <v>297584.30498328066</v>
      </c>
      <c r="N217" s="32">
        <f t="shared" si="210"/>
        <v>176434.99971292019</v>
      </c>
      <c r="O217" s="32">
        <f t="shared" si="210"/>
        <v>8916.7620791303052</v>
      </c>
      <c r="P217" s="32">
        <f t="shared" si="210"/>
        <v>0</v>
      </c>
      <c r="Q217" s="32">
        <f t="shared" si="210"/>
        <v>465.68033091302885</v>
      </c>
      <c r="R217" s="32">
        <f t="shared" si="210"/>
        <v>11491.788811240873</v>
      </c>
      <c r="S217" s="32">
        <f t="shared" si="210"/>
        <v>955.12672589769033</v>
      </c>
      <c r="T217" s="32">
        <f t="shared" si="210"/>
        <v>6398.9999999999991</v>
      </c>
      <c r="U217" s="32">
        <f t="shared" si="210"/>
        <v>0</v>
      </c>
      <c r="V217" s="32">
        <f t="shared" si="210"/>
        <v>0</v>
      </c>
      <c r="W217" s="34">
        <f t="shared" ref="W217" si="211">SUM(G217:V217)</f>
        <v>10652700.500883294</v>
      </c>
      <c r="X217" s="30" t="str">
        <f t="shared" ref="X217" si="212">IF(ABS(F217-W217)&lt;0.01,"ok","err")</f>
        <v>ok</v>
      </c>
      <c r="Y217" s="66" t="str">
        <f t="shared" ref="Y217" si="213">IF(X217="err",W217-F217,"")</f>
        <v/>
      </c>
    </row>
    <row r="218" spans="1:25" ht="12" customHeight="1" x14ac:dyDescent="0.25">
      <c r="F218" s="33"/>
    </row>
    <row r="219" spans="1:25" ht="12" customHeight="1" x14ac:dyDescent="0.25">
      <c r="A219" s="4" t="s">
        <v>144</v>
      </c>
      <c r="F219" s="33"/>
    </row>
    <row r="220" spans="1:25" ht="12" customHeight="1" x14ac:dyDescent="0.25">
      <c r="A220" s="39" t="s">
        <v>378</v>
      </c>
      <c r="C220" s="29" t="s">
        <v>785</v>
      </c>
      <c r="D220" s="29" t="s">
        <v>650</v>
      </c>
      <c r="E220" s="29" t="s">
        <v>381</v>
      </c>
      <c r="F220" s="32">
        <f>VLOOKUP(C220,'WSS-26'!$C$1:$AU$617,28,)</f>
        <v>2059591.9948740546</v>
      </c>
      <c r="G220" s="32">
        <f t="shared" ref="G220:V220" si="214">IF(VLOOKUP($E220,$D$5:$V$970,3,)=0,0,(VLOOKUP($E220,$D$5:$V$970,G$1,)/VLOOKUP($E220,$D$5:$V$970,3,))*$F220)</f>
        <v>0</v>
      </c>
      <c r="H220" s="32">
        <f t="shared" si="214"/>
        <v>0</v>
      </c>
      <c r="I220" s="32">
        <f t="shared" si="214"/>
        <v>0</v>
      </c>
      <c r="J220" s="32">
        <f t="shared" si="214"/>
        <v>0</v>
      </c>
      <c r="K220" s="32">
        <f t="shared" si="214"/>
        <v>0</v>
      </c>
      <c r="L220" s="32">
        <f t="shared" si="214"/>
        <v>0</v>
      </c>
      <c r="M220" s="32">
        <f t="shared" si="214"/>
        <v>0</v>
      </c>
      <c r="N220" s="32">
        <f t="shared" si="214"/>
        <v>0</v>
      </c>
      <c r="O220" s="32">
        <f t="shared" si="214"/>
        <v>0</v>
      </c>
      <c r="P220" s="32">
        <f t="shared" si="214"/>
        <v>2059591.9948740546</v>
      </c>
      <c r="Q220" s="32">
        <f t="shared" si="214"/>
        <v>0</v>
      </c>
      <c r="R220" s="32">
        <f t="shared" si="214"/>
        <v>0</v>
      </c>
      <c r="S220" s="32">
        <f t="shared" si="214"/>
        <v>0</v>
      </c>
      <c r="T220" s="32">
        <f t="shared" si="214"/>
        <v>0</v>
      </c>
      <c r="U220" s="32">
        <f t="shared" si="214"/>
        <v>0</v>
      </c>
      <c r="V220" s="32">
        <f t="shared" si="214"/>
        <v>0</v>
      </c>
      <c r="W220" s="34">
        <f t="shared" ref="W220" si="215">SUM(G220:V220)</f>
        <v>2059591.9948740546</v>
      </c>
      <c r="X220" s="30" t="str">
        <f t="shared" ref="X220" si="216">IF(ABS(F220-W220)&lt;0.01,"ok","err")</f>
        <v>ok</v>
      </c>
      <c r="Y220" s="66" t="str">
        <f t="shared" ref="Y220" si="217">IF(X220="err",W220-F220,"")</f>
        <v/>
      </c>
    </row>
    <row r="221" spans="1:25" ht="12" customHeight="1" x14ac:dyDescent="0.25">
      <c r="F221" s="33"/>
    </row>
    <row r="222" spans="1:25" ht="12" customHeight="1" x14ac:dyDescent="0.25">
      <c r="A222" s="4" t="s">
        <v>279</v>
      </c>
      <c r="F222" s="33"/>
    </row>
    <row r="223" spans="1:25" ht="12" customHeight="1" x14ac:dyDescent="0.25">
      <c r="A223" s="39" t="s">
        <v>378</v>
      </c>
      <c r="C223" s="29" t="s">
        <v>785</v>
      </c>
      <c r="D223" s="29" t="s">
        <v>651</v>
      </c>
      <c r="E223" s="29" t="s">
        <v>382</v>
      </c>
      <c r="F223" s="32">
        <f>VLOOKUP(C223,'WSS-26'!$C$1:$AU$617,30,)</f>
        <v>53856751.652274072</v>
      </c>
      <c r="G223" s="32">
        <f t="shared" ref="G223:V223" si="218">IF(VLOOKUP($E223,$D$5:$V$970,3,)=0,0,(VLOOKUP($E223,$D$5:$V$970,G$1,)/VLOOKUP($E223,$D$5:$V$970,3,))*$F223)</f>
        <v>34603960.800691962</v>
      </c>
      <c r="H223" s="32">
        <f t="shared" si="218"/>
        <v>13390329.318343114</v>
      </c>
      <c r="I223" s="32">
        <f t="shared" si="218"/>
        <v>442437.95874154469</v>
      </c>
      <c r="J223" s="32">
        <f t="shared" si="218"/>
        <v>1772130.5336690901</v>
      </c>
      <c r="K223" s="32">
        <f t="shared" si="218"/>
        <v>81668.655466629207</v>
      </c>
      <c r="L223" s="32">
        <f t="shared" si="218"/>
        <v>1466864.2001287772</v>
      </c>
      <c r="M223" s="32">
        <f t="shared" si="218"/>
        <v>513402.47004507197</v>
      </c>
      <c r="N223" s="32">
        <f t="shared" si="218"/>
        <v>49556.222977323552</v>
      </c>
      <c r="O223" s="32">
        <f t="shared" si="218"/>
        <v>3964.4978381858846</v>
      </c>
      <c r="P223" s="32">
        <f t="shared" si="218"/>
        <v>1523080.7794742528</v>
      </c>
      <c r="Q223" s="32">
        <f t="shared" si="218"/>
        <v>237.86987029115306</v>
      </c>
      <c r="R223" s="32">
        <f t="shared" si="218"/>
        <v>6739.6463249160033</v>
      </c>
      <c r="S223" s="32">
        <f t="shared" si="218"/>
        <v>2378.6987029115303</v>
      </c>
      <c r="T223" s="32">
        <f t="shared" si="218"/>
        <v>0</v>
      </c>
      <c r="U223" s="32">
        <f t="shared" si="218"/>
        <v>0</v>
      </c>
      <c r="V223" s="32">
        <f t="shared" si="218"/>
        <v>0</v>
      </c>
      <c r="W223" s="34">
        <f t="shared" ref="W223" si="219">SUM(G223:V223)</f>
        <v>53856751.65227408</v>
      </c>
      <c r="X223" s="30" t="str">
        <f t="shared" ref="X223" si="220">IF(ABS(F223-W223)&lt;0.01,"ok","err")</f>
        <v>ok</v>
      </c>
      <c r="Y223" s="66" t="str">
        <f t="shared" ref="Y223" si="221">IF(X223="err",W223-F223,"")</f>
        <v/>
      </c>
    </row>
    <row r="224" spans="1:25" ht="12" customHeight="1" x14ac:dyDescent="0.25">
      <c r="F224" s="33"/>
    </row>
    <row r="225" spans="1:25" ht="12" customHeight="1" x14ac:dyDescent="0.25">
      <c r="A225" s="4" t="s">
        <v>1596</v>
      </c>
      <c r="F225" s="33"/>
    </row>
    <row r="226" spans="1:25" ht="12" customHeight="1" x14ac:dyDescent="0.25">
      <c r="A226" s="39" t="s">
        <v>378</v>
      </c>
      <c r="C226" s="29" t="s">
        <v>785</v>
      </c>
      <c r="D226" s="29" t="s">
        <v>652</v>
      </c>
      <c r="E226" s="29" t="s">
        <v>382</v>
      </c>
      <c r="F226" s="32">
        <f>VLOOKUP(C226,'WSS-26'!$C$1:$AU$617,32,)</f>
        <v>6152747.020808869</v>
      </c>
      <c r="G226" s="32">
        <f t="shared" ref="G226:V226" si="222">IF(VLOOKUP($E226,$D$5:$V$970,3,)=0,0,(VLOOKUP($E226,$D$5:$V$970,G$1,)/VLOOKUP($E226,$D$5:$V$970,3,))*$F226)</f>
        <v>3953253.9596760916</v>
      </c>
      <c r="H226" s="32">
        <f t="shared" si="222"/>
        <v>1529748.9412844395</v>
      </c>
      <c r="I226" s="32">
        <f t="shared" si="222"/>
        <v>50545.358734513517</v>
      </c>
      <c r="J226" s="32">
        <f t="shared" si="222"/>
        <v>202453.18417856219</v>
      </c>
      <c r="K226" s="32">
        <f t="shared" si="222"/>
        <v>9330.0572574460421</v>
      </c>
      <c r="L226" s="32">
        <f t="shared" si="222"/>
        <v>167578.69831335125</v>
      </c>
      <c r="M226" s="32">
        <f t="shared" si="222"/>
        <v>58652.544409672941</v>
      </c>
      <c r="N226" s="32">
        <f t="shared" si="222"/>
        <v>5661.442510586191</v>
      </c>
      <c r="O226" s="32">
        <f t="shared" si="222"/>
        <v>452.9154008468953</v>
      </c>
      <c r="P226" s="32">
        <f t="shared" si="222"/>
        <v>174001.03869736023</v>
      </c>
      <c r="Q226" s="32">
        <f t="shared" si="222"/>
        <v>27.174924050813718</v>
      </c>
      <c r="R226" s="32">
        <f t="shared" si="222"/>
        <v>769.95618143972206</v>
      </c>
      <c r="S226" s="32">
        <f t="shared" si="222"/>
        <v>271.74924050813718</v>
      </c>
      <c r="T226" s="32">
        <f t="shared" si="222"/>
        <v>0</v>
      </c>
      <c r="U226" s="32">
        <f t="shared" si="222"/>
        <v>0</v>
      </c>
      <c r="V226" s="32">
        <f t="shared" si="222"/>
        <v>0</v>
      </c>
      <c r="W226" s="34">
        <f t="shared" ref="W226" si="223">SUM(G226:V226)</f>
        <v>6152747.0208088681</v>
      </c>
      <c r="X226" s="30" t="str">
        <f t="shared" ref="X226" si="224">IF(ABS(F226-W226)&lt;0.01,"ok","err")</f>
        <v>ok</v>
      </c>
      <c r="Y226" s="66" t="str">
        <f t="shared" ref="Y226" si="225">IF(X226="err",W226-F226,"")</f>
        <v/>
      </c>
    </row>
    <row r="227" spans="1:25" ht="12" customHeight="1" x14ac:dyDescent="0.25">
      <c r="F227" s="33"/>
    </row>
    <row r="228" spans="1:25" ht="12" customHeight="1" x14ac:dyDescent="0.25">
      <c r="A228" s="4" t="s">
        <v>1595</v>
      </c>
      <c r="F228" s="33"/>
    </row>
    <row r="229" spans="1:25" ht="12" customHeight="1" x14ac:dyDescent="0.25">
      <c r="A229" s="39" t="s">
        <v>378</v>
      </c>
      <c r="C229" s="29" t="s">
        <v>785</v>
      </c>
      <c r="D229" s="29" t="s">
        <v>653</v>
      </c>
      <c r="E229" s="29" t="s">
        <v>383</v>
      </c>
      <c r="F229" s="32">
        <f>VLOOKUP(C229,'WSS-26'!$C$1:$AU$617,34,)</f>
        <v>0</v>
      </c>
      <c r="G229" s="32">
        <f t="shared" ref="G229:V229" si="226">IF(VLOOKUP($E229,$D$5:$V$970,3,)=0,0,(VLOOKUP($E229,$D$5:$V$970,G$1,)/VLOOKUP($E229,$D$5:$V$970,3,))*$F229)</f>
        <v>0</v>
      </c>
      <c r="H229" s="32">
        <f t="shared" si="226"/>
        <v>0</v>
      </c>
      <c r="I229" s="32">
        <f t="shared" si="226"/>
        <v>0</v>
      </c>
      <c r="J229" s="32">
        <f t="shared" si="226"/>
        <v>0</v>
      </c>
      <c r="K229" s="32">
        <f t="shared" si="226"/>
        <v>0</v>
      </c>
      <c r="L229" s="32">
        <f t="shared" si="226"/>
        <v>0</v>
      </c>
      <c r="M229" s="32">
        <f t="shared" si="226"/>
        <v>0</v>
      </c>
      <c r="N229" s="32">
        <f t="shared" si="226"/>
        <v>0</v>
      </c>
      <c r="O229" s="32">
        <f t="shared" si="226"/>
        <v>0</v>
      </c>
      <c r="P229" s="32">
        <f t="shared" si="226"/>
        <v>0</v>
      </c>
      <c r="Q229" s="32">
        <f t="shared" si="226"/>
        <v>0</v>
      </c>
      <c r="R229" s="32">
        <f t="shared" si="226"/>
        <v>0</v>
      </c>
      <c r="S229" s="32">
        <f t="shared" si="226"/>
        <v>0</v>
      </c>
      <c r="T229" s="32">
        <f t="shared" si="226"/>
        <v>0</v>
      </c>
      <c r="U229" s="32">
        <f t="shared" si="226"/>
        <v>0</v>
      </c>
      <c r="V229" s="32">
        <f t="shared" si="226"/>
        <v>0</v>
      </c>
      <c r="W229" s="34">
        <f t="shared" ref="W229" si="227">SUM(G229:V229)</f>
        <v>0</v>
      </c>
      <c r="X229" s="30" t="str">
        <f t="shared" ref="X229" si="228">IF(ABS(F229-W229)&lt;0.01,"ok","err")</f>
        <v>ok</v>
      </c>
      <c r="Y229" s="66" t="str">
        <f t="shared" ref="Y229" si="229">IF(X229="err",W229-F229,"")</f>
        <v/>
      </c>
    </row>
    <row r="230" spans="1:25" ht="12" customHeight="1" x14ac:dyDescent="0.25">
      <c r="F230" s="33"/>
    </row>
    <row r="231" spans="1:25" ht="12" customHeight="1" x14ac:dyDescent="0.25">
      <c r="A231" s="29" t="s">
        <v>62</v>
      </c>
      <c r="D231" s="29" t="s">
        <v>390</v>
      </c>
      <c r="F231" s="32">
        <f>F186+F192+F195+F198+F206+F211+F214+F217+F220+F223+F226+F229</f>
        <v>884639920.98630178</v>
      </c>
      <c r="G231" s="32">
        <f>G186+G192+G195+G198+G206+G211+G214+G217+G220+G223+G226+G229</f>
        <v>356817400.31037533</v>
      </c>
      <c r="H231" s="32">
        <f t="shared" ref="H231:T231" si="230">H186+H192+H195+H198+H206+H211+H214+H217+H220+H223+H226+H229</f>
        <v>102469233.51670918</v>
      </c>
      <c r="I231" s="32">
        <f>I186+I192+I195+I198+I206+I211+I214+I217+I220+I223+I226+I229</f>
        <v>6588100.6923585907</v>
      </c>
      <c r="J231" s="32">
        <f>J186+J192+J195+J198+J206+J211+J214+J217+J220+J223+J226+J229</f>
        <v>81331675.083109096</v>
      </c>
      <c r="K231" s="32">
        <f>K186+K192+K195+K198+K206+K211+K214+K217+K220+K223+K226+K229</f>
        <v>6146819.8316383213</v>
      </c>
      <c r="L231" s="32">
        <f t="shared" si="230"/>
        <v>78715431.587423518</v>
      </c>
      <c r="M231" s="32">
        <f t="shared" si="230"/>
        <v>162791018.51228562</v>
      </c>
      <c r="N231" s="32">
        <f t="shared" si="230"/>
        <v>55826633.383301362</v>
      </c>
      <c r="O231" s="32">
        <f>O186+O192+O195+O198+O206+O211+O214+O217+O220+O223+O226+O229</f>
        <v>24039037.591600008</v>
      </c>
      <c r="P231" s="32">
        <f>P186+P192+P195+P198+P206+P211+P214+P217+P220+P223+P226+P229</f>
        <v>9675726.0009686593</v>
      </c>
      <c r="Q231" s="32">
        <f t="shared" si="230"/>
        <v>51761.051320721461</v>
      </c>
      <c r="R231" s="32">
        <f t="shared" si="230"/>
        <v>85524.198433378435</v>
      </c>
      <c r="S231" s="32">
        <f t="shared" si="230"/>
        <v>26861.69677784112</v>
      </c>
      <c r="T231" s="32">
        <f t="shared" si="230"/>
        <v>6398.9999999999991</v>
      </c>
      <c r="U231" s="32">
        <f t="shared" ref="U231:V231" si="231">U186+U192+U195+U198+U206+U211+U214+U217+U220+U223+U226+U229</f>
        <v>68298.53</v>
      </c>
      <c r="V231" s="32">
        <f t="shared" si="231"/>
        <v>0</v>
      </c>
      <c r="W231" s="34">
        <f>SUM(G231:V231)</f>
        <v>884639920.98630178</v>
      </c>
      <c r="X231" s="30" t="str">
        <f>IF(ABS(F231-W231)&lt;0.01,"ok","err")</f>
        <v>ok</v>
      </c>
      <c r="Y231" s="66" t="str">
        <f>IF(X231="err",W231-F231,"")</f>
        <v/>
      </c>
    </row>
    <row r="234" spans="1:25" ht="12" customHeight="1" x14ac:dyDescent="0.25">
      <c r="A234" s="3" t="s">
        <v>786</v>
      </c>
    </row>
    <row r="236" spans="1:25" ht="12" customHeight="1" x14ac:dyDescent="0.25">
      <c r="A236" s="4" t="s">
        <v>137</v>
      </c>
    </row>
    <row r="237" spans="1:25" ht="12" customHeight="1" x14ac:dyDescent="0.25">
      <c r="A237" s="39" t="s">
        <v>2133</v>
      </c>
      <c r="C237" s="29" t="s">
        <v>981</v>
      </c>
      <c r="D237" s="29" t="s">
        <v>654</v>
      </c>
      <c r="E237" s="29" t="s">
        <v>2132</v>
      </c>
      <c r="F237" s="32">
        <f>VLOOKUP(C237,'WSS-26'!$C$1:$AU$617,6,)</f>
        <v>54929541.827316046</v>
      </c>
      <c r="G237" s="32">
        <f t="shared" ref="G237:V242" si="232">IF(VLOOKUP($E237,$D$5:$V$970,3,)=0,0,(VLOOKUP($E237,$D$5:$V$970,G$1,)/VLOOKUP($E237,$D$5:$V$970,3,))*$F237)</f>
        <v>22728167.02866289</v>
      </c>
      <c r="H237" s="32">
        <f t="shared" si="232"/>
        <v>5155363.7540058503</v>
      </c>
      <c r="I237" s="32">
        <f t="shared" si="232"/>
        <v>348461.26945185236</v>
      </c>
      <c r="J237" s="32">
        <f t="shared" si="232"/>
        <v>5708402.693933459</v>
      </c>
      <c r="K237" s="32">
        <f t="shared" si="232"/>
        <v>394268.67624445015</v>
      </c>
      <c r="L237" s="32">
        <f t="shared" si="232"/>
        <v>5325496.8037145082</v>
      </c>
      <c r="M237" s="32">
        <f t="shared" si="232"/>
        <v>10401939.349760549</v>
      </c>
      <c r="N237" s="32">
        <f t="shared" si="232"/>
        <v>3406374.7255156483</v>
      </c>
      <c r="O237" s="32">
        <f t="shared" si="232"/>
        <v>1436599.5154483835</v>
      </c>
      <c r="P237" s="32">
        <f t="shared" si="232"/>
        <v>20884.652443974963</v>
      </c>
      <c r="Q237" s="32">
        <f t="shared" si="232"/>
        <v>238.20117209404361</v>
      </c>
      <c r="R237" s="32">
        <f t="shared" si="232"/>
        <v>2862.5572282998705</v>
      </c>
      <c r="S237" s="32">
        <f t="shared" si="232"/>
        <v>482.59973408527202</v>
      </c>
      <c r="T237" s="32">
        <f t="shared" si="232"/>
        <v>0</v>
      </c>
      <c r="U237" s="32">
        <f t="shared" si="232"/>
        <v>0</v>
      </c>
      <c r="V237" s="32">
        <f t="shared" si="232"/>
        <v>0</v>
      </c>
      <c r="W237" s="34">
        <f t="shared" ref="W237:W242" si="233">SUM(G237:V237)</f>
        <v>54929541.827316038</v>
      </c>
      <c r="X237" s="30" t="str">
        <f t="shared" ref="X237:X242" si="234">IF(ABS(F237-W237)&lt;0.01,"ok","err")</f>
        <v>ok</v>
      </c>
      <c r="Y237" s="66" t="str">
        <f t="shared" ref="Y237:Y242" si="235">IF(X237="err",W237-F237,"")</f>
        <v/>
      </c>
    </row>
    <row r="238" spans="1:25" ht="12" hidden="1" customHeight="1" x14ac:dyDescent="0.25">
      <c r="A238" s="39" t="s">
        <v>2134</v>
      </c>
      <c r="C238" s="29" t="s">
        <v>981</v>
      </c>
      <c r="D238" s="29" t="s">
        <v>655</v>
      </c>
      <c r="E238" s="29" t="s">
        <v>2132</v>
      </c>
      <c r="F238" s="33">
        <f>VLOOKUP(C238,'WSS-26'!$C$1:$AU$617,7,)</f>
        <v>0</v>
      </c>
      <c r="G238" s="32">
        <f t="shared" si="232"/>
        <v>0</v>
      </c>
      <c r="H238" s="32">
        <f t="shared" si="232"/>
        <v>0</v>
      </c>
      <c r="I238" s="32">
        <f t="shared" si="232"/>
        <v>0</v>
      </c>
      <c r="J238" s="32">
        <f t="shared" si="232"/>
        <v>0</v>
      </c>
      <c r="K238" s="32">
        <f t="shared" si="232"/>
        <v>0</v>
      </c>
      <c r="L238" s="32">
        <f t="shared" si="232"/>
        <v>0</v>
      </c>
      <c r="M238" s="32">
        <f t="shared" si="232"/>
        <v>0</v>
      </c>
      <c r="N238" s="32">
        <f t="shared" si="232"/>
        <v>0</v>
      </c>
      <c r="O238" s="32">
        <f t="shared" si="232"/>
        <v>0</v>
      </c>
      <c r="P238" s="32">
        <f t="shared" si="232"/>
        <v>0</v>
      </c>
      <c r="Q238" s="32">
        <f t="shared" si="232"/>
        <v>0</v>
      </c>
      <c r="R238" s="32">
        <f t="shared" si="232"/>
        <v>0</v>
      </c>
      <c r="S238" s="32">
        <f t="shared" si="232"/>
        <v>0</v>
      </c>
      <c r="T238" s="32">
        <f t="shared" si="232"/>
        <v>0</v>
      </c>
      <c r="U238" s="32">
        <f t="shared" si="232"/>
        <v>0</v>
      </c>
      <c r="V238" s="32">
        <f t="shared" si="232"/>
        <v>0</v>
      </c>
      <c r="W238" s="34">
        <f t="shared" si="233"/>
        <v>0</v>
      </c>
      <c r="X238" s="30" t="str">
        <f t="shared" si="234"/>
        <v>ok</v>
      </c>
      <c r="Y238" s="66" t="str">
        <f t="shared" si="235"/>
        <v/>
      </c>
    </row>
    <row r="239" spans="1:25" ht="12" hidden="1" customHeight="1" x14ac:dyDescent="0.25">
      <c r="A239" s="39" t="s">
        <v>2134</v>
      </c>
      <c r="C239" s="29" t="s">
        <v>981</v>
      </c>
      <c r="D239" s="29" t="s">
        <v>656</v>
      </c>
      <c r="E239" s="29" t="s">
        <v>2132</v>
      </c>
      <c r="F239" s="33">
        <f>VLOOKUP(C239,'WSS-26'!$C$1:$AU$617,8,)</f>
        <v>0</v>
      </c>
      <c r="G239" s="32">
        <f t="shared" si="232"/>
        <v>0</v>
      </c>
      <c r="H239" s="32">
        <f t="shared" si="232"/>
        <v>0</v>
      </c>
      <c r="I239" s="32">
        <f t="shared" si="232"/>
        <v>0</v>
      </c>
      <c r="J239" s="32">
        <f t="shared" si="232"/>
        <v>0</v>
      </c>
      <c r="K239" s="32">
        <f t="shared" si="232"/>
        <v>0</v>
      </c>
      <c r="L239" s="32">
        <f t="shared" si="232"/>
        <v>0</v>
      </c>
      <c r="M239" s="32">
        <f t="shared" si="232"/>
        <v>0</v>
      </c>
      <c r="N239" s="32">
        <f t="shared" si="232"/>
        <v>0</v>
      </c>
      <c r="O239" s="32">
        <f t="shared" si="232"/>
        <v>0</v>
      </c>
      <c r="P239" s="32">
        <f t="shared" si="232"/>
        <v>0</v>
      </c>
      <c r="Q239" s="32">
        <f t="shared" si="232"/>
        <v>0</v>
      </c>
      <c r="R239" s="32">
        <f t="shared" si="232"/>
        <v>0</v>
      </c>
      <c r="S239" s="32">
        <f t="shared" si="232"/>
        <v>0</v>
      </c>
      <c r="T239" s="32">
        <f t="shared" si="232"/>
        <v>0</v>
      </c>
      <c r="U239" s="32">
        <f t="shared" si="232"/>
        <v>0</v>
      </c>
      <c r="V239" s="32">
        <f t="shared" si="232"/>
        <v>0</v>
      </c>
      <c r="W239" s="34">
        <f t="shared" si="233"/>
        <v>0</v>
      </c>
      <c r="X239" s="30" t="str">
        <f t="shared" si="234"/>
        <v>ok</v>
      </c>
      <c r="Y239" s="66" t="str">
        <f t="shared" si="235"/>
        <v/>
      </c>
    </row>
    <row r="240" spans="1:25" ht="12" customHeight="1" x14ac:dyDescent="0.25">
      <c r="A240" s="39" t="s">
        <v>2136</v>
      </c>
      <c r="C240" s="29" t="s">
        <v>981</v>
      </c>
      <c r="D240" s="29" t="s">
        <v>1598</v>
      </c>
      <c r="E240" s="29" t="s">
        <v>376</v>
      </c>
      <c r="F240" s="33">
        <f>VLOOKUP(C240,'WSS-26'!$C$1:$AU$617,9,)</f>
        <v>37955045.527512059</v>
      </c>
      <c r="G240" s="32">
        <f t="shared" si="232"/>
        <v>12802992.993272845</v>
      </c>
      <c r="H240" s="32">
        <f t="shared" si="232"/>
        <v>3735069.7589702476</v>
      </c>
      <c r="I240" s="32">
        <f t="shared" si="232"/>
        <v>283753.8827185285</v>
      </c>
      <c r="J240" s="32">
        <f t="shared" si="232"/>
        <v>3882323.853478522</v>
      </c>
      <c r="K240" s="32">
        <f t="shared" si="232"/>
        <v>302014.93783660798</v>
      </c>
      <c r="L240" s="32">
        <f t="shared" si="232"/>
        <v>3945327.3480807063</v>
      </c>
      <c r="M240" s="32">
        <f t="shared" si="232"/>
        <v>8437277.86433696</v>
      </c>
      <c r="N240" s="32">
        <f t="shared" si="232"/>
        <v>3019102.4986599069</v>
      </c>
      <c r="O240" s="32">
        <f t="shared" si="232"/>
        <v>1276163.1053561661</v>
      </c>
      <c r="P240" s="32">
        <f t="shared" si="232"/>
        <v>263993.72226196987</v>
      </c>
      <c r="Q240" s="32">
        <f t="shared" si="232"/>
        <v>2852.3853750177104</v>
      </c>
      <c r="R240" s="32">
        <f t="shared" si="232"/>
        <v>3368.9525810598575</v>
      </c>
      <c r="S240" s="32">
        <f t="shared" si="232"/>
        <v>804.22458351204762</v>
      </c>
      <c r="T240" s="32">
        <f t="shared" si="232"/>
        <v>0</v>
      </c>
      <c r="U240" s="32">
        <f t="shared" si="232"/>
        <v>0</v>
      </c>
      <c r="V240" s="32">
        <f t="shared" si="232"/>
        <v>0</v>
      </c>
      <c r="W240" s="34">
        <f t="shared" si="233"/>
        <v>37955045.527512051</v>
      </c>
      <c r="X240" s="30" t="str">
        <f t="shared" si="234"/>
        <v>ok</v>
      </c>
      <c r="Y240" s="66" t="str">
        <f t="shared" si="235"/>
        <v/>
      </c>
    </row>
    <row r="241" spans="1:25" ht="12" hidden="1" customHeight="1" x14ac:dyDescent="0.25">
      <c r="A241" s="39" t="s">
        <v>2135</v>
      </c>
      <c r="C241" s="29" t="s">
        <v>981</v>
      </c>
      <c r="D241" s="29" t="s">
        <v>1599</v>
      </c>
      <c r="E241" s="29" t="s">
        <v>376</v>
      </c>
      <c r="F241" s="33">
        <f>VLOOKUP(C241,'WSS-26'!$C$1:$AU$617,10,)</f>
        <v>0</v>
      </c>
      <c r="G241" s="32">
        <f t="shared" si="232"/>
        <v>0</v>
      </c>
      <c r="H241" s="32">
        <f t="shared" si="232"/>
        <v>0</v>
      </c>
      <c r="I241" s="32">
        <f t="shared" si="232"/>
        <v>0</v>
      </c>
      <c r="J241" s="32">
        <f t="shared" si="232"/>
        <v>0</v>
      </c>
      <c r="K241" s="32">
        <f t="shared" si="232"/>
        <v>0</v>
      </c>
      <c r="L241" s="32">
        <f t="shared" si="232"/>
        <v>0</v>
      </c>
      <c r="M241" s="32">
        <f t="shared" si="232"/>
        <v>0</v>
      </c>
      <c r="N241" s="32">
        <f t="shared" si="232"/>
        <v>0</v>
      </c>
      <c r="O241" s="32">
        <f t="shared" si="232"/>
        <v>0</v>
      </c>
      <c r="P241" s="32">
        <f t="shared" si="232"/>
        <v>0</v>
      </c>
      <c r="Q241" s="32">
        <f t="shared" si="232"/>
        <v>0</v>
      </c>
      <c r="R241" s="32">
        <f t="shared" si="232"/>
        <v>0</v>
      </c>
      <c r="S241" s="32">
        <f t="shared" si="232"/>
        <v>0</v>
      </c>
      <c r="T241" s="32">
        <f t="shared" si="232"/>
        <v>0</v>
      </c>
      <c r="U241" s="32">
        <f t="shared" si="232"/>
        <v>0</v>
      </c>
      <c r="V241" s="32">
        <f t="shared" si="232"/>
        <v>0</v>
      </c>
      <c r="W241" s="34">
        <f t="shared" si="233"/>
        <v>0</v>
      </c>
      <c r="X241" s="30" t="str">
        <f t="shared" si="234"/>
        <v>ok</v>
      </c>
      <c r="Y241" s="66" t="str">
        <f t="shared" si="235"/>
        <v/>
      </c>
    </row>
    <row r="242" spans="1:25" ht="12" hidden="1" customHeight="1" x14ac:dyDescent="0.25">
      <c r="A242" s="39" t="s">
        <v>2135</v>
      </c>
      <c r="C242" s="29" t="s">
        <v>981</v>
      </c>
      <c r="D242" s="29" t="s">
        <v>1600</v>
      </c>
      <c r="E242" s="29" t="s">
        <v>376</v>
      </c>
      <c r="F242" s="33">
        <f>VLOOKUP(C242,'WSS-26'!$C$1:$AU$617,11,)</f>
        <v>0</v>
      </c>
      <c r="G242" s="32">
        <f t="shared" si="232"/>
        <v>0</v>
      </c>
      <c r="H242" s="32">
        <f t="shared" si="232"/>
        <v>0</v>
      </c>
      <c r="I242" s="32">
        <f t="shared" si="232"/>
        <v>0</v>
      </c>
      <c r="J242" s="32">
        <f t="shared" si="232"/>
        <v>0</v>
      </c>
      <c r="K242" s="32">
        <f t="shared" si="232"/>
        <v>0</v>
      </c>
      <c r="L242" s="32">
        <f t="shared" si="232"/>
        <v>0</v>
      </c>
      <c r="M242" s="32">
        <f t="shared" si="232"/>
        <v>0</v>
      </c>
      <c r="N242" s="32">
        <f t="shared" si="232"/>
        <v>0</v>
      </c>
      <c r="O242" s="32">
        <f t="shared" si="232"/>
        <v>0</v>
      </c>
      <c r="P242" s="32">
        <f t="shared" si="232"/>
        <v>0</v>
      </c>
      <c r="Q242" s="32">
        <f t="shared" si="232"/>
        <v>0</v>
      </c>
      <c r="R242" s="32">
        <f t="shared" si="232"/>
        <v>0</v>
      </c>
      <c r="S242" s="32">
        <f t="shared" si="232"/>
        <v>0</v>
      </c>
      <c r="T242" s="32">
        <f t="shared" si="232"/>
        <v>0</v>
      </c>
      <c r="U242" s="32">
        <f t="shared" si="232"/>
        <v>0</v>
      </c>
      <c r="V242" s="32">
        <f t="shared" si="232"/>
        <v>0</v>
      </c>
      <c r="W242" s="34">
        <f t="shared" si="233"/>
        <v>0</v>
      </c>
      <c r="X242" s="30" t="str">
        <f t="shared" si="234"/>
        <v>ok</v>
      </c>
      <c r="Y242" s="66" t="str">
        <f t="shared" si="235"/>
        <v/>
      </c>
    </row>
    <row r="243" spans="1:25" ht="12" customHeight="1" x14ac:dyDescent="0.25">
      <c r="A243" s="29" t="s">
        <v>160</v>
      </c>
      <c r="D243" s="29" t="s">
        <v>391</v>
      </c>
      <c r="F243" s="32">
        <f t="shared" ref="F243:T243" si="236">SUM(F237:F242)</f>
        <v>92884587.354828104</v>
      </c>
      <c r="G243" s="32">
        <f t="shared" si="236"/>
        <v>35531160.021935731</v>
      </c>
      <c r="H243" s="32">
        <f t="shared" si="236"/>
        <v>8890433.5129760988</v>
      </c>
      <c r="I243" s="32">
        <f>SUM(I237:I242)</f>
        <v>632215.15217038081</v>
      </c>
      <c r="J243" s="32">
        <f>SUM(J237:J242)</f>
        <v>9590726.547411982</v>
      </c>
      <c r="K243" s="32">
        <f>SUM(K237:K242)</f>
        <v>696283.61408105819</v>
      </c>
      <c r="L243" s="32">
        <f t="shared" si="236"/>
        <v>9270824.151795214</v>
      </c>
      <c r="M243" s="32">
        <f t="shared" si="236"/>
        <v>18839217.214097507</v>
      </c>
      <c r="N243" s="32">
        <f t="shared" si="236"/>
        <v>6425477.2241755556</v>
      </c>
      <c r="O243" s="32">
        <f t="shared" si="236"/>
        <v>2712762.6208045497</v>
      </c>
      <c r="P243" s="32">
        <f>SUM(P237:P242)</f>
        <v>284878.37470594485</v>
      </c>
      <c r="Q243" s="32">
        <f t="shared" si="236"/>
        <v>3090.586547111754</v>
      </c>
      <c r="R243" s="32">
        <f t="shared" si="236"/>
        <v>6231.509809359728</v>
      </c>
      <c r="S243" s="32">
        <f t="shared" si="236"/>
        <v>1286.8243175973196</v>
      </c>
      <c r="T243" s="32">
        <f t="shared" si="236"/>
        <v>0</v>
      </c>
      <c r="U243" s="32">
        <f t="shared" ref="U243:V243" si="237">SUM(U237:U242)</f>
        <v>0</v>
      </c>
      <c r="V243" s="32">
        <f t="shared" si="237"/>
        <v>0</v>
      </c>
      <c r="W243" s="34">
        <f t="shared" ref="W243" si="238">SUM(G243:V243)</f>
        <v>92884587.354828089</v>
      </c>
      <c r="X243" s="30" t="str">
        <f t="shared" ref="X243" si="239">IF(ABS(F243-W243)&lt;0.01,"ok","err")</f>
        <v>ok</v>
      </c>
      <c r="Y243" s="34" t="str">
        <f t="shared" ref="Y243" si="240">IF(X243="err",W243-F243,"")</f>
        <v/>
      </c>
    </row>
    <row r="244" spans="1:25" ht="12" customHeight="1" x14ac:dyDescent="0.25">
      <c r="F244" s="33"/>
      <c r="G244" s="33"/>
    </row>
    <row r="245" spans="1:25" ht="12" customHeight="1" x14ac:dyDescent="0.25">
      <c r="A245" s="4" t="s">
        <v>426</v>
      </c>
      <c r="F245" s="33"/>
      <c r="G245" s="33"/>
    </row>
    <row r="246" spans="1:25" ht="12" customHeight="1" x14ac:dyDescent="0.25">
      <c r="A246" s="39" t="s">
        <v>2124</v>
      </c>
      <c r="C246" s="29" t="s">
        <v>981</v>
      </c>
      <c r="D246" s="29" t="s">
        <v>1601</v>
      </c>
      <c r="E246" s="29" t="s">
        <v>2125</v>
      </c>
      <c r="F246" s="32">
        <f>VLOOKUP(C246,'WSS-26'!$C$1:$AU$617,13,)</f>
        <v>10649659.821988253</v>
      </c>
      <c r="G246" s="32">
        <f t="shared" ref="G246:V248" si="241">IF(VLOOKUP($E246,$D$5:$V$970,3,)=0,0,(VLOOKUP($E246,$D$5:$V$970,G$1,)/VLOOKUP($E246,$D$5:$V$970,3,))*$F246)</f>
        <v>4574607.1656909967</v>
      </c>
      <c r="H246" s="32">
        <f t="shared" si="241"/>
        <v>1349486.534768678</v>
      </c>
      <c r="I246" s="32">
        <f t="shared" si="241"/>
        <v>119360.72785802564</v>
      </c>
      <c r="J246" s="32">
        <f t="shared" si="241"/>
        <v>1018122.6472575528</v>
      </c>
      <c r="K246" s="32">
        <f t="shared" si="241"/>
        <v>67457.841420036639</v>
      </c>
      <c r="L246" s="32">
        <f t="shared" si="241"/>
        <v>812308.69946895482</v>
      </c>
      <c r="M246" s="32">
        <f t="shared" si="241"/>
        <v>1735102.3822298753</v>
      </c>
      <c r="N246" s="32">
        <f t="shared" si="241"/>
        <v>555211.27917916491</v>
      </c>
      <c r="O246" s="32">
        <f t="shared" si="241"/>
        <v>339556.11441813066</v>
      </c>
      <c r="P246" s="32">
        <f t="shared" si="241"/>
        <v>75782.870912205326</v>
      </c>
      <c r="Q246" s="32">
        <f t="shared" si="241"/>
        <v>894.19511931549062</v>
      </c>
      <c r="R246" s="32">
        <f t="shared" si="241"/>
        <v>492.02768681135825</v>
      </c>
      <c r="S246" s="32">
        <f t="shared" si="241"/>
        <v>1277.3359785021557</v>
      </c>
      <c r="T246" s="32">
        <f t="shared" si="241"/>
        <v>0</v>
      </c>
      <c r="U246" s="32">
        <f t="shared" si="241"/>
        <v>0</v>
      </c>
      <c r="V246" s="32">
        <f t="shared" si="241"/>
        <v>0</v>
      </c>
      <c r="W246" s="34">
        <f>SUM(G246:V246)</f>
        <v>10649659.821988251</v>
      </c>
      <c r="X246" s="30" t="str">
        <f t="shared" ref="X246:X248" si="242">IF(ABS(F246-W246)&lt;0.01,"ok","err")</f>
        <v>ok</v>
      </c>
      <c r="Y246" s="66" t="str">
        <f t="shared" ref="Y246:Y248" si="243">IF(X246="err",W246-F246,"")</f>
        <v/>
      </c>
    </row>
    <row r="247" spans="1:25" ht="12" hidden="1" customHeight="1" x14ac:dyDescent="0.25">
      <c r="A247" s="39" t="s">
        <v>2123</v>
      </c>
      <c r="C247" s="29" t="s">
        <v>981</v>
      </c>
      <c r="D247" s="29" t="s">
        <v>1602</v>
      </c>
      <c r="E247" s="29" t="s">
        <v>2125</v>
      </c>
      <c r="F247" s="33">
        <f>VLOOKUP(C247,'WSS-26'!$C$1:$AU$617,14,)</f>
        <v>0</v>
      </c>
      <c r="G247" s="32">
        <f t="shared" si="241"/>
        <v>0</v>
      </c>
      <c r="H247" s="32">
        <f t="shared" si="241"/>
        <v>0</v>
      </c>
      <c r="I247" s="32">
        <f t="shared" si="241"/>
        <v>0</v>
      </c>
      <c r="J247" s="32">
        <f t="shared" si="241"/>
        <v>0</v>
      </c>
      <c r="K247" s="32">
        <f t="shared" si="241"/>
        <v>0</v>
      </c>
      <c r="L247" s="32">
        <f t="shared" si="241"/>
        <v>0</v>
      </c>
      <c r="M247" s="32">
        <f t="shared" si="241"/>
        <v>0</v>
      </c>
      <c r="N247" s="32">
        <f t="shared" si="241"/>
        <v>0</v>
      </c>
      <c r="O247" s="32">
        <f t="shared" si="241"/>
        <v>0</v>
      </c>
      <c r="P247" s="32">
        <f t="shared" si="241"/>
        <v>0</v>
      </c>
      <c r="Q247" s="32">
        <f t="shared" si="241"/>
        <v>0</v>
      </c>
      <c r="R247" s="32">
        <f t="shared" si="241"/>
        <v>0</v>
      </c>
      <c r="S247" s="32">
        <f t="shared" si="241"/>
        <v>0</v>
      </c>
      <c r="T247" s="32">
        <f t="shared" si="241"/>
        <v>0</v>
      </c>
      <c r="U247" s="32">
        <f t="shared" si="241"/>
        <v>0</v>
      </c>
      <c r="V247" s="32">
        <f t="shared" si="241"/>
        <v>0</v>
      </c>
      <c r="W247" s="34">
        <f>SUM(G247:V247)</f>
        <v>0</v>
      </c>
      <c r="X247" s="30" t="str">
        <f t="shared" si="242"/>
        <v>ok</v>
      </c>
      <c r="Y247" s="66" t="str">
        <f t="shared" si="243"/>
        <v/>
      </c>
    </row>
    <row r="248" spans="1:25" ht="12" hidden="1" customHeight="1" x14ac:dyDescent="0.25">
      <c r="A248" s="39" t="s">
        <v>2123</v>
      </c>
      <c r="C248" s="29" t="s">
        <v>981</v>
      </c>
      <c r="D248" s="29" t="s">
        <v>1603</v>
      </c>
      <c r="E248" s="29" t="s">
        <v>2125</v>
      </c>
      <c r="F248" s="33">
        <f>VLOOKUP(C248,'WSS-26'!$C$1:$AU$617,15,)</f>
        <v>0</v>
      </c>
      <c r="G248" s="32">
        <f t="shared" si="241"/>
        <v>0</v>
      </c>
      <c r="H248" s="32">
        <f t="shared" si="241"/>
        <v>0</v>
      </c>
      <c r="I248" s="32">
        <f t="shared" si="241"/>
        <v>0</v>
      </c>
      <c r="J248" s="32">
        <f t="shared" si="241"/>
        <v>0</v>
      </c>
      <c r="K248" s="32">
        <f t="shared" si="241"/>
        <v>0</v>
      </c>
      <c r="L248" s="32">
        <f t="shared" si="241"/>
        <v>0</v>
      </c>
      <c r="M248" s="32">
        <f t="shared" si="241"/>
        <v>0</v>
      </c>
      <c r="N248" s="32">
        <f t="shared" si="241"/>
        <v>0</v>
      </c>
      <c r="O248" s="32">
        <f t="shared" si="241"/>
        <v>0</v>
      </c>
      <c r="P248" s="32">
        <f t="shared" si="241"/>
        <v>0</v>
      </c>
      <c r="Q248" s="32">
        <f t="shared" si="241"/>
        <v>0</v>
      </c>
      <c r="R248" s="32">
        <f t="shared" si="241"/>
        <v>0</v>
      </c>
      <c r="S248" s="32">
        <f t="shared" si="241"/>
        <v>0</v>
      </c>
      <c r="T248" s="32">
        <f t="shared" si="241"/>
        <v>0</v>
      </c>
      <c r="U248" s="32">
        <f t="shared" si="241"/>
        <v>0</v>
      </c>
      <c r="V248" s="32">
        <f t="shared" si="241"/>
        <v>0</v>
      </c>
      <c r="W248" s="34">
        <f>SUM(G248:V248)</f>
        <v>0</v>
      </c>
      <c r="X248" s="30" t="str">
        <f t="shared" si="242"/>
        <v>ok</v>
      </c>
      <c r="Y248" s="66" t="str">
        <f t="shared" si="243"/>
        <v/>
      </c>
    </row>
    <row r="249" spans="1:25" ht="12" hidden="1" customHeight="1" x14ac:dyDescent="0.25">
      <c r="A249" s="29" t="s">
        <v>428</v>
      </c>
      <c r="D249" s="29" t="s">
        <v>1604</v>
      </c>
      <c r="F249" s="32">
        <f t="shared" ref="F249:T249" si="244">SUM(F246:F248)</f>
        <v>10649659.821988253</v>
      </c>
      <c r="G249" s="32">
        <f t="shared" si="244"/>
        <v>4574607.1656909967</v>
      </c>
      <c r="H249" s="32">
        <f t="shared" si="244"/>
        <v>1349486.534768678</v>
      </c>
      <c r="I249" s="32">
        <f>SUM(I246:I248)</f>
        <v>119360.72785802564</v>
      </c>
      <c r="J249" s="32">
        <f>SUM(J246:J248)</f>
        <v>1018122.6472575528</v>
      </c>
      <c r="K249" s="32">
        <f>SUM(K246:K248)</f>
        <v>67457.841420036639</v>
      </c>
      <c r="L249" s="32">
        <f t="shared" si="244"/>
        <v>812308.69946895482</v>
      </c>
      <c r="M249" s="32">
        <f t="shared" si="244"/>
        <v>1735102.3822298753</v>
      </c>
      <c r="N249" s="32">
        <f t="shared" si="244"/>
        <v>555211.27917916491</v>
      </c>
      <c r="O249" s="32">
        <f t="shared" si="244"/>
        <v>339556.11441813066</v>
      </c>
      <c r="P249" s="32">
        <f>SUM(P246:P248)</f>
        <v>75782.870912205326</v>
      </c>
      <c r="Q249" s="32">
        <f t="shared" si="244"/>
        <v>894.19511931549062</v>
      </c>
      <c r="R249" s="32">
        <f t="shared" si="244"/>
        <v>492.02768681135825</v>
      </c>
      <c r="S249" s="32">
        <f t="shared" si="244"/>
        <v>1277.3359785021557</v>
      </c>
      <c r="T249" s="32">
        <f t="shared" si="244"/>
        <v>0</v>
      </c>
      <c r="U249" s="32">
        <f t="shared" ref="U249:V249" si="245">SUM(U246:U248)</f>
        <v>0</v>
      </c>
      <c r="V249" s="32">
        <f t="shared" si="245"/>
        <v>0</v>
      </c>
      <c r="W249" s="34">
        <f>SUM(G249:V249)</f>
        <v>10649659.821988251</v>
      </c>
      <c r="X249" s="30" t="str">
        <f>IF(ABS(F249-W249)&lt;0.01,"ok","err")</f>
        <v>ok</v>
      </c>
      <c r="Y249" s="34" t="str">
        <f>IF(X249="err",W249-F249,"")</f>
        <v/>
      </c>
    </row>
    <row r="250" spans="1:25" ht="12" customHeight="1" x14ac:dyDescent="0.25">
      <c r="F250" s="33"/>
      <c r="G250" s="33"/>
    </row>
    <row r="251" spans="1:25" ht="12" customHeight="1" x14ac:dyDescent="0.25">
      <c r="A251" s="4" t="s">
        <v>1593</v>
      </c>
      <c r="F251" s="33"/>
      <c r="G251" s="33"/>
    </row>
    <row r="252" spans="1:25" ht="12" customHeight="1" x14ac:dyDescent="0.25">
      <c r="A252" s="39" t="s">
        <v>145</v>
      </c>
      <c r="C252" s="29" t="s">
        <v>981</v>
      </c>
      <c r="D252" s="29" t="s">
        <v>1605</v>
      </c>
      <c r="E252" s="29" t="s">
        <v>2129</v>
      </c>
      <c r="F252" s="32">
        <f>VLOOKUP(C252,'WSS-26'!$C$1:$AU$617,17,)</f>
        <v>0</v>
      </c>
      <c r="G252" s="32">
        <f t="shared" ref="G252:V252" si="246">IF(VLOOKUP($E252,$D$5:$V$970,3,)=0,0,(VLOOKUP($E252,$D$5:$V$970,G$1,)/VLOOKUP($E252,$D$5:$V$970,3,))*$F252)</f>
        <v>0</v>
      </c>
      <c r="H252" s="32">
        <f t="shared" si="246"/>
        <v>0</v>
      </c>
      <c r="I252" s="32">
        <f t="shared" si="246"/>
        <v>0</v>
      </c>
      <c r="J252" s="32">
        <f t="shared" si="246"/>
        <v>0</v>
      </c>
      <c r="K252" s="32">
        <f t="shared" si="246"/>
        <v>0</v>
      </c>
      <c r="L252" s="32">
        <f t="shared" si="246"/>
        <v>0</v>
      </c>
      <c r="M252" s="32">
        <f t="shared" si="246"/>
        <v>0</v>
      </c>
      <c r="N252" s="32">
        <f t="shared" si="246"/>
        <v>0</v>
      </c>
      <c r="O252" s="32">
        <f t="shared" si="246"/>
        <v>0</v>
      </c>
      <c r="P252" s="32">
        <f t="shared" si="246"/>
        <v>0</v>
      </c>
      <c r="Q252" s="32">
        <f t="shared" si="246"/>
        <v>0</v>
      </c>
      <c r="R252" s="32">
        <f t="shared" si="246"/>
        <v>0</v>
      </c>
      <c r="S252" s="32">
        <f t="shared" si="246"/>
        <v>0</v>
      </c>
      <c r="T252" s="32">
        <f t="shared" si="246"/>
        <v>0</v>
      </c>
      <c r="U252" s="32">
        <f t="shared" si="246"/>
        <v>0</v>
      </c>
      <c r="V252" s="32">
        <f t="shared" si="246"/>
        <v>0</v>
      </c>
      <c r="W252" s="34">
        <f t="shared" ref="W252" si="247">SUM(G252:V252)</f>
        <v>0</v>
      </c>
      <c r="X252" s="30" t="str">
        <f t="shared" ref="X252" si="248">IF(ABS(F252-W252)&lt;0.01,"ok","err")</f>
        <v>ok</v>
      </c>
      <c r="Y252" s="66" t="str">
        <f t="shared" ref="Y252" si="249">IF(X252="err",W252-F252,"")</f>
        <v/>
      </c>
    </row>
    <row r="253" spans="1:25" ht="12" customHeight="1" x14ac:dyDescent="0.25">
      <c r="F253" s="33"/>
    </row>
    <row r="254" spans="1:25" ht="12" customHeight="1" x14ac:dyDescent="0.25">
      <c r="A254" s="4" t="s">
        <v>1594</v>
      </c>
      <c r="F254" s="33"/>
      <c r="G254" s="33"/>
    </row>
    <row r="255" spans="1:25" ht="12" customHeight="1" x14ac:dyDescent="0.25">
      <c r="A255" s="39" t="s">
        <v>147</v>
      </c>
      <c r="C255" s="29" t="s">
        <v>981</v>
      </c>
      <c r="D255" s="29" t="s">
        <v>1606</v>
      </c>
      <c r="E255" s="29" t="s">
        <v>2129</v>
      </c>
      <c r="F255" s="32">
        <f>VLOOKUP(C255,'WSS-26'!$C$1:$AU$617,18,)</f>
        <v>4970475.5708341142</v>
      </c>
      <c r="G255" s="32">
        <f t="shared" ref="G255:V255" si="250">IF(VLOOKUP($E255,$D$5:$V$970,3,)=0,0,(VLOOKUP($E255,$D$5:$V$970,G$1,)/VLOOKUP($E255,$D$5:$V$970,3,))*$F255)</f>
        <v>2330930.1799220718</v>
      </c>
      <c r="H255" s="32">
        <f t="shared" si="250"/>
        <v>687612.89819201978</v>
      </c>
      <c r="I255" s="32">
        <f t="shared" si="250"/>
        <v>60818.669840847768</v>
      </c>
      <c r="J255" s="32">
        <f t="shared" si="250"/>
        <v>518770.84072995244</v>
      </c>
      <c r="K255" s="32">
        <f t="shared" si="250"/>
        <v>34372.245035079301</v>
      </c>
      <c r="L255" s="32">
        <f t="shared" si="250"/>
        <v>413901.08361783897</v>
      </c>
      <c r="M255" s="32">
        <f t="shared" si="250"/>
        <v>884098.31959492178</v>
      </c>
      <c r="N255" s="32">
        <f t="shared" si="250"/>
        <v>0</v>
      </c>
      <c r="O255" s="32">
        <f t="shared" si="250"/>
        <v>0</v>
      </c>
      <c r="P255" s="32">
        <f t="shared" si="250"/>
        <v>38614.152982404914</v>
      </c>
      <c r="Q255" s="32">
        <f t="shared" si="250"/>
        <v>455.6252187037046</v>
      </c>
      <c r="R255" s="32">
        <f t="shared" si="250"/>
        <v>250.70615749201775</v>
      </c>
      <c r="S255" s="32">
        <f t="shared" si="250"/>
        <v>650.84954278062708</v>
      </c>
      <c r="T255" s="32">
        <f t="shared" si="250"/>
        <v>0</v>
      </c>
      <c r="U255" s="32">
        <f t="shared" si="250"/>
        <v>0</v>
      </c>
      <c r="V255" s="32">
        <f t="shared" si="250"/>
        <v>0</v>
      </c>
      <c r="W255" s="34">
        <f t="shared" ref="W255" si="251">SUM(G255:V255)</f>
        <v>4970475.5708341124</v>
      </c>
      <c r="X255" s="30" t="str">
        <f t="shared" ref="X255" si="252">IF(ABS(F255-W255)&lt;0.01,"ok","err")</f>
        <v>ok</v>
      </c>
      <c r="Y255" s="66" t="str">
        <f t="shared" ref="Y255" si="253">IF(X255="err",W255-F255,"")</f>
        <v/>
      </c>
    </row>
    <row r="256" spans="1:25" ht="12" customHeight="1" x14ac:dyDescent="0.25">
      <c r="F256" s="33"/>
    </row>
    <row r="257" spans="1:25" ht="12" customHeight="1" x14ac:dyDescent="0.25">
      <c r="A257" s="4" t="s">
        <v>146</v>
      </c>
      <c r="F257" s="33"/>
    </row>
    <row r="258" spans="1:25" ht="12" customHeight="1" x14ac:dyDescent="0.25">
      <c r="A258" s="39" t="s">
        <v>767</v>
      </c>
      <c r="C258" s="29" t="s">
        <v>981</v>
      </c>
      <c r="D258" s="29" t="s">
        <v>1607</v>
      </c>
      <c r="E258" s="29" t="s">
        <v>2129</v>
      </c>
      <c r="F258" s="32">
        <f>VLOOKUP(C258,'WSS-26'!$C$1:$AU$617,19,)</f>
        <v>0</v>
      </c>
      <c r="G258" s="32">
        <f t="shared" ref="G258:V262" si="254">IF(VLOOKUP($E258,$D$5:$V$970,3,)=0,0,(VLOOKUP($E258,$D$5:$V$970,G$1,)/VLOOKUP($E258,$D$5:$V$970,3,))*$F258)</f>
        <v>0</v>
      </c>
      <c r="H258" s="32">
        <f t="shared" si="254"/>
        <v>0</v>
      </c>
      <c r="I258" s="32">
        <f t="shared" si="254"/>
        <v>0</v>
      </c>
      <c r="J258" s="32">
        <f t="shared" si="254"/>
        <v>0</v>
      </c>
      <c r="K258" s="32">
        <f t="shared" si="254"/>
        <v>0</v>
      </c>
      <c r="L258" s="32">
        <f t="shared" si="254"/>
        <v>0</v>
      </c>
      <c r="M258" s="32">
        <f t="shared" si="254"/>
        <v>0</v>
      </c>
      <c r="N258" s="32">
        <f t="shared" si="254"/>
        <v>0</v>
      </c>
      <c r="O258" s="32">
        <f t="shared" si="254"/>
        <v>0</v>
      </c>
      <c r="P258" s="32">
        <f t="shared" si="254"/>
        <v>0</v>
      </c>
      <c r="Q258" s="32">
        <f t="shared" si="254"/>
        <v>0</v>
      </c>
      <c r="R258" s="32">
        <f t="shared" si="254"/>
        <v>0</v>
      </c>
      <c r="S258" s="32">
        <f t="shared" si="254"/>
        <v>0</v>
      </c>
      <c r="T258" s="32">
        <f t="shared" si="254"/>
        <v>0</v>
      </c>
      <c r="U258" s="32">
        <f t="shared" si="254"/>
        <v>0</v>
      </c>
      <c r="V258" s="32">
        <f t="shared" si="254"/>
        <v>0</v>
      </c>
      <c r="W258" s="34">
        <f t="shared" ref="W258:W262" si="255">SUM(G258:V258)</f>
        <v>0</v>
      </c>
      <c r="X258" s="30" t="str">
        <f t="shared" ref="X258:X262" si="256">IF(ABS(F258-W258)&lt;0.01,"ok","err")</f>
        <v>ok</v>
      </c>
      <c r="Y258" s="66" t="str">
        <f t="shared" ref="Y258:Y262" si="257">IF(X258="err",W258-F258,"")</f>
        <v/>
      </c>
    </row>
    <row r="259" spans="1:25" ht="12" customHeight="1" x14ac:dyDescent="0.25">
      <c r="A259" s="39" t="s">
        <v>768</v>
      </c>
      <c r="C259" s="29" t="s">
        <v>981</v>
      </c>
      <c r="D259" s="29" t="s">
        <v>1608</v>
      </c>
      <c r="E259" s="29" t="s">
        <v>2129</v>
      </c>
      <c r="F259" s="33">
        <f>VLOOKUP(C259,'WSS-26'!$C$1:$AU$617,20,)</f>
        <v>4066512.730824301</v>
      </c>
      <c r="G259" s="32">
        <f t="shared" si="254"/>
        <v>1907012.1392277596</v>
      </c>
      <c r="H259" s="32">
        <f t="shared" si="254"/>
        <v>562559.16854000429</v>
      </c>
      <c r="I259" s="32">
        <f t="shared" si="254"/>
        <v>49757.793123627351</v>
      </c>
      <c r="J259" s="32">
        <f t="shared" si="254"/>
        <v>424423.81984280824</v>
      </c>
      <c r="K259" s="32">
        <f t="shared" si="254"/>
        <v>28121.086207995617</v>
      </c>
      <c r="L259" s="32">
        <f t="shared" si="254"/>
        <v>338626.35513395409</v>
      </c>
      <c r="M259" s="32">
        <f t="shared" si="254"/>
        <v>723310.48019411101</v>
      </c>
      <c r="N259" s="32">
        <f t="shared" si="254"/>
        <v>0</v>
      </c>
      <c r="O259" s="32">
        <f t="shared" si="254"/>
        <v>0</v>
      </c>
      <c r="P259" s="32">
        <f t="shared" si="254"/>
        <v>31591.533336234821</v>
      </c>
      <c r="Q259" s="32">
        <f t="shared" si="254"/>
        <v>372.76226911065874</v>
      </c>
      <c r="R259" s="32">
        <f t="shared" si="254"/>
        <v>205.11111393838846</v>
      </c>
      <c r="S259" s="32">
        <f t="shared" si="254"/>
        <v>532.4818347561951</v>
      </c>
      <c r="T259" s="32">
        <f t="shared" si="254"/>
        <v>0</v>
      </c>
      <c r="U259" s="32">
        <f t="shared" si="254"/>
        <v>0</v>
      </c>
      <c r="V259" s="32">
        <f t="shared" si="254"/>
        <v>0</v>
      </c>
      <c r="W259" s="34">
        <f t="shared" si="255"/>
        <v>4066512.7308243006</v>
      </c>
      <c r="X259" s="30" t="str">
        <f t="shared" si="256"/>
        <v>ok</v>
      </c>
      <c r="Y259" s="66" t="str">
        <f t="shared" si="257"/>
        <v/>
      </c>
    </row>
    <row r="260" spans="1:25" ht="12" customHeight="1" x14ac:dyDescent="0.25">
      <c r="A260" s="39" t="s">
        <v>769</v>
      </c>
      <c r="C260" s="29" t="s">
        <v>981</v>
      </c>
      <c r="D260" s="29" t="s">
        <v>1609</v>
      </c>
      <c r="E260" s="29" t="s">
        <v>872</v>
      </c>
      <c r="F260" s="33">
        <f>VLOOKUP(C260,'WSS-26'!$C$1:$AU$617,21,)</f>
        <v>7652204.6620102655</v>
      </c>
      <c r="G260" s="32">
        <f t="shared" si="254"/>
        <v>6112024.7790228119</v>
      </c>
      <c r="H260" s="32">
        <f t="shared" si="254"/>
        <v>1182552.8450973188</v>
      </c>
      <c r="I260" s="32">
        <f t="shared" si="254"/>
        <v>7814.68856291884</v>
      </c>
      <c r="J260" s="32">
        <f t="shared" si="254"/>
        <v>62601.537412629412</v>
      </c>
      <c r="K260" s="32">
        <f t="shared" si="254"/>
        <v>2884.9925519019371</v>
      </c>
      <c r="L260" s="32">
        <f t="shared" si="254"/>
        <v>10363.565477705988</v>
      </c>
      <c r="M260" s="32">
        <f t="shared" si="254"/>
        <v>3627.2479171970958</v>
      </c>
      <c r="N260" s="32">
        <f t="shared" si="254"/>
        <v>0</v>
      </c>
      <c r="O260" s="32">
        <f t="shared" si="254"/>
        <v>0</v>
      </c>
      <c r="P260" s="32">
        <f t="shared" si="254"/>
        <v>269018.5530557491</v>
      </c>
      <c r="Q260" s="32">
        <f t="shared" si="254"/>
        <v>42.0144546393486</v>
      </c>
      <c r="R260" s="32">
        <f t="shared" si="254"/>
        <v>1190.409548114877</v>
      </c>
      <c r="S260" s="32">
        <f t="shared" si="254"/>
        <v>84.028909278697199</v>
      </c>
      <c r="T260" s="32">
        <f t="shared" si="254"/>
        <v>0</v>
      </c>
      <c r="U260" s="32">
        <f t="shared" si="254"/>
        <v>0</v>
      </c>
      <c r="V260" s="32">
        <f t="shared" si="254"/>
        <v>0</v>
      </c>
      <c r="W260" s="34">
        <f t="shared" si="255"/>
        <v>7652204.6620102664</v>
      </c>
      <c r="X260" s="30" t="str">
        <f t="shared" si="256"/>
        <v>ok</v>
      </c>
      <c r="Y260" s="66" t="str">
        <f t="shared" si="257"/>
        <v/>
      </c>
    </row>
    <row r="261" spans="1:25" ht="12" customHeight="1" x14ac:dyDescent="0.25">
      <c r="A261" s="39" t="s">
        <v>770</v>
      </c>
      <c r="C261" s="29" t="s">
        <v>981</v>
      </c>
      <c r="D261" s="29" t="s">
        <v>1610</v>
      </c>
      <c r="E261" s="29" t="s">
        <v>709</v>
      </c>
      <c r="F261" s="33">
        <f>VLOOKUP(C261,'WSS-26'!$C$1:$AU$617,22,)</f>
        <v>2215095.6605917662</v>
      </c>
      <c r="G261" s="32">
        <f t="shared" si="254"/>
        <v>1722254.6886593159</v>
      </c>
      <c r="H261" s="32">
        <f t="shared" si="254"/>
        <v>451300.55258841597</v>
      </c>
      <c r="I261" s="32">
        <f t="shared" si="254"/>
        <v>26964.306465802616</v>
      </c>
      <c r="J261" s="32">
        <f t="shared" si="254"/>
        <v>0</v>
      </c>
      <c r="K261" s="32">
        <f t="shared" si="254"/>
        <v>0</v>
      </c>
      <c r="L261" s="32">
        <f t="shared" si="254"/>
        <v>0</v>
      </c>
      <c r="M261" s="32">
        <f t="shared" si="254"/>
        <v>0</v>
      </c>
      <c r="N261" s="32">
        <f t="shared" si="254"/>
        <v>0</v>
      </c>
      <c r="O261" s="32">
        <f t="shared" si="254"/>
        <v>0</v>
      </c>
      <c r="P261" s="32">
        <f t="shared" si="254"/>
        <v>14314.275669539762</v>
      </c>
      <c r="Q261" s="32">
        <f t="shared" si="254"/>
        <v>168.90037664405043</v>
      </c>
      <c r="R261" s="32">
        <f t="shared" si="254"/>
        <v>92.936832047747501</v>
      </c>
      <c r="S261" s="32">
        <f t="shared" si="254"/>
        <v>0</v>
      </c>
      <c r="T261" s="32">
        <f t="shared" si="254"/>
        <v>0</v>
      </c>
      <c r="U261" s="32">
        <f t="shared" si="254"/>
        <v>0</v>
      </c>
      <c r="V261" s="32">
        <f t="shared" si="254"/>
        <v>0</v>
      </c>
      <c r="W261" s="34">
        <f t="shared" si="255"/>
        <v>2215095.6605917658</v>
      </c>
      <c r="X261" s="30" t="str">
        <f t="shared" si="256"/>
        <v>ok</v>
      </c>
      <c r="Y261" s="66" t="str">
        <f t="shared" si="257"/>
        <v/>
      </c>
    </row>
    <row r="262" spans="1:25" ht="12" customHeight="1" x14ac:dyDescent="0.25">
      <c r="A262" s="39" t="s">
        <v>771</v>
      </c>
      <c r="C262" s="29" t="s">
        <v>981</v>
      </c>
      <c r="D262" s="29" t="s">
        <v>1611</v>
      </c>
      <c r="E262" s="29" t="s">
        <v>871</v>
      </c>
      <c r="F262" s="33">
        <f>VLOOKUP(C262,'WSS-26'!$C$1:$AU$617,23,)</f>
        <v>4103415.6259144349</v>
      </c>
      <c r="G262" s="32">
        <f t="shared" si="254"/>
        <v>3280301.7178086969</v>
      </c>
      <c r="H262" s="32">
        <f t="shared" si="254"/>
        <v>634671.85906803398</v>
      </c>
      <c r="I262" s="32">
        <f t="shared" si="254"/>
        <v>4194.1152472194472</v>
      </c>
      <c r="J262" s="32">
        <f t="shared" si="254"/>
        <v>33598.01999116654</v>
      </c>
      <c r="K262" s="32">
        <f t="shared" si="254"/>
        <v>0</v>
      </c>
      <c r="L262" s="32">
        <f t="shared" si="254"/>
        <v>5562.0883206852886</v>
      </c>
      <c r="M262" s="32">
        <f t="shared" si="254"/>
        <v>0</v>
      </c>
      <c r="N262" s="32">
        <f t="shared" si="254"/>
        <v>0</v>
      </c>
      <c r="O262" s="32">
        <f t="shared" si="254"/>
        <v>0</v>
      </c>
      <c r="P262" s="32">
        <f t="shared" si="254"/>
        <v>144381.28993519422</v>
      </c>
      <c r="Q262" s="32">
        <f t="shared" si="254"/>
        <v>22.549006705480899</v>
      </c>
      <c r="R262" s="32">
        <f t="shared" si="254"/>
        <v>638.88852332195881</v>
      </c>
      <c r="S262" s="32">
        <f t="shared" si="254"/>
        <v>45.098013410961798</v>
      </c>
      <c r="T262" s="32">
        <f t="shared" si="254"/>
        <v>0</v>
      </c>
      <c r="U262" s="32">
        <f t="shared" si="254"/>
        <v>0</v>
      </c>
      <c r="V262" s="32">
        <f t="shared" si="254"/>
        <v>0</v>
      </c>
      <c r="W262" s="34">
        <f t="shared" si="255"/>
        <v>4103415.6259144344</v>
      </c>
      <c r="X262" s="30" t="str">
        <f t="shared" si="256"/>
        <v>ok</v>
      </c>
      <c r="Y262" s="66" t="str">
        <f t="shared" si="257"/>
        <v/>
      </c>
    </row>
    <row r="263" spans="1:25" ht="12" customHeight="1" x14ac:dyDescent="0.25">
      <c r="A263" s="29" t="s">
        <v>151</v>
      </c>
      <c r="D263" s="29" t="s">
        <v>1612</v>
      </c>
      <c r="F263" s="32">
        <f>SUM(F258:F262)</f>
        <v>18037228.679340769</v>
      </c>
      <c r="G263" s="32">
        <f t="shared" ref="G263:T263" si="258">SUM(G258:G262)</f>
        <v>13021593.324718585</v>
      </c>
      <c r="H263" s="32">
        <f t="shared" si="258"/>
        <v>2831084.4252937725</v>
      </c>
      <c r="I263" s="32">
        <f>SUM(I258:I262)</f>
        <v>88730.903399568255</v>
      </c>
      <c r="J263" s="32">
        <f>SUM(J258:J262)</f>
        <v>520623.37724660418</v>
      </c>
      <c r="K263" s="32">
        <f>SUM(K258:K262)</f>
        <v>31006.078759897555</v>
      </c>
      <c r="L263" s="32">
        <f t="shared" si="258"/>
        <v>354552.00893234531</v>
      </c>
      <c r="M263" s="32">
        <f t="shared" si="258"/>
        <v>726937.72811130807</v>
      </c>
      <c r="N263" s="32">
        <f t="shared" si="258"/>
        <v>0</v>
      </c>
      <c r="O263" s="32">
        <f t="shared" si="258"/>
        <v>0</v>
      </c>
      <c r="P263" s="32">
        <f>SUM(P258:P262)</f>
        <v>459305.6519967179</v>
      </c>
      <c r="Q263" s="32">
        <f t="shared" si="258"/>
        <v>606.22610709953869</v>
      </c>
      <c r="R263" s="32">
        <f t="shared" si="258"/>
        <v>2127.3460174229717</v>
      </c>
      <c r="S263" s="32">
        <f t="shared" si="258"/>
        <v>661.60875744585405</v>
      </c>
      <c r="T263" s="32">
        <f t="shared" si="258"/>
        <v>0</v>
      </c>
      <c r="U263" s="32">
        <f t="shared" ref="U263:V263" si="259">SUM(U258:U262)</f>
        <v>0</v>
      </c>
      <c r="V263" s="32">
        <f t="shared" si="259"/>
        <v>0</v>
      </c>
      <c r="W263" s="34">
        <f t="shared" ref="W263" si="260">SUM(G263:V263)</f>
        <v>18037228.679340765</v>
      </c>
      <c r="X263" s="30" t="str">
        <f t="shared" ref="X263" si="261">IF(ABS(F263-W263)&lt;0.01,"ok","err")</f>
        <v>ok</v>
      </c>
      <c r="Y263" s="34" t="str">
        <f t="shared" ref="Y263" si="262">IF(X263="err",W263-F263,"")</f>
        <v/>
      </c>
    </row>
    <row r="264" spans="1:25" ht="12" customHeight="1" x14ac:dyDescent="0.25">
      <c r="F264" s="33"/>
    </row>
    <row r="265" spans="1:25" ht="12" customHeight="1" x14ac:dyDescent="0.25">
      <c r="A265" s="4" t="s">
        <v>766</v>
      </c>
      <c r="F265" s="33"/>
    </row>
    <row r="266" spans="1:25" ht="12" customHeight="1" x14ac:dyDescent="0.25">
      <c r="A266" s="39" t="s">
        <v>375</v>
      </c>
      <c r="C266" s="29" t="s">
        <v>981</v>
      </c>
      <c r="D266" s="29" t="s">
        <v>1613</v>
      </c>
      <c r="E266" s="29" t="s">
        <v>2058</v>
      </c>
      <c r="F266" s="32">
        <f>VLOOKUP(C266,'WSS-26'!$C$1:$AU$617,24,)</f>
        <v>3000610.4141326752</v>
      </c>
      <c r="G266" s="32">
        <f t="shared" ref="G266:V267" si="263">IF(VLOOKUP($E266,$D$5:$V$970,3,)=0,0,(VLOOKUP($E266,$D$5:$V$970,G$1,)/VLOOKUP($E266,$D$5:$V$970,3,))*$F266)</f>
        <v>1912934.0749203661</v>
      </c>
      <c r="H266" s="32">
        <f t="shared" si="263"/>
        <v>501266.28236896324</v>
      </c>
      <c r="I266" s="32">
        <f t="shared" si="263"/>
        <v>29949.659004953792</v>
      </c>
      <c r="J266" s="32">
        <f t="shared" si="263"/>
        <v>318478.46535310888</v>
      </c>
      <c r="K266" s="32">
        <f t="shared" si="263"/>
        <v>0</v>
      </c>
      <c r="L266" s="32">
        <f t="shared" si="263"/>
        <v>221380.46932513555</v>
      </c>
      <c r="M266" s="32">
        <f t="shared" si="263"/>
        <v>0</v>
      </c>
      <c r="N266" s="32">
        <f t="shared" si="263"/>
        <v>0</v>
      </c>
      <c r="O266" s="32">
        <f t="shared" si="263"/>
        <v>0</v>
      </c>
      <c r="P266" s="32">
        <f t="shared" si="263"/>
        <v>15899.080354591337</v>
      </c>
      <c r="Q266" s="32">
        <f t="shared" si="263"/>
        <v>187.60017776511359</v>
      </c>
      <c r="R266" s="32">
        <f t="shared" si="263"/>
        <v>103.22633116341302</v>
      </c>
      <c r="S266" s="32">
        <f t="shared" si="263"/>
        <v>411.55629662752818</v>
      </c>
      <c r="T266" s="32">
        <f t="shared" si="263"/>
        <v>0</v>
      </c>
      <c r="U266" s="32">
        <f t="shared" si="263"/>
        <v>0</v>
      </c>
      <c r="V266" s="32">
        <f t="shared" si="263"/>
        <v>0</v>
      </c>
      <c r="W266" s="34">
        <f t="shared" ref="W266:W267" si="264">SUM(G266:V266)</f>
        <v>3000610.4141326742</v>
      </c>
      <c r="X266" s="30" t="str">
        <f t="shared" ref="X266:X267" si="265">IF(ABS(F266-W266)&lt;0.01,"ok","err")</f>
        <v>ok</v>
      </c>
      <c r="Y266" s="66" t="str">
        <f t="shared" ref="Y266:Y267" si="266">IF(X266="err",W266-F266,"")</f>
        <v/>
      </c>
    </row>
    <row r="267" spans="1:25" ht="12" customHeight="1" x14ac:dyDescent="0.25">
      <c r="A267" s="39" t="s">
        <v>378</v>
      </c>
      <c r="C267" s="29" t="s">
        <v>981</v>
      </c>
      <c r="D267" s="29" t="s">
        <v>1614</v>
      </c>
      <c r="E267" s="29" t="s">
        <v>2057</v>
      </c>
      <c r="F267" s="33">
        <f>VLOOKUP(C267,'WSS-26'!$C$1:$AU$617,25,)</f>
        <v>2602285.2073318441</v>
      </c>
      <c r="G267" s="32">
        <f t="shared" si="263"/>
        <v>2080286.6231559284</v>
      </c>
      <c r="H267" s="32">
        <f t="shared" si="263"/>
        <v>402493.27412318654</v>
      </c>
      <c r="I267" s="32">
        <f t="shared" si="263"/>
        <v>2659.804675099635</v>
      </c>
      <c r="J267" s="32">
        <f t="shared" si="263"/>
        <v>21307.037451066968</v>
      </c>
      <c r="K267" s="32">
        <f t="shared" si="263"/>
        <v>0</v>
      </c>
      <c r="L267" s="32">
        <f t="shared" si="263"/>
        <v>3527.3395332862542</v>
      </c>
      <c r="M267" s="32">
        <f t="shared" si="263"/>
        <v>0</v>
      </c>
      <c r="N267" s="32">
        <f t="shared" si="263"/>
        <v>0</v>
      </c>
      <c r="O267" s="32">
        <f t="shared" si="263"/>
        <v>0</v>
      </c>
      <c r="P267" s="32">
        <f t="shared" si="263"/>
        <v>91563.060939048199</v>
      </c>
      <c r="Q267" s="32">
        <f t="shared" si="263"/>
        <v>14.300025134944274</v>
      </c>
      <c r="R267" s="32">
        <f t="shared" si="263"/>
        <v>405.16737882342107</v>
      </c>
      <c r="S267" s="32">
        <f t="shared" si="263"/>
        <v>28.600050269888548</v>
      </c>
      <c r="T267" s="32">
        <f t="shared" si="263"/>
        <v>0</v>
      </c>
      <c r="U267" s="32">
        <f t="shared" si="263"/>
        <v>0</v>
      </c>
      <c r="V267" s="32">
        <f t="shared" si="263"/>
        <v>0</v>
      </c>
      <c r="W267" s="34">
        <f t="shared" si="264"/>
        <v>2602285.2073318441</v>
      </c>
      <c r="X267" s="30" t="str">
        <f t="shared" si="265"/>
        <v>ok</v>
      </c>
      <c r="Y267" s="66" t="str">
        <f t="shared" si="266"/>
        <v/>
      </c>
    </row>
    <row r="268" spans="1:25" ht="12" customHeight="1" x14ac:dyDescent="0.25">
      <c r="A268" s="29" t="s">
        <v>1434</v>
      </c>
      <c r="D268" s="29" t="s">
        <v>1615</v>
      </c>
      <c r="F268" s="32">
        <f t="shared" ref="F268:T268" si="267">F266+F267</f>
        <v>5602895.6214645188</v>
      </c>
      <c r="G268" s="32">
        <f t="shared" si="267"/>
        <v>3993220.6980762947</v>
      </c>
      <c r="H268" s="32">
        <f t="shared" si="267"/>
        <v>903759.55649214983</v>
      </c>
      <c r="I268" s="32">
        <f>I266+I267</f>
        <v>32609.463680053428</v>
      </c>
      <c r="J268" s="32">
        <f>J266+J267</f>
        <v>339785.50280417583</v>
      </c>
      <c r="K268" s="32">
        <f>K266+K267</f>
        <v>0</v>
      </c>
      <c r="L268" s="32">
        <f t="shared" si="267"/>
        <v>224907.80885842181</v>
      </c>
      <c r="M268" s="32">
        <f t="shared" si="267"/>
        <v>0</v>
      </c>
      <c r="N268" s="32">
        <f t="shared" si="267"/>
        <v>0</v>
      </c>
      <c r="O268" s="32">
        <f t="shared" si="267"/>
        <v>0</v>
      </c>
      <c r="P268" s="32">
        <f>P266+P267</f>
        <v>107462.14129363954</v>
      </c>
      <c r="Q268" s="32">
        <f t="shared" si="267"/>
        <v>201.90020290005785</v>
      </c>
      <c r="R268" s="32">
        <f t="shared" si="267"/>
        <v>508.3937099868341</v>
      </c>
      <c r="S268" s="32">
        <f t="shared" si="267"/>
        <v>440.15634689741671</v>
      </c>
      <c r="T268" s="32">
        <f t="shared" si="267"/>
        <v>0</v>
      </c>
      <c r="U268" s="32">
        <f t="shared" ref="U268:V268" si="268">U266+U267</f>
        <v>0</v>
      </c>
      <c r="V268" s="32">
        <f t="shared" si="268"/>
        <v>0</v>
      </c>
      <c r="W268" s="34">
        <f>SUM(G268:V268)</f>
        <v>5602895.6214645188</v>
      </c>
      <c r="X268" s="30" t="str">
        <f>IF(ABS(F268-W268)&lt;0.01,"ok","err")</f>
        <v>ok</v>
      </c>
      <c r="Y268" s="34" t="str">
        <f>IF(X268="err",W268-F268,"")</f>
        <v/>
      </c>
    </row>
    <row r="269" spans="1:25" ht="12" customHeight="1" x14ac:dyDescent="0.25">
      <c r="F269" s="33"/>
    </row>
    <row r="270" spans="1:25" ht="12" customHeight="1" x14ac:dyDescent="0.25">
      <c r="A270" s="4" t="s">
        <v>128</v>
      </c>
      <c r="F270" s="33"/>
    </row>
    <row r="271" spans="1:25" ht="12" customHeight="1" x14ac:dyDescent="0.25">
      <c r="A271" s="39" t="s">
        <v>378</v>
      </c>
      <c r="C271" s="29" t="s">
        <v>981</v>
      </c>
      <c r="D271" s="29" t="s">
        <v>1616</v>
      </c>
      <c r="E271" s="29" t="s">
        <v>379</v>
      </c>
      <c r="F271" s="32">
        <f>VLOOKUP(C271,'WSS-26'!$C$1:$AU$617,26,)</f>
        <v>1926986.884930246</v>
      </c>
      <c r="G271" s="32">
        <f t="shared" ref="G271:V271" si="269">IF(VLOOKUP($E271,$D$5:$V$970,3,)=0,0,(VLOOKUP($E271,$D$5:$V$970,G$1,)/VLOOKUP($E271,$D$5:$V$970,3,))*$F271)</f>
        <v>1352152.6820488849</v>
      </c>
      <c r="H271" s="32">
        <f t="shared" si="269"/>
        <v>530280.96767991025</v>
      </c>
      <c r="I271" s="32">
        <f t="shared" si="269"/>
        <v>4550.2984564009212</v>
      </c>
      <c r="J271" s="32">
        <f t="shared" si="269"/>
        <v>33921.595914822487</v>
      </c>
      <c r="K271" s="32">
        <f t="shared" si="269"/>
        <v>0</v>
      </c>
      <c r="L271" s="32">
        <f t="shared" si="269"/>
        <v>6035.8050910622733</v>
      </c>
      <c r="M271" s="32">
        <f t="shared" si="269"/>
        <v>0</v>
      </c>
      <c r="N271" s="32">
        <f t="shared" si="269"/>
        <v>0</v>
      </c>
      <c r="O271" s="32">
        <f t="shared" si="269"/>
        <v>0</v>
      </c>
      <c r="P271" s="32">
        <f t="shared" si="269"/>
        <v>0</v>
      </c>
      <c r="Q271" s="32">
        <f t="shared" si="269"/>
        <v>0</v>
      </c>
      <c r="R271" s="32">
        <f t="shared" si="269"/>
        <v>0</v>
      </c>
      <c r="S271" s="32">
        <f t="shared" si="269"/>
        <v>45.535739165247563</v>
      </c>
      <c r="T271" s="32">
        <f t="shared" si="269"/>
        <v>0</v>
      </c>
      <c r="U271" s="32">
        <f t="shared" si="269"/>
        <v>0</v>
      </c>
      <c r="V271" s="32">
        <f t="shared" si="269"/>
        <v>0</v>
      </c>
      <c r="W271" s="34">
        <f t="shared" ref="W271" si="270">SUM(G271:V271)</f>
        <v>1926986.884930246</v>
      </c>
      <c r="X271" s="30" t="str">
        <f t="shared" ref="X271" si="271">IF(ABS(F271-W271)&lt;0.01,"ok","err")</f>
        <v>ok</v>
      </c>
      <c r="Y271" s="66" t="str">
        <f t="shared" ref="Y271" si="272">IF(X271="err",W271-F271,"")</f>
        <v/>
      </c>
    </row>
    <row r="272" spans="1:25" ht="12" customHeight="1" x14ac:dyDescent="0.25">
      <c r="F272" s="33"/>
    </row>
    <row r="273" spans="1:25" ht="12" customHeight="1" x14ac:dyDescent="0.25">
      <c r="A273" s="4" t="s">
        <v>127</v>
      </c>
      <c r="F273" s="33"/>
    </row>
    <row r="274" spans="1:25" ht="12" customHeight="1" x14ac:dyDescent="0.25">
      <c r="A274" s="39" t="s">
        <v>378</v>
      </c>
      <c r="C274" s="29" t="s">
        <v>981</v>
      </c>
      <c r="D274" s="29" t="s">
        <v>1617</v>
      </c>
      <c r="E274" s="29" t="s">
        <v>380</v>
      </c>
      <c r="F274" s="32">
        <f>VLOOKUP(C274,'WSS-26'!$C$1:$AU$617,27,)</f>
        <v>1376895.9331342003</v>
      </c>
      <c r="G274" s="32">
        <f t="shared" ref="G274:V274" si="273">IF(VLOOKUP($E274,$D$5:$V$970,3,)=0,0,(VLOOKUP($E274,$D$5:$V$970,G$1,)/VLOOKUP($E274,$D$5:$V$970,3,))*$F274)</f>
        <v>847883.66886028415</v>
      </c>
      <c r="H274" s="32">
        <f t="shared" si="273"/>
        <v>326177.69164441782</v>
      </c>
      <c r="I274" s="32">
        <f t="shared" si="273"/>
        <v>7164.9670359622305</v>
      </c>
      <c r="J274" s="32">
        <f t="shared" si="273"/>
        <v>92021.061596921616</v>
      </c>
      <c r="K274" s="32">
        <f t="shared" si="273"/>
        <v>21641.59716255005</v>
      </c>
      <c r="L274" s="32">
        <f t="shared" si="273"/>
        <v>17878.384723827319</v>
      </c>
      <c r="M274" s="32">
        <f t="shared" si="273"/>
        <v>38486.850974683693</v>
      </c>
      <c r="N274" s="32">
        <f t="shared" si="273"/>
        <v>22818.500260123026</v>
      </c>
      <c r="O274" s="32">
        <f t="shared" si="273"/>
        <v>1153.2130141590624</v>
      </c>
      <c r="P274" s="32">
        <f t="shared" si="273"/>
        <v>0</v>
      </c>
      <c r="Q274" s="32">
        <f t="shared" si="273"/>
        <v>60.226864110652883</v>
      </c>
      <c r="R274" s="32">
        <f t="shared" si="273"/>
        <v>1486.2435820854664</v>
      </c>
      <c r="S274" s="32">
        <f t="shared" si="273"/>
        <v>123.5274150752919</v>
      </c>
      <c r="T274" s="32">
        <f t="shared" si="273"/>
        <v>0</v>
      </c>
      <c r="U274" s="32">
        <f t="shared" si="273"/>
        <v>0</v>
      </c>
      <c r="V274" s="32">
        <f t="shared" si="273"/>
        <v>0</v>
      </c>
      <c r="W274" s="34">
        <f t="shared" ref="W274" si="274">SUM(G274:V274)</f>
        <v>1376895.9331342005</v>
      </c>
      <c r="X274" s="30" t="str">
        <f t="shared" ref="X274" si="275">IF(ABS(F274-W274)&lt;0.01,"ok","err")</f>
        <v>ok</v>
      </c>
      <c r="Y274" s="66" t="str">
        <f t="shared" ref="Y274" si="276">IF(X274="err",W274-F274,"")</f>
        <v/>
      </c>
    </row>
    <row r="275" spans="1:25" ht="12" customHeight="1" x14ac:dyDescent="0.25">
      <c r="F275" s="33"/>
    </row>
    <row r="276" spans="1:25" ht="12" customHeight="1" x14ac:dyDescent="0.25">
      <c r="A276" s="4" t="s">
        <v>144</v>
      </c>
      <c r="F276" s="33"/>
    </row>
    <row r="277" spans="1:25" ht="12" customHeight="1" x14ac:dyDescent="0.25">
      <c r="A277" s="39" t="s">
        <v>378</v>
      </c>
      <c r="C277" s="29" t="s">
        <v>981</v>
      </c>
      <c r="D277" s="29" t="s">
        <v>1618</v>
      </c>
      <c r="E277" s="29" t="s">
        <v>381</v>
      </c>
      <c r="F277" s="32">
        <f>VLOOKUP(C277,'WSS-26'!$C$1:$AU$617,28,)</f>
        <v>2256251.4090597504</v>
      </c>
      <c r="G277" s="32">
        <f t="shared" ref="G277:V277" si="277">IF(VLOOKUP($E277,$D$5:$V$970,3,)=0,0,(VLOOKUP($E277,$D$5:$V$970,G$1,)/VLOOKUP($E277,$D$5:$V$970,3,))*$F277)</f>
        <v>0</v>
      </c>
      <c r="H277" s="32">
        <f t="shared" si="277"/>
        <v>0</v>
      </c>
      <c r="I277" s="32">
        <f t="shared" si="277"/>
        <v>0</v>
      </c>
      <c r="J277" s="32">
        <f t="shared" si="277"/>
        <v>0</v>
      </c>
      <c r="K277" s="32">
        <f t="shared" si="277"/>
        <v>0</v>
      </c>
      <c r="L277" s="32">
        <f t="shared" si="277"/>
        <v>0</v>
      </c>
      <c r="M277" s="32">
        <f t="shared" si="277"/>
        <v>0</v>
      </c>
      <c r="N277" s="32">
        <f t="shared" si="277"/>
        <v>0</v>
      </c>
      <c r="O277" s="32">
        <f t="shared" si="277"/>
        <v>0</v>
      </c>
      <c r="P277" s="32">
        <f t="shared" si="277"/>
        <v>2256251.4090597504</v>
      </c>
      <c r="Q277" s="32">
        <f t="shared" si="277"/>
        <v>0</v>
      </c>
      <c r="R277" s="32">
        <f t="shared" si="277"/>
        <v>0</v>
      </c>
      <c r="S277" s="32">
        <f t="shared" si="277"/>
        <v>0</v>
      </c>
      <c r="T277" s="32">
        <f t="shared" si="277"/>
        <v>0</v>
      </c>
      <c r="U277" s="32">
        <f t="shared" si="277"/>
        <v>0</v>
      </c>
      <c r="V277" s="32">
        <f t="shared" si="277"/>
        <v>0</v>
      </c>
      <c r="W277" s="34">
        <f t="shared" ref="W277" si="278">SUM(G277:V277)</f>
        <v>2256251.4090597504</v>
      </c>
      <c r="X277" s="30" t="str">
        <f t="shared" ref="X277" si="279">IF(ABS(F277-W277)&lt;0.01,"ok","err")</f>
        <v>ok</v>
      </c>
      <c r="Y277" s="66" t="str">
        <f t="shared" ref="Y277" si="280">IF(X277="err",W277-F277,"")</f>
        <v/>
      </c>
    </row>
    <row r="278" spans="1:25" ht="12" customHeight="1" x14ac:dyDescent="0.25">
      <c r="F278" s="33"/>
    </row>
    <row r="279" spans="1:25" ht="12" customHeight="1" x14ac:dyDescent="0.25">
      <c r="A279" s="4" t="s">
        <v>279</v>
      </c>
      <c r="F279" s="33"/>
    </row>
    <row r="280" spans="1:25" ht="12" customHeight="1" x14ac:dyDescent="0.25">
      <c r="A280" s="39" t="s">
        <v>378</v>
      </c>
      <c r="C280" s="29" t="s">
        <v>981</v>
      </c>
      <c r="D280" s="29" t="s">
        <v>1619</v>
      </c>
      <c r="E280" s="29" t="s">
        <v>382</v>
      </c>
      <c r="F280" s="32">
        <f>VLOOKUP(C280,'WSS-26'!$C$1:$AU$617,30,)</f>
        <v>27917579.768092431</v>
      </c>
      <c r="G280" s="32">
        <f t="shared" ref="G280:V280" si="281">IF(VLOOKUP($E280,$D$5:$V$970,3,)=0,0,(VLOOKUP($E280,$D$5:$V$970,G$1,)/VLOOKUP($E280,$D$5:$V$970,3,))*$F280)</f>
        <v>17937562.261137046</v>
      </c>
      <c r="H280" s="32">
        <f t="shared" si="281"/>
        <v>6941109.0605589105</v>
      </c>
      <c r="I280" s="32">
        <f t="shared" si="281"/>
        <v>229345.37688697595</v>
      </c>
      <c r="J280" s="32">
        <f t="shared" si="281"/>
        <v>918614.54720858647</v>
      </c>
      <c r="K280" s="32">
        <f t="shared" si="281"/>
        <v>42334.361683438212</v>
      </c>
      <c r="L280" s="32">
        <f t="shared" si="281"/>
        <v>760374.45742097765</v>
      </c>
      <c r="M280" s="32">
        <f t="shared" si="281"/>
        <v>266131.06009734212</v>
      </c>
      <c r="N280" s="32">
        <f t="shared" si="281"/>
        <v>25688.326264222218</v>
      </c>
      <c r="O280" s="32">
        <f t="shared" si="281"/>
        <v>2055.0661011377774</v>
      </c>
      <c r="P280" s="32">
        <f t="shared" si="281"/>
        <v>789515.2947351113</v>
      </c>
      <c r="Q280" s="32">
        <f t="shared" si="281"/>
        <v>123.30396606826665</v>
      </c>
      <c r="R280" s="32">
        <f t="shared" si="281"/>
        <v>3493.6123719342218</v>
      </c>
      <c r="S280" s="32">
        <f t="shared" si="281"/>
        <v>1233.0396606826664</v>
      </c>
      <c r="T280" s="32">
        <f t="shared" si="281"/>
        <v>0</v>
      </c>
      <c r="U280" s="32">
        <f t="shared" si="281"/>
        <v>0</v>
      </c>
      <c r="V280" s="32">
        <f t="shared" si="281"/>
        <v>0</v>
      </c>
      <c r="W280" s="34">
        <f t="shared" ref="W280" si="282">SUM(G280:V280)</f>
        <v>27917579.768092427</v>
      </c>
      <c r="X280" s="30" t="str">
        <f t="shared" ref="X280" si="283">IF(ABS(F280-W280)&lt;0.01,"ok","err")</f>
        <v>ok</v>
      </c>
      <c r="Y280" s="66" t="str">
        <f t="shared" ref="Y280" si="284">IF(X280="err",W280-F280,"")</f>
        <v/>
      </c>
    </row>
    <row r="281" spans="1:25" ht="12" customHeight="1" x14ac:dyDescent="0.25">
      <c r="F281" s="33"/>
    </row>
    <row r="282" spans="1:25" ht="12" customHeight="1" x14ac:dyDescent="0.25">
      <c r="A282" s="4" t="s">
        <v>1596</v>
      </c>
      <c r="F282" s="33"/>
    </row>
    <row r="283" spans="1:25" ht="12" customHeight="1" x14ac:dyDescent="0.25">
      <c r="A283" s="39" t="s">
        <v>378</v>
      </c>
      <c r="C283" s="29" t="s">
        <v>981</v>
      </c>
      <c r="D283" s="29" t="s">
        <v>1620</v>
      </c>
      <c r="E283" s="29" t="s">
        <v>382</v>
      </c>
      <c r="F283" s="32">
        <f>VLOOKUP(C283,'WSS-26'!$C$1:$AU$617,32,)</f>
        <v>2637548.9331790092</v>
      </c>
      <c r="G283" s="32">
        <f t="shared" ref="G283:V283" si="285">IF(VLOOKUP($E283,$D$5:$V$970,3,)=0,0,(VLOOKUP($E283,$D$5:$V$970,G$1,)/VLOOKUP($E283,$D$5:$V$970,3,))*$F283)</f>
        <v>1694674.0583783339</v>
      </c>
      <c r="H283" s="32">
        <f t="shared" si="285"/>
        <v>655770.12584308407</v>
      </c>
      <c r="I283" s="32">
        <f t="shared" si="285"/>
        <v>21667.696811925824</v>
      </c>
      <c r="J283" s="32">
        <f t="shared" si="285"/>
        <v>86787.280241315791</v>
      </c>
      <c r="K283" s="32">
        <f t="shared" si="285"/>
        <v>3999.5927806959849</v>
      </c>
      <c r="L283" s="32">
        <f t="shared" si="285"/>
        <v>71837.346061044402</v>
      </c>
      <c r="M283" s="32">
        <f t="shared" si="285"/>
        <v>25143.071121365538</v>
      </c>
      <c r="N283" s="32">
        <f t="shared" si="285"/>
        <v>2426.9373669271754</v>
      </c>
      <c r="O283" s="32">
        <f t="shared" si="285"/>
        <v>194.15498935417403</v>
      </c>
      <c r="P283" s="32">
        <f t="shared" si="285"/>
        <v>74590.46381008657</v>
      </c>
      <c r="Q283" s="32">
        <f t="shared" si="285"/>
        <v>11.649299361250442</v>
      </c>
      <c r="R283" s="32">
        <f t="shared" si="285"/>
        <v>330.06348190209587</v>
      </c>
      <c r="S283" s="32">
        <f t="shared" si="285"/>
        <v>116.49299361250442</v>
      </c>
      <c r="T283" s="32">
        <f t="shared" si="285"/>
        <v>0</v>
      </c>
      <c r="U283" s="32">
        <f t="shared" si="285"/>
        <v>0</v>
      </c>
      <c r="V283" s="32">
        <f t="shared" si="285"/>
        <v>0</v>
      </c>
      <c r="W283" s="34">
        <f t="shared" ref="W283" si="286">SUM(G283:V283)</f>
        <v>2637548.9331790092</v>
      </c>
      <c r="X283" s="30" t="str">
        <f t="shared" ref="X283" si="287">IF(ABS(F283-W283)&lt;0.01,"ok","err")</f>
        <v>ok</v>
      </c>
      <c r="Y283" s="66" t="str">
        <f t="shared" ref="Y283" si="288">IF(X283="err",W283-F283,"")</f>
        <v/>
      </c>
    </row>
    <row r="284" spans="1:25" ht="12" customHeight="1" x14ac:dyDescent="0.25">
      <c r="F284" s="33"/>
    </row>
    <row r="285" spans="1:25" ht="12" customHeight="1" x14ac:dyDescent="0.25">
      <c r="A285" s="4" t="s">
        <v>1595</v>
      </c>
      <c r="F285" s="33"/>
    </row>
    <row r="286" spans="1:25" ht="12" customHeight="1" x14ac:dyDescent="0.25">
      <c r="A286" s="39" t="s">
        <v>378</v>
      </c>
      <c r="C286" s="29" t="s">
        <v>981</v>
      </c>
      <c r="D286" s="29" t="s">
        <v>1621</v>
      </c>
      <c r="E286" s="29" t="s">
        <v>383</v>
      </c>
      <c r="F286" s="32">
        <f>VLOOKUP(C286,'WSS-26'!$C$1:$AU$617,34,)</f>
        <v>0</v>
      </c>
      <c r="G286" s="32">
        <f t="shared" ref="G286:V286" si="289">IF(VLOOKUP($E286,$D$5:$V$970,3,)=0,0,(VLOOKUP($E286,$D$5:$V$970,G$1,)/VLOOKUP($E286,$D$5:$V$970,3,))*$F286)</f>
        <v>0</v>
      </c>
      <c r="H286" s="32">
        <f t="shared" si="289"/>
        <v>0</v>
      </c>
      <c r="I286" s="32">
        <f t="shared" si="289"/>
        <v>0</v>
      </c>
      <c r="J286" s="32">
        <f t="shared" si="289"/>
        <v>0</v>
      </c>
      <c r="K286" s="32">
        <f t="shared" si="289"/>
        <v>0</v>
      </c>
      <c r="L286" s="32">
        <f t="shared" si="289"/>
        <v>0</v>
      </c>
      <c r="M286" s="32">
        <f t="shared" si="289"/>
        <v>0</v>
      </c>
      <c r="N286" s="32">
        <f t="shared" si="289"/>
        <v>0</v>
      </c>
      <c r="O286" s="32">
        <f t="shared" si="289"/>
        <v>0</v>
      </c>
      <c r="P286" s="32">
        <f t="shared" si="289"/>
        <v>0</v>
      </c>
      <c r="Q286" s="32">
        <f t="shared" si="289"/>
        <v>0</v>
      </c>
      <c r="R286" s="32">
        <f t="shared" si="289"/>
        <v>0</v>
      </c>
      <c r="S286" s="32">
        <f t="shared" si="289"/>
        <v>0</v>
      </c>
      <c r="T286" s="32">
        <f t="shared" si="289"/>
        <v>0</v>
      </c>
      <c r="U286" s="32">
        <f t="shared" si="289"/>
        <v>0</v>
      </c>
      <c r="V286" s="32">
        <f t="shared" si="289"/>
        <v>0</v>
      </c>
      <c r="W286" s="34">
        <f t="shared" ref="W286" si="290">SUM(G286:V286)</f>
        <v>0</v>
      </c>
      <c r="X286" s="30" t="str">
        <f t="shared" ref="X286" si="291">IF(ABS(F286-W286)&lt;0.01,"ok","err")</f>
        <v>ok</v>
      </c>
      <c r="Y286" s="66" t="str">
        <f t="shared" ref="Y286" si="292">IF(X286="err",W286-F286,"")</f>
        <v/>
      </c>
    </row>
    <row r="287" spans="1:25" ht="12" customHeight="1" x14ac:dyDescent="0.25">
      <c r="F287" s="33"/>
    </row>
    <row r="288" spans="1:25" ht="12" customHeight="1" x14ac:dyDescent="0.25">
      <c r="A288" s="29" t="s">
        <v>62</v>
      </c>
      <c r="D288" s="29" t="s">
        <v>392</v>
      </c>
      <c r="F288" s="32">
        <f>F243+F249+F252+F255+F263+F268+F271+F274+F277+F280+F283+F286</f>
        <v>168260109.97685143</v>
      </c>
      <c r="G288" s="32">
        <f t="shared" ref="G288:T288" si="293">G243+G249+G252+G255+G263+G268+G271+G274+G277+G280+G283+G286</f>
        <v>81283784.060768247</v>
      </c>
      <c r="H288" s="32">
        <f t="shared" si="293"/>
        <v>23115714.773449041</v>
      </c>
      <c r="I288" s="32">
        <f>I243+I249+I252+I255+I263+I268+I271+I274+I277+I280+I283+I286</f>
        <v>1196463.2561401408</v>
      </c>
      <c r="J288" s="32">
        <f>J243+J249+J252+J255+J263+J268+J271+J274+J277+J280+J283+J286</f>
        <v>13119373.400411911</v>
      </c>
      <c r="K288" s="32">
        <f>K243+K249+K252+K255+K263+K268+K271+K274+K277+K280+K283+K286</f>
        <v>897095.33092275588</v>
      </c>
      <c r="L288" s="32">
        <f t="shared" si="293"/>
        <v>11932619.745969687</v>
      </c>
      <c r="M288" s="32">
        <f t="shared" si="293"/>
        <v>22515116.626227003</v>
      </c>
      <c r="N288" s="32">
        <f t="shared" si="293"/>
        <v>7031622.267245993</v>
      </c>
      <c r="O288" s="32">
        <f>O243+O249+O252+O255+O263+O268+O271+O274+O277+O280+O283+O286</f>
        <v>3055721.1693273312</v>
      </c>
      <c r="P288" s="32">
        <f>P243+P249+P252+P255+P263+P268+P271+P274+P277+P280+P283+P286</f>
        <v>4086400.359495861</v>
      </c>
      <c r="Q288" s="32">
        <f t="shared" si="293"/>
        <v>5443.7133246707162</v>
      </c>
      <c r="R288" s="32">
        <f t="shared" si="293"/>
        <v>14919.902816994694</v>
      </c>
      <c r="S288" s="32">
        <f t="shared" si="293"/>
        <v>5835.3707517590829</v>
      </c>
      <c r="T288" s="32">
        <f t="shared" si="293"/>
        <v>0</v>
      </c>
      <c r="U288" s="32">
        <f t="shared" ref="U288:V288" si="294">U243+U249+U252+U255+U263+U268+U271+U274+U277+U280+U283+U286</f>
        <v>0</v>
      </c>
      <c r="V288" s="32">
        <f t="shared" si="294"/>
        <v>0</v>
      </c>
      <c r="W288" s="34">
        <f>SUM(G288:V288)</f>
        <v>168260109.97685131</v>
      </c>
      <c r="X288" s="30" t="str">
        <f>IF(ABS(F288-W288)&lt;0.01,"ok","err")</f>
        <v>ok</v>
      </c>
      <c r="Y288" s="34" t="str">
        <f>IF(X288="err",W288-F288,"")</f>
        <v/>
      </c>
    </row>
    <row r="291" spans="1:25" ht="12" customHeight="1" x14ac:dyDescent="0.25">
      <c r="A291" s="3" t="s">
        <v>788</v>
      </c>
    </row>
    <row r="293" spans="1:25" ht="12" customHeight="1" x14ac:dyDescent="0.25">
      <c r="A293" s="4" t="s">
        <v>137</v>
      </c>
    </row>
    <row r="294" spans="1:25" ht="12" customHeight="1" x14ac:dyDescent="0.25">
      <c r="A294" s="39" t="s">
        <v>2133</v>
      </c>
      <c r="C294" s="29" t="s">
        <v>790</v>
      </c>
      <c r="D294" s="29" t="s">
        <v>1622</v>
      </c>
      <c r="E294" s="29" t="s">
        <v>2258</v>
      </c>
      <c r="F294" s="32">
        <f>VLOOKUP(C294,'WSS-26'!$C$1:$AU$617,6,)</f>
        <v>186641023.51058975</v>
      </c>
      <c r="G294" s="32">
        <f t="shared" ref="G294:V299" si="295">IF(VLOOKUP($E294,$D$5:$V$970,3,)=0,0,(VLOOKUP($E294,$D$5:$V$970,G$1,)/VLOOKUP($E294,$D$5:$V$970,3,))*$F294)</f>
        <v>77218587.389676392</v>
      </c>
      <c r="H294" s="32">
        <f t="shared" si="295"/>
        <v>17515266.67602507</v>
      </c>
      <c r="I294" s="32">
        <f t="shared" si="295"/>
        <v>1183891.6421703375</v>
      </c>
      <c r="J294" s="32">
        <f t="shared" si="295"/>
        <v>19394207.712442048</v>
      </c>
      <c r="K294" s="32">
        <f t="shared" si="295"/>
        <v>1339521.5810056103</v>
      </c>
      <c r="L294" s="32">
        <f t="shared" si="295"/>
        <v>18093291.016933523</v>
      </c>
      <c r="M294" s="32">
        <f t="shared" si="295"/>
        <v>35340424.139291115</v>
      </c>
      <c r="N294" s="32">
        <f t="shared" si="295"/>
        <v>11573104.161567291</v>
      </c>
      <c r="O294" s="32">
        <f t="shared" si="295"/>
        <v>4880824.0931932265</v>
      </c>
      <c r="P294" s="32">
        <f t="shared" si="295"/>
        <v>70955.275795637892</v>
      </c>
      <c r="Q294" s="32">
        <f t="shared" si="295"/>
        <v>809.28470828601417</v>
      </c>
      <c r="R294" s="32">
        <f t="shared" si="295"/>
        <v>9725.4928306652546</v>
      </c>
      <c r="S294" s="32">
        <f t="shared" si="295"/>
        <v>1639.6249505603234</v>
      </c>
      <c r="T294" s="32">
        <f t="shared" si="295"/>
        <v>0</v>
      </c>
      <c r="U294" s="32">
        <f t="shared" si="295"/>
        <v>18775.419999999998</v>
      </c>
      <c r="V294" s="32">
        <f t="shared" si="295"/>
        <v>0</v>
      </c>
      <c r="W294" s="34">
        <f>SUM(G294:V294)</f>
        <v>186641023.51058975</v>
      </c>
      <c r="X294" s="30" t="str">
        <f t="shared" ref="X294" si="296">IF(ABS(F294-W294)&lt;0.01,"ok","err")</f>
        <v>ok</v>
      </c>
      <c r="Y294" s="66" t="str">
        <f t="shared" ref="Y294" si="297">IF(X294="err",W294-F294,"")</f>
        <v/>
      </c>
    </row>
    <row r="295" spans="1:25" ht="12" hidden="1" customHeight="1" x14ac:dyDescent="0.25">
      <c r="A295" s="39" t="s">
        <v>2134</v>
      </c>
      <c r="C295" s="29" t="s">
        <v>790</v>
      </c>
      <c r="D295" s="29" t="s">
        <v>1623</v>
      </c>
      <c r="E295" s="29" t="s">
        <v>2132</v>
      </c>
      <c r="F295" s="33">
        <f>VLOOKUP(C295,'WSS-26'!$C$1:$AU$617,7,)</f>
        <v>0</v>
      </c>
      <c r="G295" s="32">
        <f t="shared" si="295"/>
        <v>0</v>
      </c>
      <c r="H295" s="32">
        <f t="shared" si="295"/>
        <v>0</v>
      </c>
      <c r="I295" s="32">
        <f t="shared" si="295"/>
        <v>0</v>
      </c>
      <c r="J295" s="32">
        <f t="shared" si="295"/>
        <v>0</v>
      </c>
      <c r="K295" s="32">
        <f t="shared" si="295"/>
        <v>0</v>
      </c>
      <c r="L295" s="32">
        <f t="shared" si="295"/>
        <v>0</v>
      </c>
      <c r="M295" s="32">
        <f t="shared" si="295"/>
        <v>0</v>
      </c>
      <c r="N295" s="32">
        <f t="shared" si="295"/>
        <v>0</v>
      </c>
      <c r="O295" s="32">
        <f t="shared" si="295"/>
        <v>0</v>
      </c>
      <c r="P295" s="32">
        <f t="shared" si="295"/>
        <v>0</v>
      </c>
      <c r="Q295" s="32">
        <f t="shared" si="295"/>
        <v>0</v>
      </c>
      <c r="R295" s="32">
        <f t="shared" si="295"/>
        <v>0</v>
      </c>
      <c r="S295" s="32">
        <f t="shared" si="295"/>
        <v>0</v>
      </c>
      <c r="T295" s="32">
        <f t="shared" si="295"/>
        <v>0</v>
      </c>
      <c r="U295" s="32">
        <f t="shared" si="295"/>
        <v>0</v>
      </c>
      <c r="V295" s="32">
        <f t="shared" si="295"/>
        <v>0</v>
      </c>
      <c r="W295" s="34">
        <f t="shared" ref="W295:W299" si="298">SUM(G295:V295)</f>
        <v>0</v>
      </c>
      <c r="X295" s="30" t="str">
        <f t="shared" ref="X295:X299" si="299">IF(ABS(F295-W295)&lt;0.01,"ok","err")</f>
        <v>ok</v>
      </c>
      <c r="Y295" s="66" t="str">
        <f t="shared" ref="Y295:Y299" si="300">IF(X295="err",W295-F295,"")</f>
        <v/>
      </c>
    </row>
    <row r="296" spans="1:25" ht="12" hidden="1" customHeight="1" x14ac:dyDescent="0.25">
      <c r="A296" s="39" t="s">
        <v>2134</v>
      </c>
      <c r="C296" s="29" t="s">
        <v>790</v>
      </c>
      <c r="D296" s="29" t="s">
        <v>1624</v>
      </c>
      <c r="E296" s="29" t="s">
        <v>2132</v>
      </c>
      <c r="F296" s="33">
        <f>VLOOKUP(C296,'WSS-26'!$C$1:$AU$617,8,)</f>
        <v>0</v>
      </c>
      <c r="G296" s="32">
        <f t="shared" si="295"/>
        <v>0</v>
      </c>
      <c r="H296" s="32">
        <f t="shared" si="295"/>
        <v>0</v>
      </c>
      <c r="I296" s="32">
        <f t="shared" si="295"/>
        <v>0</v>
      </c>
      <c r="J296" s="32">
        <f t="shared" si="295"/>
        <v>0</v>
      </c>
      <c r="K296" s="32">
        <f t="shared" si="295"/>
        <v>0</v>
      </c>
      <c r="L296" s="32">
        <f t="shared" si="295"/>
        <v>0</v>
      </c>
      <c r="M296" s="32">
        <f t="shared" si="295"/>
        <v>0</v>
      </c>
      <c r="N296" s="32">
        <f t="shared" si="295"/>
        <v>0</v>
      </c>
      <c r="O296" s="32">
        <f t="shared" si="295"/>
        <v>0</v>
      </c>
      <c r="P296" s="32">
        <f t="shared" si="295"/>
        <v>0</v>
      </c>
      <c r="Q296" s="32">
        <f t="shared" si="295"/>
        <v>0</v>
      </c>
      <c r="R296" s="32">
        <f t="shared" si="295"/>
        <v>0</v>
      </c>
      <c r="S296" s="32">
        <f t="shared" si="295"/>
        <v>0</v>
      </c>
      <c r="T296" s="32">
        <f t="shared" si="295"/>
        <v>0</v>
      </c>
      <c r="U296" s="32">
        <f t="shared" si="295"/>
        <v>0</v>
      </c>
      <c r="V296" s="32">
        <f t="shared" si="295"/>
        <v>0</v>
      </c>
      <c r="W296" s="34">
        <f t="shared" si="298"/>
        <v>0</v>
      </c>
      <c r="X296" s="30" t="str">
        <f t="shared" si="299"/>
        <v>ok</v>
      </c>
      <c r="Y296" s="66" t="str">
        <f t="shared" si="300"/>
        <v/>
      </c>
    </row>
    <row r="297" spans="1:25" ht="12" customHeight="1" x14ac:dyDescent="0.25">
      <c r="A297" s="39" t="s">
        <v>2136</v>
      </c>
      <c r="C297" s="29" t="s">
        <v>790</v>
      </c>
      <c r="D297" s="29" t="s">
        <v>1625</v>
      </c>
      <c r="E297" s="29" t="s">
        <v>376</v>
      </c>
      <c r="F297" s="33">
        <f>VLOOKUP(C297,'WSS-26'!$C$1:$AU$617,9,)</f>
        <v>0</v>
      </c>
      <c r="G297" s="32">
        <f t="shared" si="295"/>
        <v>0</v>
      </c>
      <c r="H297" s="32">
        <f t="shared" si="295"/>
        <v>0</v>
      </c>
      <c r="I297" s="32">
        <f t="shared" si="295"/>
        <v>0</v>
      </c>
      <c r="J297" s="32">
        <f t="shared" si="295"/>
        <v>0</v>
      </c>
      <c r="K297" s="32">
        <f t="shared" si="295"/>
        <v>0</v>
      </c>
      <c r="L297" s="32">
        <f t="shared" si="295"/>
        <v>0</v>
      </c>
      <c r="M297" s="32">
        <f t="shared" si="295"/>
        <v>0</v>
      </c>
      <c r="N297" s="32">
        <f t="shared" si="295"/>
        <v>0</v>
      </c>
      <c r="O297" s="32">
        <f t="shared" si="295"/>
        <v>0</v>
      </c>
      <c r="P297" s="32">
        <f t="shared" si="295"/>
        <v>0</v>
      </c>
      <c r="Q297" s="32">
        <f t="shared" si="295"/>
        <v>0</v>
      </c>
      <c r="R297" s="32">
        <f t="shared" si="295"/>
        <v>0</v>
      </c>
      <c r="S297" s="32">
        <f t="shared" si="295"/>
        <v>0</v>
      </c>
      <c r="T297" s="32">
        <f t="shared" si="295"/>
        <v>0</v>
      </c>
      <c r="U297" s="32">
        <f t="shared" si="295"/>
        <v>0</v>
      </c>
      <c r="V297" s="32">
        <f t="shared" si="295"/>
        <v>0</v>
      </c>
      <c r="W297" s="34">
        <f t="shared" si="298"/>
        <v>0</v>
      </c>
      <c r="X297" s="30" t="str">
        <f t="shared" si="299"/>
        <v>ok</v>
      </c>
      <c r="Y297" s="66" t="str">
        <f t="shared" si="300"/>
        <v/>
      </c>
    </row>
    <row r="298" spans="1:25" ht="12" hidden="1" customHeight="1" x14ac:dyDescent="0.25">
      <c r="A298" s="39" t="s">
        <v>2135</v>
      </c>
      <c r="C298" s="29" t="s">
        <v>790</v>
      </c>
      <c r="D298" s="29" t="s">
        <v>1626</v>
      </c>
      <c r="E298" s="29" t="s">
        <v>376</v>
      </c>
      <c r="F298" s="33">
        <f>VLOOKUP(C298,'WSS-26'!$C$1:$AU$617,10,)</f>
        <v>0</v>
      </c>
      <c r="G298" s="32">
        <f t="shared" si="295"/>
        <v>0</v>
      </c>
      <c r="H298" s="32">
        <f t="shared" si="295"/>
        <v>0</v>
      </c>
      <c r="I298" s="32">
        <f t="shared" si="295"/>
        <v>0</v>
      </c>
      <c r="J298" s="32">
        <f t="shared" si="295"/>
        <v>0</v>
      </c>
      <c r="K298" s="32">
        <f t="shared" si="295"/>
        <v>0</v>
      </c>
      <c r="L298" s="32">
        <f t="shared" si="295"/>
        <v>0</v>
      </c>
      <c r="M298" s="32">
        <f t="shared" si="295"/>
        <v>0</v>
      </c>
      <c r="N298" s="32">
        <f t="shared" si="295"/>
        <v>0</v>
      </c>
      <c r="O298" s="32">
        <f t="shared" si="295"/>
        <v>0</v>
      </c>
      <c r="P298" s="32">
        <f t="shared" si="295"/>
        <v>0</v>
      </c>
      <c r="Q298" s="32">
        <f t="shared" si="295"/>
        <v>0</v>
      </c>
      <c r="R298" s="32">
        <f t="shared" si="295"/>
        <v>0</v>
      </c>
      <c r="S298" s="32">
        <f t="shared" si="295"/>
        <v>0</v>
      </c>
      <c r="T298" s="32">
        <f t="shared" si="295"/>
        <v>0</v>
      </c>
      <c r="U298" s="32">
        <f t="shared" si="295"/>
        <v>0</v>
      </c>
      <c r="V298" s="32">
        <f t="shared" si="295"/>
        <v>0</v>
      </c>
      <c r="W298" s="34">
        <f t="shared" si="298"/>
        <v>0</v>
      </c>
      <c r="X298" s="30" t="str">
        <f t="shared" si="299"/>
        <v>ok</v>
      </c>
      <c r="Y298" s="66" t="str">
        <f t="shared" si="300"/>
        <v/>
      </c>
    </row>
    <row r="299" spans="1:25" ht="12" hidden="1" customHeight="1" x14ac:dyDescent="0.25">
      <c r="A299" s="39" t="s">
        <v>2135</v>
      </c>
      <c r="C299" s="29" t="s">
        <v>790</v>
      </c>
      <c r="D299" s="29" t="s">
        <v>1627</v>
      </c>
      <c r="E299" s="29" t="s">
        <v>376</v>
      </c>
      <c r="F299" s="33">
        <f>VLOOKUP(C299,'WSS-26'!$C$1:$AU$617,11,)</f>
        <v>0</v>
      </c>
      <c r="G299" s="32">
        <f t="shared" si="295"/>
        <v>0</v>
      </c>
      <c r="H299" s="32">
        <f t="shared" si="295"/>
        <v>0</v>
      </c>
      <c r="I299" s="32">
        <f t="shared" si="295"/>
        <v>0</v>
      </c>
      <c r="J299" s="32">
        <f t="shared" si="295"/>
        <v>0</v>
      </c>
      <c r="K299" s="32">
        <f t="shared" si="295"/>
        <v>0</v>
      </c>
      <c r="L299" s="32">
        <f t="shared" si="295"/>
        <v>0</v>
      </c>
      <c r="M299" s="32">
        <f t="shared" si="295"/>
        <v>0</v>
      </c>
      <c r="N299" s="32">
        <f t="shared" si="295"/>
        <v>0</v>
      </c>
      <c r="O299" s="32">
        <f t="shared" si="295"/>
        <v>0</v>
      </c>
      <c r="P299" s="32">
        <f t="shared" si="295"/>
        <v>0</v>
      </c>
      <c r="Q299" s="32">
        <f t="shared" si="295"/>
        <v>0</v>
      </c>
      <c r="R299" s="32">
        <f t="shared" si="295"/>
        <v>0</v>
      </c>
      <c r="S299" s="32">
        <f t="shared" si="295"/>
        <v>0</v>
      </c>
      <c r="T299" s="32">
        <f t="shared" si="295"/>
        <v>0</v>
      </c>
      <c r="U299" s="32">
        <f t="shared" si="295"/>
        <v>0</v>
      </c>
      <c r="V299" s="32">
        <f t="shared" si="295"/>
        <v>0</v>
      </c>
      <c r="W299" s="34">
        <f t="shared" si="298"/>
        <v>0</v>
      </c>
      <c r="X299" s="30" t="str">
        <f t="shared" si="299"/>
        <v>ok</v>
      </c>
      <c r="Y299" s="66" t="str">
        <f t="shared" si="300"/>
        <v/>
      </c>
    </row>
    <row r="300" spans="1:25" ht="12" customHeight="1" x14ac:dyDescent="0.25">
      <c r="A300" s="29" t="s">
        <v>160</v>
      </c>
      <c r="D300" s="29" t="s">
        <v>1628</v>
      </c>
      <c r="F300" s="32">
        <f t="shared" ref="F300:T300" si="301">SUM(F294:F299)</f>
        <v>186641023.51058975</v>
      </c>
      <c r="G300" s="32">
        <f t="shared" si="301"/>
        <v>77218587.389676392</v>
      </c>
      <c r="H300" s="32">
        <f t="shared" si="301"/>
        <v>17515266.67602507</v>
      </c>
      <c r="I300" s="32">
        <f>SUM(I294:I299)</f>
        <v>1183891.6421703375</v>
      </c>
      <c r="J300" s="32">
        <f>SUM(J294:J299)</f>
        <v>19394207.712442048</v>
      </c>
      <c r="K300" s="32">
        <f>SUM(K294:K299)</f>
        <v>1339521.5810056103</v>
      </c>
      <c r="L300" s="32">
        <f t="shared" si="301"/>
        <v>18093291.016933523</v>
      </c>
      <c r="M300" s="32">
        <f t="shared" si="301"/>
        <v>35340424.139291115</v>
      </c>
      <c r="N300" s="32">
        <f t="shared" si="301"/>
        <v>11573104.161567291</v>
      </c>
      <c r="O300" s="32">
        <f t="shared" si="301"/>
        <v>4880824.0931932265</v>
      </c>
      <c r="P300" s="32">
        <f>SUM(P294:P299)</f>
        <v>70955.275795637892</v>
      </c>
      <c r="Q300" s="32">
        <f t="shared" si="301"/>
        <v>809.28470828601417</v>
      </c>
      <c r="R300" s="32">
        <f t="shared" si="301"/>
        <v>9725.4928306652546</v>
      </c>
      <c r="S300" s="32">
        <f t="shared" si="301"/>
        <v>1639.6249505603234</v>
      </c>
      <c r="T300" s="32">
        <f t="shared" si="301"/>
        <v>0</v>
      </c>
      <c r="U300" s="32">
        <f t="shared" ref="U300:V300" si="302">SUM(U294:U299)</f>
        <v>18775.419999999998</v>
      </c>
      <c r="V300" s="32">
        <f t="shared" si="302"/>
        <v>0</v>
      </c>
      <c r="W300" s="34">
        <f t="shared" ref="W300" si="303">SUM(G300:V300)</f>
        <v>186641023.51058975</v>
      </c>
      <c r="X300" s="30" t="str">
        <f t="shared" ref="X300" si="304">IF(ABS(F300-W300)&lt;0.01,"ok","err")</f>
        <v>ok</v>
      </c>
      <c r="Y300" s="66" t="str">
        <f t="shared" ref="Y300" si="305">IF(X300="err",W300-F300,"")</f>
        <v/>
      </c>
    </row>
    <row r="301" spans="1:25" ht="12" customHeight="1" x14ac:dyDescent="0.25">
      <c r="F301" s="33"/>
      <c r="G301" s="33"/>
    </row>
    <row r="302" spans="1:25" ht="12" customHeight="1" x14ac:dyDescent="0.25">
      <c r="A302" s="4" t="s">
        <v>426</v>
      </c>
      <c r="F302" s="33"/>
      <c r="G302" s="33"/>
    </row>
    <row r="303" spans="1:25" ht="12" customHeight="1" x14ac:dyDescent="0.25">
      <c r="A303" s="39" t="s">
        <v>2124</v>
      </c>
      <c r="C303" s="29" t="s">
        <v>790</v>
      </c>
      <c r="D303" s="29" t="s">
        <v>1629</v>
      </c>
      <c r="E303" s="29" t="s">
        <v>2125</v>
      </c>
      <c r="F303" s="32">
        <f>VLOOKUP(C303,'WSS-26'!$C$1:$AU$617,13,)</f>
        <v>28318995.296634056</v>
      </c>
      <c r="G303" s="32">
        <f t="shared" ref="G303:V305" si="306">IF(VLOOKUP($E303,$D$5:$V$970,3,)=0,0,(VLOOKUP($E303,$D$5:$V$970,G$1,)/VLOOKUP($E303,$D$5:$V$970,3,))*$F303)</f>
        <v>12164546.189698443</v>
      </c>
      <c r="H303" s="32">
        <f t="shared" si="306"/>
        <v>3588481.0848212028</v>
      </c>
      <c r="I303" s="32">
        <f t="shared" si="306"/>
        <v>317397.54577279813</v>
      </c>
      <c r="J303" s="32">
        <f t="shared" si="306"/>
        <v>2707336.2850101236</v>
      </c>
      <c r="K303" s="32">
        <f t="shared" si="306"/>
        <v>179380.21738035668</v>
      </c>
      <c r="L303" s="32">
        <f t="shared" si="306"/>
        <v>2160047.0460268222</v>
      </c>
      <c r="M303" s="32">
        <f t="shared" si="306"/>
        <v>4613889.7413507057</v>
      </c>
      <c r="N303" s="32">
        <f t="shared" si="306"/>
        <v>1476387.5904514589</v>
      </c>
      <c r="O303" s="32">
        <f t="shared" si="306"/>
        <v>902929.12336002919</v>
      </c>
      <c r="P303" s="32">
        <f t="shared" si="306"/>
        <v>201517.68232982868</v>
      </c>
      <c r="Q303" s="32">
        <f t="shared" si="306"/>
        <v>2377.7949532139</v>
      </c>
      <c r="R303" s="32">
        <f t="shared" si="306"/>
        <v>1308.3732233264152</v>
      </c>
      <c r="S303" s="32">
        <f t="shared" si="306"/>
        <v>3396.6222557398705</v>
      </c>
      <c r="T303" s="32">
        <f t="shared" si="306"/>
        <v>0</v>
      </c>
      <c r="U303" s="32">
        <f t="shared" si="306"/>
        <v>0</v>
      </c>
      <c r="V303" s="32">
        <f t="shared" si="306"/>
        <v>0</v>
      </c>
      <c r="W303" s="34">
        <f>SUM(G303:V303)</f>
        <v>28318995.296634048</v>
      </c>
      <c r="X303" s="30" t="str">
        <f t="shared" ref="X303:X305" si="307">IF(ABS(F303-W303)&lt;0.01,"ok","err")</f>
        <v>ok</v>
      </c>
      <c r="Y303" s="66" t="str">
        <f t="shared" ref="Y303:Y305" si="308">IF(X303="err",W303-F303,"")</f>
        <v/>
      </c>
    </row>
    <row r="304" spans="1:25" ht="12" hidden="1" customHeight="1" x14ac:dyDescent="0.25">
      <c r="A304" s="39" t="s">
        <v>2123</v>
      </c>
      <c r="C304" s="29" t="s">
        <v>790</v>
      </c>
      <c r="D304" s="29" t="s">
        <v>1630</v>
      </c>
      <c r="E304" s="29" t="s">
        <v>2125</v>
      </c>
      <c r="F304" s="33">
        <f>VLOOKUP(C304,'WSS-26'!$C$1:$AU$617,14,)</f>
        <v>0</v>
      </c>
      <c r="G304" s="32">
        <f t="shared" si="306"/>
        <v>0</v>
      </c>
      <c r="H304" s="32">
        <f t="shared" si="306"/>
        <v>0</v>
      </c>
      <c r="I304" s="32">
        <f t="shared" si="306"/>
        <v>0</v>
      </c>
      <c r="J304" s="32">
        <f t="shared" si="306"/>
        <v>0</v>
      </c>
      <c r="K304" s="32">
        <f t="shared" si="306"/>
        <v>0</v>
      </c>
      <c r="L304" s="32">
        <f t="shared" si="306"/>
        <v>0</v>
      </c>
      <c r="M304" s="32">
        <f t="shared" si="306"/>
        <v>0</v>
      </c>
      <c r="N304" s="32">
        <f t="shared" si="306"/>
        <v>0</v>
      </c>
      <c r="O304" s="32">
        <f t="shared" si="306"/>
        <v>0</v>
      </c>
      <c r="P304" s="32">
        <f t="shared" si="306"/>
        <v>0</v>
      </c>
      <c r="Q304" s="32">
        <f t="shared" si="306"/>
        <v>0</v>
      </c>
      <c r="R304" s="32">
        <f t="shared" si="306"/>
        <v>0</v>
      </c>
      <c r="S304" s="32">
        <f t="shared" si="306"/>
        <v>0</v>
      </c>
      <c r="T304" s="32">
        <f t="shared" si="306"/>
        <v>0</v>
      </c>
      <c r="U304" s="32">
        <f t="shared" si="306"/>
        <v>0</v>
      </c>
      <c r="V304" s="32">
        <f t="shared" si="306"/>
        <v>0</v>
      </c>
      <c r="W304" s="34">
        <f>SUM(G304:V304)</f>
        <v>0</v>
      </c>
      <c r="X304" s="30" t="str">
        <f t="shared" si="307"/>
        <v>ok</v>
      </c>
      <c r="Y304" s="66" t="str">
        <f t="shared" si="308"/>
        <v/>
      </c>
    </row>
    <row r="305" spans="1:25" ht="12" hidden="1" customHeight="1" x14ac:dyDescent="0.25">
      <c r="A305" s="39" t="s">
        <v>2123</v>
      </c>
      <c r="C305" s="29" t="s">
        <v>790</v>
      </c>
      <c r="D305" s="29" t="s">
        <v>1631</v>
      </c>
      <c r="E305" s="29" t="s">
        <v>2125</v>
      </c>
      <c r="F305" s="33">
        <f>VLOOKUP(C305,'WSS-26'!$C$1:$AU$617,15,)</f>
        <v>0</v>
      </c>
      <c r="G305" s="32">
        <f t="shared" si="306"/>
        <v>0</v>
      </c>
      <c r="H305" s="32">
        <f t="shared" si="306"/>
        <v>0</v>
      </c>
      <c r="I305" s="32">
        <f t="shared" si="306"/>
        <v>0</v>
      </c>
      <c r="J305" s="32">
        <f t="shared" si="306"/>
        <v>0</v>
      </c>
      <c r="K305" s="32">
        <f t="shared" si="306"/>
        <v>0</v>
      </c>
      <c r="L305" s="32">
        <f t="shared" si="306"/>
        <v>0</v>
      </c>
      <c r="M305" s="32">
        <f t="shared" si="306"/>
        <v>0</v>
      </c>
      <c r="N305" s="32">
        <f t="shared" si="306"/>
        <v>0</v>
      </c>
      <c r="O305" s="32">
        <f t="shared" si="306"/>
        <v>0</v>
      </c>
      <c r="P305" s="32">
        <f t="shared" si="306"/>
        <v>0</v>
      </c>
      <c r="Q305" s="32">
        <f t="shared" si="306"/>
        <v>0</v>
      </c>
      <c r="R305" s="32">
        <f t="shared" si="306"/>
        <v>0</v>
      </c>
      <c r="S305" s="32">
        <f t="shared" si="306"/>
        <v>0</v>
      </c>
      <c r="T305" s="32">
        <f t="shared" si="306"/>
        <v>0</v>
      </c>
      <c r="U305" s="32">
        <f t="shared" si="306"/>
        <v>0</v>
      </c>
      <c r="V305" s="32">
        <f t="shared" si="306"/>
        <v>0</v>
      </c>
      <c r="W305" s="34">
        <f>SUM(G305:V305)</f>
        <v>0</v>
      </c>
      <c r="X305" s="30" t="str">
        <f t="shared" si="307"/>
        <v>ok</v>
      </c>
      <c r="Y305" s="66" t="str">
        <f t="shared" si="308"/>
        <v/>
      </c>
    </row>
    <row r="306" spans="1:25" ht="12" hidden="1" customHeight="1" x14ac:dyDescent="0.25">
      <c r="A306" s="29" t="s">
        <v>428</v>
      </c>
      <c r="D306" s="29" t="s">
        <v>1632</v>
      </c>
      <c r="F306" s="32">
        <f t="shared" ref="F306:T306" si="309">SUM(F303:F305)</f>
        <v>28318995.296634056</v>
      </c>
      <c r="G306" s="32">
        <f t="shared" si="309"/>
        <v>12164546.189698443</v>
      </c>
      <c r="H306" s="32">
        <f t="shared" si="309"/>
        <v>3588481.0848212028</v>
      </c>
      <c r="I306" s="32">
        <f>SUM(I303:I305)</f>
        <v>317397.54577279813</v>
      </c>
      <c r="J306" s="32">
        <f>SUM(J303:J305)</f>
        <v>2707336.2850101236</v>
      </c>
      <c r="K306" s="32">
        <f>SUM(K303:K305)</f>
        <v>179380.21738035668</v>
      </c>
      <c r="L306" s="32">
        <f t="shared" si="309"/>
        <v>2160047.0460268222</v>
      </c>
      <c r="M306" s="32">
        <f t="shared" si="309"/>
        <v>4613889.7413507057</v>
      </c>
      <c r="N306" s="32">
        <f t="shared" si="309"/>
        <v>1476387.5904514589</v>
      </c>
      <c r="O306" s="32">
        <f t="shared" si="309"/>
        <v>902929.12336002919</v>
      </c>
      <c r="P306" s="32">
        <f>SUM(P303:P305)</f>
        <v>201517.68232982868</v>
      </c>
      <c r="Q306" s="32">
        <f t="shared" si="309"/>
        <v>2377.7949532139</v>
      </c>
      <c r="R306" s="32">
        <f t="shared" si="309"/>
        <v>1308.3732233264152</v>
      </c>
      <c r="S306" s="32">
        <f t="shared" si="309"/>
        <v>3396.6222557398705</v>
      </c>
      <c r="T306" s="32">
        <f t="shared" si="309"/>
        <v>0</v>
      </c>
      <c r="U306" s="32">
        <f t="shared" ref="U306:V306" si="310">SUM(U303:U305)</f>
        <v>0</v>
      </c>
      <c r="V306" s="32">
        <f t="shared" si="310"/>
        <v>0</v>
      </c>
      <c r="W306" s="34">
        <f>SUM(G306:V306)</f>
        <v>28318995.296634048</v>
      </c>
      <c r="X306" s="30" t="str">
        <f>IF(ABS(F306-W306)&lt;0.01,"ok","err")</f>
        <v>ok</v>
      </c>
      <c r="Y306" s="34" t="str">
        <f>IF(X306="err",W306-F306,"")</f>
        <v/>
      </c>
    </row>
    <row r="307" spans="1:25" ht="12" customHeight="1" x14ac:dyDescent="0.25">
      <c r="F307" s="33"/>
      <c r="G307" s="33"/>
    </row>
    <row r="308" spans="1:25" ht="12" customHeight="1" x14ac:dyDescent="0.25">
      <c r="A308" s="4" t="s">
        <v>1593</v>
      </c>
      <c r="F308" s="33"/>
      <c r="G308" s="33"/>
    </row>
    <row r="309" spans="1:25" ht="12" customHeight="1" x14ac:dyDescent="0.25">
      <c r="A309" s="39" t="s">
        <v>145</v>
      </c>
      <c r="C309" s="29" t="s">
        <v>790</v>
      </c>
      <c r="D309" s="29" t="s">
        <v>1633</v>
      </c>
      <c r="E309" s="29" t="s">
        <v>2129</v>
      </c>
      <c r="F309" s="32">
        <f>VLOOKUP(C309,'WSS-26'!$C$1:$AU$617,17,)</f>
        <v>0</v>
      </c>
      <c r="G309" s="32">
        <f t="shared" ref="G309:V309" si="311">IF(VLOOKUP($E309,$D$5:$V$970,3,)=0,0,(VLOOKUP($E309,$D$5:$V$970,G$1,)/VLOOKUP($E309,$D$5:$V$970,3,))*$F309)</f>
        <v>0</v>
      </c>
      <c r="H309" s="32">
        <f t="shared" si="311"/>
        <v>0</v>
      </c>
      <c r="I309" s="32">
        <f t="shared" si="311"/>
        <v>0</v>
      </c>
      <c r="J309" s="32">
        <f t="shared" si="311"/>
        <v>0</v>
      </c>
      <c r="K309" s="32">
        <f t="shared" si="311"/>
        <v>0</v>
      </c>
      <c r="L309" s="32">
        <f t="shared" si="311"/>
        <v>0</v>
      </c>
      <c r="M309" s="32">
        <f t="shared" si="311"/>
        <v>0</v>
      </c>
      <c r="N309" s="32">
        <f t="shared" si="311"/>
        <v>0</v>
      </c>
      <c r="O309" s="32">
        <f t="shared" si="311"/>
        <v>0</v>
      </c>
      <c r="P309" s="32">
        <f t="shared" si="311"/>
        <v>0</v>
      </c>
      <c r="Q309" s="32">
        <f t="shared" si="311"/>
        <v>0</v>
      </c>
      <c r="R309" s="32">
        <f t="shared" si="311"/>
        <v>0</v>
      </c>
      <c r="S309" s="32">
        <f t="shared" si="311"/>
        <v>0</v>
      </c>
      <c r="T309" s="32">
        <f t="shared" si="311"/>
        <v>0</v>
      </c>
      <c r="U309" s="32">
        <f t="shared" si="311"/>
        <v>0</v>
      </c>
      <c r="V309" s="32">
        <f t="shared" si="311"/>
        <v>0</v>
      </c>
      <c r="W309" s="34">
        <f t="shared" ref="W309" si="312">SUM(G309:V309)</f>
        <v>0</v>
      </c>
      <c r="X309" s="30" t="str">
        <f t="shared" ref="X309" si="313">IF(ABS(F309-W309)&lt;0.01,"ok","err")</f>
        <v>ok</v>
      </c>
      <c r="Y309" s="66" t="str">
        <f t="shared" ref="Y309" si="314">IF(X309="err",W309-F309,"")</f>
        <v/>
      </c>
    </row>
    <row r="310" spans="1:25" ht="12" customHeight="1" x14ac:dyDescent="0.25">
      <c r="F310" s="33"/>
    </row>
    <row r="311" spans="1:25" ht="12" customHeight="1" x14ac:dyDescent="0.25">
      <c r="A311" s="4" t="s">
        <v>1594</v>
      </c>
      <c r="F311" s="33"/>
      <c r="G311" s="33"/>
    </row>
    <row r="312" spans="1:25" ht="12" customHeight="1" x14ac:dyDescent="0.25">
      <c r="A312" s="39" t="s">
        <v>147</v>
      </c>
      <c r="C312" s="29" t="s">
        <v>790</v>
      </c>
      <c r="D312" s="29" t="s">
        <v>1634</v>
      </c>
      <c r="E312" s="29" t="s">
        <v>2129</v>
      </c>
      <c r="F312" s="32">
        <f>VLOOKUP(C312,'WSS-26'!$C$1:$AU$617,18,)</f>
        <v>7853987.0091663906</v>
      </c>
      <c r="G312" s="32">
        <f t="shared" ref="G312:V312" si="315">IF(VLOOKUP($E312,$D$5:$V$970,3,)=0,0,(VLOOKUP($E312,$D$5:$V$970,G$1,)/VLOOKUP($E312,$D$5:$V$970,3,))*$F312)</f>
        <v>3683167.7555774902</v>
      </c>
      <c r="H312" s="32">
        <f t="shared" si="315"/>
        <v>1086516.3087058682</v>
      </c>
      <c r="I312" s="32">
        <f t="shared" si="315"/>
        <v>96101.275629977332</v>
      </c>
      <c r="J312" s="32">
        <f t="shared" si="315"/>
        <v>819724.26697665663</v>
      </c>
      <c r="K312" s="32">
        <f t="shared" si="315"/>
        <v>54312.542559402209</v>
      </c>
      <c r="L312" s="32">
        <f t="shared" si="315"/>
        <v>654016.64035718713</v>
      </c>
      <c r="M312" s="32">
        <f t="shared" si="315"/>
        <v>1396988.4003995021</v>
      </c>
      <c r="N312" s="32">
        <f t="shared" si="315"/>
        <v>0</v>
      </c>
      <c r="O312" s="32">
        <f t="shared" si="315"/>
        <v>0</v>
      </c>
      <c r="P312" s="32">
        <f t="shared" si="315"/>
        <v>61015.299556713864</v>
      </c>
      <c r="Q312" s="32">
        <f t="shared" si="315"/>
        <v>719.9461093311387</v>
      </c>
      <c r="R312" s="32">
        <f t="shared" si="315"/>
        <v>396.14778827489499</v>
      </c>
      <c r="S312" s="32">
        <f t="shared" si="315"/>
        <v>1028.4255059849545</v>
      </c>
      <c r="T312" s="32">
        <f t="shared" si="315"/>
        <v>0</v>
      </c>
      <c r="U312" s="32">
        <f t="shared" si="315"/>
        <v>0</v>
      </c>
      <c r="V312" s="32">
        <f t="shared" si="315"/>
        <v>0</v>
      </c>
      <c r="W312" s="34">
        <f t="shared" ref="W312" si="316">SUM(G312:V312)</f>
        <v>7853987.0091663878</v>
      </c>
      <c r="X312" s="30" t="str">
        <f t="shared" ref="X312" si="317">IF(ABS(F312-W312)&lt;0.01,"ok","err")</f>
        <v>ok</v>
      </c>
      <c r="Y312" s="66" t="str">
        <f t="shared" ref="Y312" si="318">IF(X312="err",W312-F312,"")</f>
        <v/>
      </c>
    </row>
    <row r="313" spans="1:25" ht="12" customHeight="1" x14ac:dyDescent="0.25">
      <c r="F313" s="33"/>
    </row>
    <row r="314" spans="1:25" ht="12" customHeight="1" x14ac:dyDescent="0.25">
      <c r="A314" s="4" t="s">
        <v>146</v>
      </c>
      <c r="F314" s="33"/>
    </row>
    <row r="315" spans="1:25" ht="12" customHeight="1" x14ac:dyDescent="0.25">
      <c r="A315" s="39" t="s">
        <v>767</v>
      </c>
      <c r="C315" s="29" t="s">
        <v>790</v>
      </c>
      <c r="D315" s="29" t="s">
        <v>1635</v>
      </c>
      <c r="E315" s="29" t="s">
        <v>2129</v>
      </c>
      <c r="F315" s="32">
        <f>VLOOKUP(C315,'WSS-26'!$C$1:$AU$617,19,)</f>
        <v>0</v>
      </c>
      <c r="G315" s="32">
        <f t="shared" ref="G315:V319" si="319">IF(VLOOKUP($E315,$D$5:$V$970,3,)=0,0,(VLOOKUP($E315,$D$5:$V$970,G$1,)/VLOOKUP($E315,$D$5:$V$970,3,))*$F315)</f>
        <v>0</v>
      </c>
      <c r="H315" s="32">
        <f t="shared" si="319"/>
        <v>0</v>
      </c>
      <c r="I315" s="32">
        <f t="shared" si="319"/>
        <v>0</v>
      </c>
      <c r="J315" s="32">
        <f t="shared" si="319"/>
        <v>0</v>
      </c>
      <c r="K315" s="32">
        <f t="shared" si="319"/>
        <v>0</v>
      </c>
      <c r="L315" s="32">
        <f t="shared" si="319"/>
        <v>0</v>
      </c>
      <c r="M315" s="32">
        <f t="shared" si="319"/>
        <v>0</v>
      </c>
      <c r="N315" s="32">
        <f t="shared" si="319"/>
        <v>0</v>
      </c>
      <c r="O315" s="32">
        <f t="shared" si="319"/>
        <v>0</v>
      </c>
      <c r="P315" s="32">
        <f t="shared" si="319"/>
        <v>0</v>
      </c>
      <c r="Q315" s="32">
        <f t="shared" si="319"/>
        <v>0</v>
      </c>
      <c r="R315" s="32">
        <f t="shared" si="319"/>
        <v>0</v>
      </c>
      <c r="S315" s="32">
        <f t="shared" si="319"/>
        <v>0</v>
      </c>
      <c r="T315" s="32">
        <f t="shared" si="319"/>
        <v>0</v>
      </c>
      <c r="U315" s="32">
        <f t="shared" si="319"/>
        <v>0</v>
      </c>
      <c r="V315" s="32">
        <f t="shared" si="319"/>
        <v>0</v>
      </c>
      <c r="W315" s="34">
        <f t="shared" ref="W315:W319" si="320">SUM(G315:V315)</f>
        <v>0</v>
      </c>
      <c r="X315" s="30" t="str">
        <f t="shared" ref="X315:X319" si="321">IF(ABS(F315-W315)&lt;0.01,"ok","err")</f>
        <v>ok</v>
      </c>
      <c r="Y315" s="66" t="str">
        <f t="shared" ref="Y315:Y319" si="322">IF(X315="err",W315-F315,"")</f>
        <v/>
      </c>
    </row>
    <row r="316" spans="1:25" ht="12" customHeight="1" x14ac:dyDescent="0.25">
      <c r="A316" s="39" t="s">
        <v>768</v>
      </c>
      <c r="C316" s="29" t="s">
        <v>790</v>
      </c>
      <c r="D316" s="29" t="s">
        <v>1636</v>
      </c>
      <c r="E316" s="29" t="s">
        <v>2129</v>
      </c>
      <c r="F316" s="33">
        <f>VLOOKUP(C316,'WSS-26'!$C$1:$AU$617,20,)</f>
        <v>6425610.1263050996</v>
      </c>
      <c r="G316" s="32">
        <f t="shared" si="319"/>
        <v>3013323.0421056021</v>
      </c>
      <c r="H316" s="32">
        <f t="shared" si="319"/>
        <v>888915.42441665847</v>
      </c>
      <c r="I316" s="32">
        <f t="shared" si="319"/>
        <v>78623.6759900576</v>
      </c>
      <c r="J316" s="32">
        <f t="shared" si="319"/>
        <v>670643.90920380258</v>
      </c>
      <c r="K316" s="32">
        <f t="shared" si="319"/>
        <v>44434.912236010037</v>
      </c>
      <c r="L316" s="32">
        <f t="shared" si="319"/>
        <v>535072.9434803616</v>
      </c>
      <c r="M316" s="32">
        <f t="shared" si="319"/>
        <v>1142923.0531526632</v>
      </c>
      <c r="N316" s="32">
        <f t="shared" si="319"/>
        <v>0</v>
      </c>
      <c r="O316" s="32">
        <f t="shared" si="319"/>
        <v>0</v>
      </c>
      <c r="P316" s="32">
        <f t="shared" si="319"/>
        <v>49918.662487420173</v>
      </c>
      <c r="Q316" s="32">
        <f t="shared" si="319"/>
        <v>589.01205274633242</v>
      </c>
      <c r="R316" s="32">
        <f t="shared" si="319"/>
        <v>324.10178892347164</v>
      </c>
      <c r="S316" s="32">
        <f t="shared" si="319"/>
        <v>841.38939085267975</v>
      </c>
      <c r="T316" s="32">
        <f t="shared" si="319"/>
        <v>0</v>
      </c>
      <c r="U316" s="32">
        <f t="shared" si="319"/>
        <v>0</v>
      </c>
      <c r="V316" s="32">
        <f t="shared" si="319"/>
        <v>0</v>
      </c>
      <c r="W316" s="34">
        <f t="shared" si="320"/>
        <v>6425610.1263050968</v>
      </c>
      <c r="X316" s="30" t="str">
        <f t="shared" si="321"/>
        <v>ok</v>
      </c>
      <c r="Y316" s="66" t="str">
        <f t="shared" si="322"/>
        <v/>
      </c>
    </row>
    <row r="317" spans="1:25" ht="12" customHeight="1" x14ac:dyDescent="0.25">
      <c r="A317" s="39" t="s">
        <v>769</v>
      </c>
      <c r="C317" s="29" t="s">
        <v>790</v>
      </c>
      <c r="D317" s="29" t="s">
        <v>1637</v>
      </c>
      <c r="E317" s="29" t="s">
        <v>872</v>
      </c>
      <c r="F317" s="33">
        <f>VLOOKUP(C317,'WSS-26'!$C$1:$AU$617,21,)</f>
        <v>12091461.903478473</v>
      </c>
      <c r="G317" s="32">
        <f t="shared" si="319"/>
        <v>9657780.7354744822</v>
      </c>
      <c r="H317" s="32">
        <f t="shared" si="319"/>
        <v>1868584.7160271795</v>
      </c>
      <c r="I317" s="32">
        <f t="shared" si="319"/>
        <v>12348.207244794066</v>
      </c>
      <c r="J317" s="32">
        <f t="shared" si="319"/>
        <v>98918.434380339546</v>
      </c>
      <c r="K317" s="32">
        <f t="shared" si="319"/>
        <v>4558.657154888132</v>
      </c>
      <c r="L317" s="32">
        <f t="shared" si="319"/>
        <v>16375.758711734066</v>
      </c>
      <c r="M317" s="32">
        <f t="shared" si="319"/>
        <v>5731.5155491069236</v>
      </c>
      <c r="N317" s="32">
        <f t="shared" si="319"/>
        <v>0</v>
      </c>
      <c r="O317" s="32">
        <f t="shared" si="319"/>
        <v>0</v>
      </c>
      <c r="P317" s="32">
        <f t="shared" si="319"/>
        <v>425083.71499148611</v>
      </c>
      <c r="Q317" s="32">
        <f t="shared" si="319"/>
        <v>66.388210993516481</v>
      </c>
      <c r="R317" s="32">
        <f t="shared" si="319"/>
        <v>1880.9993114829672</v>
      </c>
      <c r="S317" s="32">
        <f t="shared" si="319"/>
        <v>132.77642198703296</v>
      </c>
      <c r="T317" s="32">
        <f t="shared" si="319"/>
        <v>0</v>
      </c>
      <c r="U317" s="32">
        <f t="shared" si="319"/>
        <v>0</v>
      </c>
      <c r="V317" s="32">
        <f t="shared" si="319"/>
        <v>0</v>
      </c>
      <c r="W317" s="34">
        <f t="shared" si="320"/>
        <v>12091461.903478473</v>
      </c>
      <c r="X317" s="30" t="str">
        <f t="shared" si="321"/>
        <v>ok</v>
      </c>
      <c r="Y317" s="66" t="str">
        <f t="shared" si="322"/>
        <v/>
      </c>
    </row>
    <row r="318" spans="1:25" ht="12" customHeight="1" x14ac:dyDescent="0.25">
      <c r="A318" s="39" t="s">
        <v>770</v>
      </c>
      <c r="C318" s="29" t="s">
        <v>790</v>
      </c>
      <c r="D318" s="29" t="s">
        <v>1638</v>
      </c>
      <c r="E318" s="29" t="s">
        <v>709</v>
      </c>
      <c r="F318" s="33">
        <f>VLOOKUP(C318,'WSS-26'!$C$1:$AU$617,22,)</f>
        <v>3500134.4025173555</v>
      </c>
      <c r="G318" s="32">
        <f t="shared" si="319"/>
        <v>2721382.6440628152</v>
      </c>
      <c r="H318" s="32">
        <f t="shared" si="319"/>
        <v>713112.58384561667</v>
      </c>
      <c r="I318" s="32">
        <f t="shared" si="319"/>
        <v>42607.05231834705</v>
      </c>
      <c r="J318" s="32">
        <f t="shared" si="319"/>
        <v>0</v>
      </c>
      <c r="K318" s="32">
        <f t="shared" si="319"/>
        <v>0</v>
      </c>
      <c r="L318" s="32">
        <f t="shared" si="319"/>
        <v>0</v>
      </c>
      <c r="M318" s="32">
        <f t="shared" si="319"/>
        <v>0</v>
      </c>
      <c r="N318" s="32">
        <f t="shared" si="319"/>
        <v>0</v>
      </c>
      <c r="O318" s="32">
        <f t="shared" si="319"/>
        <v>0</v>
      </c>
      <c r="P318" s="32">
        <f t="shared" si="319"/>
        <v>22618.386018005414</v>
      </c>
      <c r="Q318" s="32">
        <f t="shared" si="319"/>
        <v>266.88419349440045</v>
      </c>
      <c r="R318" s="32">
        <f t="shared" si="319"/>
        <v>146.85207907652909</v>
      </c>
      <c r="S318" s="32">
        <f t="shared" si="319"/>
        <v>0</v>
      </c>
      <c r="T318" s="32">
        <f t="shared" si="319"/>
        <v>0</v>
      </c>
      <c r="U318" s="32">
        <f t="shared" si="319"/>
        <v>0</v>
      </c>
      <c r="V318" s="32">
        <f t="shared" si="319"/>
        <v>0</v>
      </c>
      <c r="W318" s="34">
        <f t="shared" si="320"/>
        <v>3500134.4025173555</v>
      </c>
      <c r="X318" s="30" t="str">
        <f t="shared" si="321"/>
        <v>ok</v>
      </c>
      <c r="Y318" s="66" t="str">
        <f t="shared" si="322"/>
        <v/>
      </c>
    </row>
    <row r="319" spans="1:25" ht="12" customHeight="1" x14ac:dyDescent="0.25">
      <c r="A319" s="39" t="s">
        <v>771</v>
      </c>
      <c r="C319" s="29" t="s">
        <v>790</v>
      </c>
      <c r="D319" s="29" t="s">
        <v>1639</v>
      </c>
      <c r="E319" s="29" t="s">
        <v>871</v>
      </c>
      <c r="F319" s="33">
        <f>VLOOKUP(C319,'WSS-26'!$C$1:$AU$617,23,)</f>
        <v>6483921.4195622746</v>
      </c>
      <c r="G319" s="32">
        <f t="shared" si="319"/>
        <v>5183296.1877915906</v>
      </c>
      <c r="H319" s="32">
        <f t="shared" si="319"/>
        <v>1002862.6969727401</v>
      </c>
      <c r="I319" s="32">
        <f t="shared" si="319"/>
        <v>6627.2384195784998</v>
      </c>
      <c r="J319" s="32">
        <f t="shared" si="319"/>
        <v>53089.167984795509</v>
      </c>
      <c r="K319" s="32">
        <f t="shared" si="319"/>
        <v>0</v>
      </c>
      <c r="L319" s="32">
        <f t="shared" si="319"/>
        <v>8788.8108073263247</v>
      </c>
      <c r="M319" s="32">
        <f t="shared" si="319"/>
        <v>0</v>
      </c>
      <c r="N319" s="32">
        <f t="shared" si="319"/>
        <v>0</v>
      </c>
      <c r="O319" s="32">
        <f t="shared" si="319"/>
        <v>0</v>
      </c>
      <c r="P319" s="32">
        <f t="shared" si="319"/>
        <v>228140.90107828568</v>
      </c>
      <c r="Q319" s="32">
        <f t="shared" si="319"/>
        <v>35.630314083755373</v>
      </c>
      <c r="R319" s="32">
        <f t="shared" si="319"/>
        <v>1009.5255657064023</v>
      </c>
      <c r="S319" s="32">
        <f t="shared" si="319"/>
        <v>71.260628167510745</v>
      </c>
      <c r="T319" s="32">
        <f t="shared" si="319"/>
        <v>0</v>
      </c>
      <c r="U319" s="32">
        <f t="shared" si="319"/>
        <v>0</v>
      </c>
      <c r="V319" s="32">
        <f t="shared" si="319"/>
        <v>0</v>
      </c>
      <c r="W319" s="34">
        <f t="shared" si="320"/>
        <v>6483921.4195622737</v>
      </c>
      <c r="X319" s="30" t="str">
        <f t="shared" si="321"/>
        <v>ok</v>
      </c>
      <c r="Y319" s="66" t="str">
        <f t="shared" si="322"/>
        <v/>
      </c>
    </row>
    <row r="320" spans="1:25" ht="12" customHeight="1" x14ac:dyDescent="0.25">
      <c r="A320" s="29" t="s">
        <v>151</v>
      </c>
      <c r="D320" s="29" t="s">
        <v>1640</v>
      </c>
      <c r="F320" s="32">
        <f>SUM(F315:F319)</f>
        <v>28501127.851863205</v>
      </c>
      <c r="G320" s="32">
        <f t="shared" ref="G320:T320" si="323">SUM(G315:G319)</f>
        <v>20575782.609434489</v>
      </c>
      <c r="H320" s="32">
        <f t="shared" si="323"/>
        <v>4473475.4212621953</v>
      </c>
      <c r="I320" s="32">
        <f>SUM(I315:I319)</f>
        <v>140206.17397277724</v>
      </c>
      <c r="J320" s="32">
        <f>SUM(J315:J319)</f>
        <v>822651.51156893768</v>
      </c>
      <c r="K320" s="32">
        <f>SUM(K315:K319)</f>
        <v>48993.56939089817</v>
      </c>
      <c r="L320" s="32">
        <f t="shared" si="323"/>
        <v>560237.51299942203</v>
      </c>
      <c r="M320" s="32">
        <f t="shared" si="323"/>
        <v>1148654.5687017702</v>
      </c>
      <c r="N320" s="32">
        <f t="shared" si="323"/>
        <v>0</v>
      </c>
      <c r="O320" s="32">
        <f t="shared" si="323"/>
        <v>0</v>
      </c>
      <c r="P320" s="32">
        <f>SUM(P315:P319)</f>
        <v>725761.66457519738</v>
      </c>
      <c r="Q320" s="32">
        <f t="shared" si="323"/>
        <v>957.9147713180048</v>
      </c>
      <c r="R320" s="32">
        <f t="shared" si="323"/>
        <v>3361.4787451893703</v>
      </c>
      <c r="S320" s="32">
        <f t="shared" si="323"/>
        <v>1045.4264410072235</v>
      </c>
      <c r="T320" s="32">
        <f t="shared" si="323"/>
        <v>0</v>
      </c>
      <c r="U320" s="32">
        <f t="shared" ref="U320:V320" si="324">SUM(U315:U319)</f>
        <v>0</v>
      </c>
      <c r="V320" s="32">
        <f t="shared" si="324"/>
        <v>0</v>
      </c>
      <c r="W320" s="34">
        <f t="shared" ref="W320" si="325">SUM(G320:V320)</f>
        <v>28501127.851863198</v>
      </c>
      <c r="X320" s="30" t="str">
        <f t="shared" ref="X320" si="326">IF(ABS(F320-W320)&lt;0.01,"ok","err")</f>
        <v>ok</v>
      </c>
      <c r="Y320" s="34" t="str">
        <f t="shared" ref="Y320" si="327">IF(X320="err",W320-F320,"")</f>
        <v/>
      </c>
    </row>
    <row r="321" spans="1:25" ht="12" customHeight="1" x14ac:dyDescent="0.25">
      <c r="F321" s="33"/>
    </row>
    <row r="322" spans="1:25" ht="12" customHeight="1" x14ac:dyDescent="0.25">
      <c r="A322" s="4" t="s">
        <v>766</v>
      </c>
      <c r="F322" s="33"/>
    </row>
    <row r="323" spans="1:25" ht="12" customHeight="1" x14ac:dyDescent="0.25">
      <c r="A323" s="39" t="s">
        <v>375</v>
      </c>
      <c r="C323" s="29" t="s">
        <v>790</v>
      </c>
      <c r="D323" s="29" t="s">
        <v>1641</v>
      </c>
      <c r="E323" s="29" t="s">
        <v>2058</v>
      </c>
      <c r="F323" s="32">
        <f>VLOOKUP(C323,'WSS-26'!$C$1:$AU$617,24,)</f>
        <v>4741348.1620255876</v>
      </c>
      <c r="G323" s="32">
        <f t="shared" ref="G323:V324" si="328">IF(VLOOKUP($E323,$D$5:$V$970,3,)=0,0,(VLOOKUP($E323,$D$5:$V$970,G$1,)/VLOOKUP($E323,$D$5:$V$970,3,))*$F323)</f>
        <v>3022680.4577766024</v>
      </c>
      <c r="H323" s="32">
        <f t="shared" si="328"/>
        <v>792064.82634382939</v>
      </c>
      <c r="I323" s="32">
        <f t="shared" si="328"/>
        <v>47324.291086777514</v>
      </c>
      <c r="J323" s="32">
        <f t="shared" si="328"/>
        <v>503236.70118406962</v>
      </c>
      <c r="K323" s="32">
        <f t="shared" si="328"/>
        <v>0</v>
      </c>
      <c r="L323" s="32">
        <f t="shared" si="328"/>
        <v>349809.45090350619</v>
      </c>
      <c r="M323" s="32">
        <f t="shared" si="328"/>
        <v>0</v>
      </c>
      <c r="N323" s="32">
        <f t="shared" si="328"/>
        <v>0</v>
      </c>
      <c r="O323" s="32">
        <f t="shared" si="328"/>
        <v>0</v>
      </c>
      <c r="P323" s="32">
        <f t="shared" si="328"/>
        <v>25122.580079736275</v>
      </c>
      <c r="Q323" s="32">
        <f t="shared" si="328"/>
        <v>296.43227053166044</v>
      </c>
      <c r="R323" s="32">
        <f t="shared" si="328"/>
        <v>163.11080346488865</v>
      </c>
      <c r="S323" s="32">
        <f t="shared" si="328"/>
        <v>650.31157706923432</v>
      </c>
      <c r="T323" s="32">
        <f t="shared" si="328"/>
        <v>0</v>
      </c>
      <c r="U323" s="32">
        <f t="shared" si="328"/>
        <v>0</v>
      </c>
      <c r="V323" s="32">
        <f t="shared" si="328"/>
        <v>0</v>
      </c>
      <c r="W323" s="34">
        <f t="shared" ref="W323:W324" si="329">SUM(G323:V323)</f>
        <v>4741348.1620255867</v>
      </c>
      <c r="X323" s="30" t="str">
        <f t="shared" ref="X323:X324" si="330">IF(ABS(F323-W323)&lt;0.01,"ok","err")</f>
        <v>ok</v>
      </c>
      <c r="Y323" s="66" t="str">
        <f t="shared" ref="Y323:Y324" si="331">IF(X323="err",W323-F323,"")</f>
        <v/>
      </c>
    </row>
    <row r="324" spans="1:25" ht="12" customHeight="1" x14ac:dyDescent="0.25">
      <c r="A324" s="39" t="s">
        <v>378</v>
      </c>
      <c r="C324" s="29" t="s">
        <v>790</v>
      </c>
      <c r="D324" s="29" t="s">
        <v>1642</v>
      </c>
      <c r="E324" s="29" t="s">
        <v>2057</v>
      </c>
      <c r="F324" s="33">
        <f>VLOOKUP(C324,'WSS-26'!$C$1:$AU$617,25,)</f>
        <v>4111943.3988286024</v>
      </c>
      <c r="G324" s="32">
        <f t="shared" si="328"/>
        <v>3287118.8844546406</v>
      </c>
      <c r="H324" s="32">
        <f t="shared" si="328"/>
        <v>635990.84256435931</v>
      </c>
      <c r="I324" s="32">
        <f t="shared" si="328"/>
        <v>4202.8315132925836</v>
      </c>
      <c r="J324" s="32">
        <f t="shared" si="328"/>
        <v>33667.843843042741</v>
      </c>
      <c r="K324" s="32">
        <f t="shared" si="328"/>
        <v>0</v>
      </c>
      <c r="L324" s="32">
        <f t="shared" si="328"/>
        <v>5573.6475265887311</v>
      </c>
      <c r="M324" s="32">
        <f t="shared" si="328"/>
        <v>0</v>
      </c>
      <c r="N324" s="32">
        <f t="shared" si="328"/>
        <v>0</v>
      </c>
      <c r="O324" s="32">
        <f t="shared" si="328"/>
        <v>0</v>
      </c>
      <c r="P324" s="32">
        <f t="shared" si="328"/>
        <v>144681.34505167964</v>
      </c>
      <c r="Q324" s="32">
        <f t="shared" si="328"/>
        <v>22.595868351035396</v>
      </c>
      <c r="R324" s="32">
        <f t="shared" si="328"/>
        <v>640.21626994600285</v>
      </c>
      <c r="S324" s="32">
        <f t="shared" si="328"/>
        <v>45.191736702070791</v>
      </c>
      <c r="T324" s="32">
        <f t="shared" si="328"/>
        <v>0</v>
      </c>
      <c r="U324" s="32">
        <f t="shared" si="328"/>
        <v>0</v>
      </c>
      <c r="V324" s="32">
        <f t="shared" si="328"/>
        <v>0</v>
      </c>
      <c r="W324" s="34">
        <f t="shared" si="329"/>
        <v>4111943.3988286029</v>
      </c>
      <c r="X324" s="30" t="str">
        <f t="shared" si="330"/>
        <v>ok</v>
      </c>
      <c r="Y324" s="66" t="str">
        <f t="shared" si="331"/>
        <v/>
      </c>
    </row>
    <row r="325" spans="1:25" ht="12" customHeight="1" x14ac:dyDescent="0.25">
      <c r="A325" s="29" t="s">
        <v>1434</v>
      </c>
      <c r="D325" s="29" t="s">
        <v>1643</v>
      </c>
      <c r="F325" s="32">
        <f t="shared" ref="F325:T325" si="332">F323+F324</f>
        <v>8853291.5608541891</v>
      </c>
      <c r="G325" s="32">
        <f t="shared" si="332"/>
        <v>6309799.3422312429</v>
      </c>
      <c r="H325" s="32">
        <f t="shared" si="332"/>
        <v>1428055.6689081886</v>
      </c>
      <c r="I325" s="32">
        <f>I323+I324</f>
        <v>51527.122600070099</v>
      </c>
      <c r="J325" s="32">
        <f>J323+J324</f>
        <v>536904.54502711236</v>
      </c>
      <c r="K325" s="32">
        <f>K323+K324</f>
        <v>0</v>
      </c>
      <c r="L325" s="32">
        <f t="shared" si="332"/>
        <v>355383.09843009495</v>
      </c>
      <c r="M325" s="32">
        <f t="shared" si="332"/>
        <v>0</v>
      </c>
      <c r="N325" s="32">
        <f t="shared" si="332"/>
        <v>0</v>
      </c>
      <c r="O325" s="32">
        <f t="shared" si="332"/>
        <v>0</v>
      </c>
      <c r="P325" s="32">
        <f>P323+P324</f>
        <v>169803.92513141592</v>
      </c>
      <c r="Q325" s="32">
        <f t="shared" si="332"/>
        <v>319.02813888269583</v>
      </c>
      <c r="R325" s="32">
        <f t="shared" si="332"/>
        <v>803.32707341089144</v>
      </c>
      <c r="S325" s="32">
        <f t="shared" si="332"/>
        <v>695.5033137713051</v>
      </c>
      <c r="T325" s="32">
        <f t="shared" si="332"/>
        <v>0</v>
      </c>
      <c r="U325" s="32">
        <f t="shared" ref="U325:V325" si="333">U323+U324</f>
        <v>0</v>
      </c>
      <c r="V325" s="32">
        <f t="shared" si="333"/>
        <v>0</v>
      </c>
      <c r="W325" s="34">
        <f>SUM(G325:V325)</f>
        <v>8853291.5608541891</v>
      </c>
      <c r="X325" s="30" t="str">
        <f>IF(ABS(F325-W325)&lt;0.01,"ok","err")</f>
        <v>ok</v>
      </c>
      <c r="Y325" s="34" t="str">
        <f>IF(X325="err",W325-F325,"")</f>
        <v/>
      </c>
    </row>
    <row r="326" spans="1:25" ht="12" customHeight="1" x14ac:dyDescent="0.25">
      <c r="F326" s="33"/>
    </row>
    <row r="327" spans="1:25" ht="12" customHeight="1" x14ac:dyDescent="0.25">
      <c r="A327" s="4" t="s">
        <v>128</v>
      </c>
      <c r="F327" s="33"/>
    </row>
    <row r="328" spans="1:25" ht="12" customHeight="1" x14ac:dyDescent="0.25">
      <c r="A328" s="39" t="s">
        <v>378</v>
      </c>
      <c r="C328" s="29" t="s">
        <v>790</v>
      </c>
      <c r="D328" s="29" t="s">
        <v>1644</v>
      </c>
      <c r="E328" s="29" t="s">
        <v>379</v>
      </c>
      <c r="F328" s="32">
        <f>VLOOKUP(C328,'WSS-26'!$C$1:$AU$617,26,)</f>
        <v>3044885.6946170195</v>
      </c>
      <c r="G328" s="32">
        <f t="shared" ref="G328:V328" si="334">IF(VLOOKUP($E328,$D$5:$V$970,3,)=0,0,(VLOOKUP($E328,$D$5:$V$970,G$1,)/VLOOKUP($E328,$D$5:$V$970,3,))*$F328)</f>
        <v>2136574.1462520226</v>
      </c>
      <c r="H328" s="32">
        <f t="shared" si="334"/>
        <v>837911.73943286925</v>
      </c>
      <c r="I328" s="32">
        <f t="shared" si="334"/>
        <v>7190.0534375637981</v>
      </c>
      <c r="J328" s="32">
        <f t="shared" si="334"/>
        <v>53600.459321943417</v>
      </c>
      <c r="K328" s="32">
        <f t="shared" si="334"/>
        <v>0</v>
      </c>
      <c r="L328" s="32">
        <f t="shared" si="334"/>
        <v>9537.343881786388</v>
      </c>
      <c r="M328" s="32">
        <f t="shared" si="334"/>
        <v>0</v>
      </c>
      <c r="N328" s="32">
        <f t="shared" si="334"/>
        <v>0</v>
      </c>
      <c r="O328" s="32">
        <f t="shared" si="334"/>
        <v>0</v>
      </c>
      <c r="P328" s="32">
        <f t="shared" si="334"/>
        <v>0</v>
      </c>
      <c r="Q328" s="32">
        <f t="shared" si="334"/>
        <v>0</v>
      </c>
      <c r="R328" s="32">
        <f t="shared" si="334"/>
        <v>0</v>
      </c>
      <c r="S328" s="32">
        <f t="shared" si="334"/>
        <v>71.952290834139845</v>
      </c>
      <c r="T328" s="32">
        <f t="shared" si="334"/>
        <v>0</v>
      </c>
      <c r="U328" s="32">
        <f t="shared" si="334"/>
        <v>0</v>
      </c>
      <c r="V328" s="32">
        <f t="shared" si="334"/>
        <v>0</v>
      </c>
      <c r="W328" s="34">
        <f t="shared" ref="W328" si="335">SUM(G328:V328)</f>
        <v>3044885.694617019</v>
      </c>
      <c r="X328" s="30" t="str">
        <f t="shared" ref="X328" si="336">IF(ABS(F328-W328)&lt;0.01,"ok","err")</f>
        <v>ok</v>
      </c>
      <c r="Y328" s="66" t="str">
        <f t="shared" ref="Y328" si="337">IF(X328="err",W328-F328,"")</f>
        <v/>
      </c>
    </row>
    <row r="329" spans="1:25" ht="12" customHeight="1" x14ac:dyDescent="0.25">
      <c r="F329" s="33"/>
    </row>
    <row r="330" spans="1:25" ht="12" customHeight="1" x14ac:dyDescent="0.25">
      <c r="A330" s="4" t="s">
        <v>127</v>
      </c>
      <c r="F330" s="33"/>
    </row>
    <row r="331" spans="1:25" ht="12" customHeight="1" x14ac:dyDescent="0.25">
      <c r="A331" s="39" t="s">
        <v>378</v>
      </c>
      <c r="C331" s="29" t="s">
        <v>790</v>
      </c>
      <c r="D331" s="29" t="s">
        <v>1645</v>
      </c>
      <c r="E331" s="29" t="s">
        <v>2311</v>
      </c>
      <c r="F331" s="32">
        <f>VLOOKUP(C331,'WSS-26'!$C$1:$AU$617,27,)</f>
        <v>2175671.6470483094</v>
      </c>
      <c r="G331" s="32">
        <f t="shared" ref="G331:V331" si="338">IF(VLOOKUP($E331,$D$5:$V$970,3,)=0,0,(VLOOKUP($E331,$D$5:$V$970,G$1,)/VLOOKUP($E331,$D$5:$V$970,3,))*$F331)</f>
        <v>1331113.8915154785</v>
      </c>
      <c r="H331" s="32">
        <f t="shared" si="338"/>
        <v>512074.55974940094</v>
      </c>
      <c r="I331" s="32">
        <f t="shared" si="338"/>
        <v>11248.461910629629</v>
      </c>
      <c r="J331" s="32">
        <f t="shared" si="338"/>
        <v>144466.17844204299</v>
      </c>
      <c r="K331" s="32">
        <f t="shared" si="338"/>
        <v>33975.687556731653</v>
      </c>
      <c r="L331" s="32">
        <f t="shared" si="338"/>
        <v>28067.725724371954</v>
      </c>
      <c r="M331" s="32">
        <f t="shared" si="338"/>
        <v>60421.475085079554</v>
      </c>
      <c r="N331" s="32">
        <f t="shared" si="338"/>
        <v>35823.33732247461</v>
      </c>
      <c r="O331" s="32">
        <f t="shared" si="338"/>
        <v>1810.4581081116612</v>
      </c>
      <c r="P331" s="32">
        <f t="shared" si="338"/>
        <v>0</v>
      </c>
      <c r="Q331" s="32">
        <f t="shared" si="338"/>
        <v>94.55166835312103</v>
      </c>
      <c r="R331" s="32">
        <f t="shared" si="338"/>
        <v>2333.2911706495997</v>
      </c>
      <c r="S331" s="32">
        <f t="shared" si="338"/>
        <v>193.92879498521691</v>
      </c>
      <c r="T331" s="32">
        <f t="shared" si="338"/>
        <v>14048.1</v>
      </c>
      <c r="U331" s="32">
        <f t="shared" si="338"/>
        <v>0</v>
      </c>
      <c r="V331" s="32">
        <f t="shared" si="338"/>
        <v>0</v>
      </c>
      <c r="W331" s="34">
        <f t="shared" ref="W331" si="339">SUM(G331:V331)</f>
        <v>2175671.6470483094</v>
      </c>
      <c r="X331" s="30" t="str">
        <f t="shared" ref="X331" si="340">IF(ABS(F331-W331)&lt;0.01,"ok","err")</f>
        <v>ok</v>
      </c>
      <c r="Y331" s="66" t="str">
        <f t="shared" ref="Y331" si="341">IF(X331="err",W331-F331,"")</f>
        <v/>
      </c>
    </row>
    <row r="332" spans="1:25" ht="12" customHeight="1" x14ac:dyDescent="0.25">
      <c r="F332" s="33"/>
    </row>
    <row r="333" spans="1:25" ht="12" customHeight="1" x14ac:dyDescent="0.25">
      <c r="A333" s="4" t="s">
        <v>144</v>
      </c>
      <c r="F333" s="33"/>
    </row>
    <row r="334" spans="1:25" ht="12" customHeight="1" x14ac:dyDescent="0.25">
      <c r="A334" s="39" t="s">
        <v>378</v>
      </c>
      <c r="C334" s="29" t="s">
        <v>790</v>
      </c>
      <c r="D334" s="29" t="s">
        <v>1646</v>
      </c>
      <c r="E334" s="29" t="s">
        <v>381</v>
      </c>
      <c r="F334" s="32">
        <f>VLOOKUP(C334,'WSS-26'!$C$1:$AU$617,28,)</f>
        <v>3565165.7479517367</v>
      </c>
      <c r="G334" s="32">
        <f t="shared" ref="G334:V334" si="342">IF(VLOOKUP($E334,$D$5:$V$970,3,)=0,0,(VLOOKUP($E334,$D$5:$V$970,G$1,)/VLOOKUP($E334,$D$5:$V$970,3,))*$F334)</f>
        <v>0</v>
      </c>
      <c r="H334" s="32">
        <f t="shared" si="342"/>
        <v>0</v>
      </c>
      <c r="I334" s="32">
        <f t="shared" si="342"/>
        <v>0</v>
      </c>
      <c r="J334" s="32">
        <f t="shared" si="342"/>
        <v>0</v>
      </c>
      <c r="K334" s="32">
        <f t="shared" si="342"/>
        <v>0</v>
      </c>
      <c r="L334" s="32">
        <f t="shared" si="342"/>
        <v>0</v>
      </c>
      <c r="M334" s="32">
        <f t="shared" si="342"/>
        <v>0</v>
      </c>
      <c r="N334" s="32">
        <f t="shared" si="342"/>
        <v>0</v>
      </c>
      <c r="O334" s="32">
        <f t="shared" si="342"/>
        <v>0</v>
      </c>
      <c r="P334" s="32">
        <f t="shared" si="342"/>
        <v>3565165.7479517367</v>
      </c>
      <c r="Q334" s="32">
        <f t="shared" si="342"/>
        <v>0</v>
      </c>
      <c r="R334" s="32">
        <f t="shared" si="342"/>
        <v>0</v>
      </c>
      <c r="S334" s="32">
        <f t="shared" si="342"/>
        <v>0</v>
      </c>
      <c r="T334" s="32">
        <f t="shared" si="342"/>
        <v>0</v>
      </c>
      <c r="U334" s="32">
        <f t="shared" si="342"/>
        <v>0</v>
      </c>
      <c r="V334" s="32">
        <f t="shared" si="342"/>
        <v>0</v>
      </c>
      <c r="W334" s="34">
        <f t="shared" ref="W334" si="343">SUM(G334:V334)</f>
        <v>3565165.7479517367</v>
      </c>
      <c r="X334" s="30" t="str">
        <f t="shared" ref="X334" si="344">IF(ABS(F334-W334)&lt;0.01,"ok","err")</f>
        <v>ok</v>
      </c>
      <c r="Y334" s="66" t="str">
        <f t="shared" ref="Y334" si="345">IF(X334="err",W334-F334,"")</f>
        <v/>
      </c>
    </row>
    <row r="335" spans="1:25" ht="12" customHeight="1" x14ac:dyDescent="0.25">
      <c r="F335" s="33"/>
    </row>
    <row r="336" spans="1:25" ht="12" customHeight="1" x14ac:dyDescent="0.25">
      <c r="A336" s="4" t="s">
        <v>279</v>
      </c>
      <c r="F336" s="33"/>
    </row>
    <row r="337" spans="1:25" ht="12" customHeight="1" x14ac:dyDescent="0.25">
      <c r="A337" s="39" t="s">
        <v>378</v>
      </c>
      <c r="C337" s="29" t="s">
        <v>790</v>
      </c>
      <c r="D337" s="29" t="s">
        <v>1647</v>
      </c>
      <c r="E337" s="29" t="s">
        <v>382</v>
      </c>
      <c r="F337" s="32">
        <f>VLOOKUP(C337,'WSS-26'!$C$1:$AU$617,30,)</f>
        <v>0</v>
      </c>
      <c r="G337" s="32">
        <f t="shared" ref="G337:V337" si="346">IF(VLOOKUP($E337,$D$5:$V$970,3,)=0,0,(VLOOKUP($E337,$D$5:$V$970,G$1,)/VLOOKUP($E337,$D$5:$V$970,3,))*$F337)</f>
        <v>0</v>
      </c>
      <c r="H337" s="32">
        <f t="shared" si="346"/>
        <v>0</v>
      </c>
      <c r="I337" s="32">
        <f t="shared" si="346"/>
        <v>0</v>
      </c>
      <c r="J337" s="32">
        <f t="shared" si="346"/>
        <v>0</v>
      </c>
      <c r="K337" s="32">
        <f t="shared" si="346"/>
        <v>0</v>
      </c>
      <c r="L337" s="32">
        <f t="shared" si="346"/>
        <v>0</v>
      </c>
      <c r="M337" s="32">
        <f t="shared" si="346"/>
        <v>0</v>
      </c>
      <c r="N337" s="32">
        <f t="shared" si="346"/>
        <v>0</v>
      </c>
      <c r="O337" s="32">
        <f t="shared" si="346"/>
        <v>0</v>
      </c>
      <c r="P337" s="32">
        <f t="shared" si="346"/>
        <v>0</v>
      </c>
      <c r="Q337" s="32">
        <f t="shared" si="346"/>
        <v>0</v>
      </c>
      <c r="R337" s="32">
        <f t="shared" si="346"/>
        <v>0</v>
      </c>
      <c r="S337" s="32">
        <f t="shared" si="346"/>
        <v>0</v>
      </c>
      <c r="T337" s="32">
        <f t="shared" si="346"/>
        <v>0</v>
      </c>
      <c r="U337" s="32">
        <f t="shared" si="346"/>
        <v>0</v>
      </c>
      <c r="V337" s="32">
        <f t="shared" si="346"/>
        <v>0</v>
      </c>
      <c r="W337" s="34">
        <f t="shared" ref="W337" si="347">SUM(G337:V337)</f>
        <v>0</v>
      </c>
      <c r="X337" s="30" t="str">
        <f t="shared" ref="X337" si="348">IF(ABS(F337-W337)&lt;0.01,"ok","err")</f>
        <v>ok</v>
      </c>
      <c r="Y337" s="66" t="str">
        <f t="shared" ref="Y337" si="349">IF(X337="err",W337-F337,"")</f>
        <v/>
      </c>
    </row>
    <row r="338" spans="1:25" ht="12" customHeight="1" x14ac:dyDescent="0.25">
      <c r="F338" s="33"/>
    </row>
    <row r="339" spans="1:25" ht="12" customHeight="1" x14ac:dyDescent="0.25">
      <c r="A339" s="4" t="s">
        <v>1596</v>
      </c>
      <c r="F339" s="33"/>
    </row>
    <row r="340" spans="1:25" ht="12" customHeight="1" x14ac:dyDescent="0.25">
      <c r="A340" s="39" t="s">
        <v>378</v>
      </c>
      <c r="C340" s="29" t="s">
        <v>790</v>
      </c>
      <c r="D340" s="29" t="s">
        <v>1648</v>
      </c>
      <c r="E340" s="29" t="s">
        <v>382</v>
      </c>
      <c r="F340" s="32">
        <f>VLOOKUP(C340,'WSS-26'!$C$1:$AU$617,32,)</f>
        <v>0</v>
      </c>
      <c r="G340" s="32">
        <f t="shared" ref="G340:V340" si="350">IF(VLOOKUP($E340,$D$5:$V$970,3,)=0,0,(VLOOKUP($E340,$D$5:$V$970,G$1,)/VLOOKUP($E340,$D$5:$V$970,3,))*$F340)</f>
        <v>0</v>
      </c>
      <c r="H340" s="32">
        <f t="shared" si="350"/>
        <v>0</v>
      </c>
      <c r="I340" s="32">
        <f t="shared" si="350"/>
        <v>0</v>
      </c>
      <c r="J340" s="32">
        <f t="shared" si="350"/>
        <v>0</v>
      </c>
      <c r="K340" s="32">
        <f t="shared" si="350"/>
        <v>0</v>
      </c>
      <c r="L340" s="32">
        <f t="shared" si="350"/>
        <v>0</v>
      </c>
      <c r="M340" s="32">
        <f t="shared" si="350"/>
        <v>0</v>
      </c>
      <c r="N340" s="32">
        <f t="shared" si="350"/>
        <v>0</v>
      </c>
      <c r="O340" s="32">
        <f t="shared" si="350"/>
        <v>0</v>
      </c>
      <c r="P340" s="32">
        <f t="shared" si="350"/>
        <v>0</v>
      </c>
      <c r="Q340" s="32">
        <f t="shared" si="350"/>
        <v>0</v>
      </c>
      <c r="R340" s="32">
        <f t="shared" si="350"/>
        <v>0</v>
      </c>
      <c r="S340" s="32">
        <f t="shared" si="350"/>
        <v>0</v>
      </c>
      <c r="T340" s="32">
        <f t="shared" si="350"/>
        <v>0</v>
      </c>
      <c r="U340" s="32">
        <f t="shared" si="350"/>
        <v>0</v>
      </c>
      <c r="V340" s="32">
        <f t="shared" si="350"/>
        <v>0</v>
      </c>
      <c r="W340" s="34">
        <f t="shared" ref="W340" si="351">SUM(G340:V340)</f>
        <v>0</v>
      </c>
      <c r="X340" s="30" t="str">
        <f t="shared" ref="X340" si="352">IF(ABS(F340-W340)&lt;0.01,"ok","err")</f>
        <v>ok</v>
      </c>
      <c r="Y340" s="66" t="str">
        <f t="shared" ref="Y340" si="353">IF(X340="err",W340-F340,"")</f>
        <v/>
      </c>
    </row>
    <row r="341" spans="1:25" ht="12" customHeight="1" x14ac:dyDescent="0.25">
      <c r="F341" s="33"/>
    </row>
    <row r="342" spans="1:25" ht="12" customHeight="1" x14ac:dyDescent="0.25">
      <c r="A342" s="4" t="s">
        <v>1595</v>
      </c>
      <c r="F342" s="33"/>
    </row>
    <row r="343" spans="1:25" ht="12" customHeight="1" x14ac:dyDescent="0.25">
      <c r="A343" s="39" t="s">
        <v>378</v>
      </c>
      <c r="C343" s="29" t="s">
        <v>790</v>
      </c>
      <c r="D343" s="29" t="s">
        <v>1649</v>
      </c>
      <c r="E343" s="29" t="s">
        <v>383</v>
      </c>
      <c r="F343" s="32">
        <f>VLOOKUP(C343,'WSS-26'!$C$1:$AU$617,34,)</f>
        <v>0</v>
      </c>
      <c r="G343" s="32">
        <f t="shared" ref="G343:V343" si="354">IF(VLOOKUP($E343,$D$5:$V$970,3,)=0,0,(VLOOKUP($E343,$D$5:$V$970,G$1,)/VLOOKUP($E343,$D$5:$V$970,3,))*$F343)</f>
        <v>0</v>
      </c>
      <c r="H343" s="32">
        <f t="shared" si="354"/>
        <v>0</v>
      </c>
      <c r="I343" s="32">
        <f t="shared" si="354"/>
        <v>0</v>
      </c>
      <c r="J343" s="32">
        <f t="shared" si="354"/>
        <v>0</v>
      </c>
      <c r="K343" s="32">
        <f t="shared" si="354"/>
        <v>0</v>
      </c>
      <c r="L343" s="32">
        <f t="shared" si="354"/>
        <v>0</v>
      </c>
      <c r="M343" s="32">
        <f t="shared" si="354"/>
        <v>0</v>
      </c>
      <c r="N343" s="32">
        <f t="shared" si="354"/>
        <v>0</v>
      </c>
      <c r="O343" s="32">
        <f t="shared" si="354"/>
        <v>0</v>
      </c>
      <c r="P343" s="32">
        <f t="shared" si="354"/>
        <v>0</v>
      </c>
      <c r="Q343" s="32">
        <f t="shared" si="354"/>
        <v>0</v>
      </c>
      <c r="R343" s="32">
        <f t="shared" si="354"/>
        <v>0</v>
      </c>
      <c r="S343" s="32">
        <f t="shared" si="354"/>
        <v>0</v>
      </c>
      <c r="T343" s="32">
        <f t="shared" si="354"/>
        <v>0</v>
      </c>
      <c r="U343" s="32">
        <f t="shared" si="354"/>
        <v>0</v>
      </c>
      <c r="V343" s="32">
        <f t="shared" si="354"/>
        <v>0</v>
      </c>
      <c r="W343" s="34">
        <f t="shared" ref="W343" si="355">SUM(G343:V343)</f>
        <v>0</v>
      </c>
      <c r="X343" s="30" t="str">
        <f t="shared" ref="X343" si="356">IF(ABS(F343-W343)&lt;0.01,"ok","err")</f>
        <v>ok</v>
      </c>
      <c r="Y343" s="66" t="str">
        <f t="shared" ref="Y343" si="357">IF(X343="err",W343-F343,"")</f>
        <v/>
      </c>
    </row>
    <row r="344" spans="1:25" ht="12" customHeight="1" x14ac:dyDescent="0.25">
      <c r="F344" s="33"/>
    </row>
    <row r="345" spans="1:25" ht="12" customHeight="1" x14ac:dyDescent="0.25">
      <c r="A345" s="29" t="s">
        <v>62</v>
      </c>
      <c r="D345" s="29" t="s">
        <v>1650</v>
      </c>
      <c r="F345" s="32">
        <f>F300+F306+F309+F312+F320+F325+F328+F331+F334+F337+F340+F343</f>
        <v>268954148.31872469</v>
      </c>
      <c r="G345" s="32">
        <f t="shared" ref="G345:T345" si="358">G300+G306+G309+G312+G320+G325+G328+G331+G334+G337+G340+G343</f>
        <v>123419571.32438555</v>
      </c>
      <c r="H345" s="32">
        <f t="shared" si="358"/>
        <v>29441781.458904795</v>
      </c>
      <c r="I345" s="32">
        <f>I300+I306+I309+I312+I320+I325+I328+I331+I334+I337+I340+I343</f>
        <v>1807562.2754941538</v>
      </c>
      <c r="J345" s="32">
        <f>J300+J306+J309+J312+J320+J325+J328+J331+J334+J337+J340+J343</f>
        <v>24478890.958788861</v>
      </c>
      <c r="K345" s="32">
        <f>K300+K306+K309+K312+K320+K325+K328+K331+K334+K337+K340+K343</f>
        <v>1656183.5978929992</v>
      </c>
      <c r="L345" s="32">
        <f t="shared" si="358"/>
        <v>21860580.384353209</v>
      </c>
      <c r="M345" s="32">
        <f t="shared" si="358"/>
        <v>42560378.324828163</v>
      </c>
      <c r="N345" s="32">
        <f t="shared" si="358"/>
        <v>13085315.089341225</v>
      </c>
      <c r="O345" s="32">
        <f>O300+O306+O309+O312+O320+O325+O328+O331+O334+O337+O340+O343</f>
        <v>5785563.6746613672</v>
      </c>
      <c r="P345" s="32">
        <f>P300+P306+P309+P312+P320+P325+P328+P331+P334+P337+P340+P343</f>
        <v>4794219.5953405304</v>
      </c>
      <c r="Q345" s="32">
        <f t="shared" si="358"/>
        <v>5278.5203493848758</v>
      </c>
      <c r="R345" s="32">
        <f t="shared" si="358"/>
        <v>17928.110831516424</v>
      </c>
      <c r="S345" s="32">
        <f t="shared" si="358"/>
        <v>8071.4835528830345</v>
      </c>
      <c r="T345" s="32">
        <f t="shared" si="358"/>
        <v>14048.1</v>
      </c>
      <c r="U345" s="32">
        <f t="shared" ref="U345:V345" si="359">U300+U306+U309+U312+U320+U325+U328+U331+U334+U337+U340+U343</f>
        <v>18775.419999999998</v>
      </c>
      <c r="V345" s="32">
        <f t="shared" si="359"/>
        <v>0</v>
      </c>
      <c r="W345" s="34">
        <f>SUM(G345:V345)</f>
        <v>268954148.31872469</v>
      </c>
      <c r="X345" s="30" t="str">
        <f>IF(ABS(F345-W345)&lt;0.01,"ok","err")</f>
        <v>ok</v>
      </c>
      <c r="Y345" s="66" t="str">
        <f>IF(X345="err",W345-F345,"")</f>
        <v/>
      </c>
    </row>
    <row r="348" spans="1:25" ht="12" customHeight="1" x14ac:dyDescent="0.25">
      <c r="A348" s="3" t="s">
        <v>63</v>
      </c>
    </row>
    <row r="350" spans="1:25" ht="12" customHeight="1" x14ac:dyDescent="0.25">
      <c r="A350" s="4" t="s">
        <v>137</v>
      </c>
    </row>
    <row r="351" spans="1:25" ht="12" customHeight="1" x14ac:dyDescent="0.25">
      <c r="A351" s="39" t="s">
        <v>2133</v>
      </c>
      <c r="C351" s="29" t="s">
        <v>66</v>
      </c>
      <c r="D351" s="29" t="s">
        <v>69</v>
      </c>
      <c r="E351" s="29" t="s">
        <v>2132</v>
      </c>
      <c r="F351" s="32">
        <f>VLOOKUP(C351,'WSS-26'!$C$1:$AU$617,6,)</f>
        <v>0</v>
      </c>
      <c r="G351" s="32">
        <f t="shared" ref="G351:V356" si="360">IF(VLOOKUP($E351,$D$5:$V$970,3,)=0,0,(VLOOKUP($E351,$D$5:$V$970,G$1,)/VLOOKUP($E351,$D$5:$V$970,3,))*$F351)</f>
        <v>0</v>
      </c>
      <c r="H351" s="32">
        <f t="shared" si="360"/>
        <v>0</v>
      </c>
      <c r="I351" s="32">
        <f t="shared" si="360"/>
        <v>0</v>
      </c>
      <c r="J351" s="32">
        <f t="shared" si="360"/>
        <v>0</v>
      </c>
      <c r="K351" s="32">
        <f t="shared" si="360"/>
        <v>0</v>
      </c>
      <c r="L351" s="32">
        <f t="shared" si="360"/>
        <v>0</v>
      </c>
      <c r="M351" s="32">
        <f t="shared" si="360"/>
        <v>0</v>
      </c>
      <c r="N351" s="32">
        <f t="shared" si="360"/>
        <v>0</v>
      </c>
      <c r="O351" s="32">
        <f t="shared" si="360"/>
        <v>0</v>
      </c>
      <c r="P351" s="32">
        <f t="shared" si="360"/>
        <v>0</v>
      </c>
      <c r="Q351" s="32">
        <f t="shared" si="360"/>
        <v>0</v>
      </c>
      <c r="R351" s="32">
        <f t="shared" si="360"/>
        <v>0</v>
      </c>
      <c r="S351" s="32">
        <f t="shared" si="360"/>
        <v>0</v>
      </c>
      <c r="T351" s="32">
        <f t="shared" si="360"/>
        <v>0</v>
      </c>
      <c r="U351" s="32">
        <f t="shared" si="360"/>
        <v>0</v>
      </c>
      <c r="V351" s="32">
        <f t="shared" si="360"/>
        <v>0</v>
      </c>
      <c r="W351" s="34">
        <f t="shared" ref="W351:W356" si="361">SUM(G351:V351)</f>
        <v>0</v>
      </c>
      <c r="X351" s="30" t="str">
        <f t="shared" ref="X351:X356" si="362">IF(ABS(F351-W351)&lt;0.01,"ok","err")</f>
        <v>ok</v>
      </c>
      <c r="Y351" s="66" t="str">
        <f t="shared" ref="Y351:Y356" si="363">IF(X351="err",W351-F351,"")</f>
        <v/>
      </c>
    </row>
    <row r="352" spans="1:25" ht="12" hidden="1" customHeight="1" x14ac:dyDescent="0.25">
      <c r="A352" s="39" t="s">
        <v>2134</v>
      </c>
      <c r="C352" s="29" t="s">
        <v>66</v>
      </c>
      <c r="D352" s="29" t="s">
        <v>70</v>
      </c>
      <c r="E352" s="29" t="s">
        <v>2132</v>
      </c>
      <c r="F352" s="33">
        <f>VLOOKUP(C352,'WSS-26'!$C$1:$AU$617,7,)</f>
        <v>0</v>
      </c>
      <c r="G352" s="32">
        <f t="shared" si="360"/>
        <v>0</v>
      </c>
      <c r="H352" s="32">
        <f t="shared" si="360"/>
        <v>0</v>
      </c>
      <c r="I352" s="32">
        <f t="shared" si="360"/>
        <v>0</v>
      </c>
      <c r="J352" s="32">
        <f t="shared" si="360"/>
        <v>0</v>
      </c>
      <c r="K352" s="32">
        <f t="shared" si="360"/>
        <v>0</v>
      </c>
      <c r="L352" s="32">
        <f t="shared" si="360"/>
        <v>0</v>
      </c>
      <c r="M352" s="32">
        <f t="shared" si="360"/>
        <v>0</v>
      </c>
      <c r="N352" s="32">
        <f t="shared" si="360"/>
        <v>0</v>
      </c>
      <c r="O352" s="32">
        <f t="shared" si="360"/>
        <v>0</v>
      </c>
      <c r="P352" s="32">
        <f t="shared" si="360"/>
        <v>0</v>
      </c>
      <c r="Q352" s="32">
        <f t="shared" si="360"/>
        <v>0</v>
      </c>
      <c r="R352" s="32">
        <f t="shared" si="360"/>
        <v>0</v>
      </c>
      <c r="S352" s="32">
        <f t="shared" si="360"/>
        <v>0</v>
      </c>
      <c r="T352" s="32">
        <f t="shared" si="360"/>
        <v>0</v>
      </c>
      <c r="U352" s="32">
        <f t="shared" si="360"/>
        <v>0</v>
      </c>
      <c r="V352" s="32">
        <f t="shared" si="360"/>
        <v>0</v>
      </c>
      <c r="W352" s="34">
        <f t="shared" si="361"/>
        <v>0</v>
      </c>
      <c r="X352" s="30" t="str">
        <f t="shared" si="362"/>
        <v>ok</v>
      </c>
      <c r="Y352" s="66" t="str">
        <f t="shared" si="363"/>
        <v/>
      </c>
    </row>
    <row r="353" spans="1:25" ht="12" hidden="1" customHeight="1" x14ac:dyDescent="0.25">
      <c r="A353" s="39" t="s">
        <v>2134</v>
      </c>
      <c r="C353" s="29" t="s">
        <v>66</v>
      </c>
      <c r="D353" s="29" t="s">
        <v>71</v>
      </c>
      <c r="E353" s="29" t="s">
        <v>2132</v>
      </c>
      <c r="F353" s="33">
        <f>VLOOKUP(C353,'WSS-26'!$C$1:$AU$617,8,)</f>
        <v>0</v>
      </c>
      <c r="G353" s="32">
        <f t="shared" si="360"/>
        <v>0</v>
      </c>
      <c r="H353" s="32">
        <f t="shared" si="360"/>
        <v>0</v>
      </c>
      <c r="I353" s="32">
        <f t="shared" si="360"/>
        <v>0</v>
      </c>
      <c r="J353" s="32">
        <f t="shared" si="360"/>
        <v>0</v>
      </c>
      <c r="K353" s="32">
        <f t="shared" si="360"/>
        <v>0</v>
      </c>
      <c r="L353" s="32">
        <f t="shared" si="360"/>
        <v>0</v>
      </c>
      <c r="M353" s="32">
        <f t="shared" si="360"/>
        <v>0</v>
      </c>
      <c r="N353" s="32">
        <f t="shared" si="360"/>
        <v>0</v>
      </c>
      <c r="O353" s="32">
        <f t="shared" si="360"/>
        <v>0</v>
      </c>
      <c r="P353" s="32">
        <f t="shared" si="360"/>
        <v>0</v>
      </c>
      <c r="Q353" s="32">
        <f t="shared" si="360"/>
        <v>0</v>
      </c>
      <c r="R353" s="32">
        <f t="shared" si="360"/>
        <v>0</v>
      </c>
      <c r="S353" s="32">
        <f t="shared" si="360"/>
        <v>0</v>
      </c>
      <c r="T353" s="32">
        <f t="shared" si="360"/>
        <v>0</v>
      </c>
      <c r="U353" s="32">
        <f t="shared" si="360"/>
        <v>0</v>
      </c>
      <c r="V353" s="32">
        <f t="shared" si="360"/>
        <v>0</v>
      </c>
      <c r="W353" s="34">
        <f t="shared" si="361"/>
        <v>0</v>
      </c>
      <c r="X353" s="30" t="str">
        <f t="shared" si="362"/>
        <v>ok</v>
      </c>
      <c r="Y353" s="66" t="str">
        <f t="shared" si="363"/>
        <v/>
      </c>
    </row>
    <row r="354" spans="1:25" ht="12" customHeight="1" x14ac:dyDescent="0.25">
      <c r="A354" s="39" t="s">
        <v>2136</v>
      </c>
      <c r="C354" s="29" t="s">
        <v>66</v>
      </c>
      <c r="D354" s="29" t="s">
        <v>72</v>
      </c>
      <c r="E354" s="29" t="s">
        <v>376</v>
      </c>
      <c r="F354" s="33">
        <f>VLOOKUP(C354,'WSS-26'!$C$1:$AU$617,9,)</f>
        <v>0</v>
      </c>
      <c r="G354" s="32">
        <f t="shared" si="360"/>
        <v>0</v>
      </c>
      <c r="H354" s="32">
        <f t="shared" si="360"/>
        <v>0</v>
      </c>
      <c r="I354" s="32">
        <f t="shared" si="360"/>
        <v>0</v>
      </c>
      <c r="J354" s="32">
        <f t="shared" si="360"/>
        <v>0</v>
      </c>
      <c r="K354" s="32">
        <f t="shared" si="360"/>
        <v>0</v>
      </c>
      <c r="L354" s="32">
        <f t="shared" si="360"/>
        <v>0</v>
      </c>
      <c r="M354" s="32">
        <f t="shared" si="360"/>
        <v>0</v>
      </c>
      <c r="N354" s="32">
        <f t="shared" si="360"/>
        <v>0</v>
      </c>
      <c r="O354" s="32">
        <f t="shared" si="360"/>
        <v>0</v>
      </c>
      <c r="P354" s="32">
        <f t="shared" si="360"/>
        <v>0</v>
      </c>
      <c r="Q354" s="32">
        <f t="shared" si="360"/>
        <v>0</v>
      </c>
      <c r="R354" s="32">
        <f t="shared" si="360"/>
        <v>0</v>
      </c>
      <c r="S354" s="32">
        <f t="shared" si="360"/>
        <v>0</v>
      </c>
      <c r="T354" s="32">
        <f t="shared" si="360"/>
        <v>0</v>
      </c>
      <c r="U354" s="32">
        <f t="shared" si="360"/>
        <v>0</v>
      </c>
      <c r="V354" s="32">
        <f t="shared" si="360"/>
        <v>0</v>
      </c>
      <c r="W354" s="34">
        <f t="shared" si="361"/>
        <v>0</v>
      </c>
      <c r="X354" s="30" t="str">
        <f t="shared" si="362"/>
        <v>ok</v>
      </c>
      <c r="Y354" s="66" t="str">
        <f t="shared" si="363"/>
        <v/>
      </c>
    </row>
    <row r="355" spans="1:25" ht="12" hidden="1" customHeight="1" x14ac:dyDescent="0.25">
      <c r="A355" s="39" t="s">
        <v>2135</v>
      </c>
      <c r="C355" s="29" t="s">
        <v>66</v>
      </c>
      <c r="D355" s="29" t="s">
        <v>73</v>
      </c>
      <c r="E355" s="29" t="s">
        <v>376</v>
      </c>
      <c r="F355" s="33">
        <f>VLOOKUP(C355,'WSS-26'!$C$1:$AU$617,10,)</f>
        <v>0</v>
      </c>
      <c r="G355" s="32">
        <f t="shared" si="360"/>
        <v>0</v>
      </c>
      <c r="H355" s="32">
        <f t="shared" si="360"/>
        <v>0</v>
      </c>
      <c r="I355" s="32">
        <f t="shared" si="360"/>
        <v>0</v>
      </c>
      <c r="J355" s="32">
        <f t="shared" si="360"/>
        <v>0</v>
      </c>
      <c r="K355" s="32">
        <f t="shared" si="360"/>
        <v>0</v>
      </c>
      <c r="L355" s="32">
        <f t="shared" si="360"/>
        <v>0</v>
      </c>
      <c r="M355" s="32">
        <f t="shared" si="360"/>
        <v>0</v>
      </c>
      <c r="N355" s="32">
        <f t="shared" si="360"/>
        <v>0</v>
      </c>
      <c r="O355" s="32">
        <f t="shared" si="360"/>
        <v>0</v>
      </c>
      <c r="P355" s="32">
        <f t="shared" si="360"/>
        <v>0</v>
      </c>
      <c r="Q355" s="32">
        <f t="shared" si="360"/>
        <v>0</v>
      </c>
      <c r="R355" s="32">
        <f t="shared" si="360"/>
        <v>0</v>
      </c>
      <c r="S355" s="32">
        <f t="shared" si="360"/>
        <v>0</v>
      </c>
      <c r="T355" s="32">
        <f t="shared" si="360"/>
        <v>0</v>
      </c>
      <c r="U355" s="32">
        <f t="shared" si="360"/>
        <v>0</v>
      </c>
      <c r="V355" s="32">
        <f t="shared" si="360"/>
        <v>0</v>
      </c>
      <c r="W355" s="34">
        <f t="shared" si="361"/>
        <v>0</v>
      </c>
      <c r="X355" s="30" t="str">
        <f t="shared" si="362"/>
        <v>ok</v>
      </c>
      <c r="Y355" s="66" t="str">
        <f t="shared" si="363"/>
        <v/>
      </c>
    </row>
    <row r="356" spans="1:25" ht="12" hidden="1" customHeight="1" x14ac:dyDescent="0.25">
      <c r="A356" s="39" t="s">
        <v>2135</v>
      </c>
      <c r="C356" s="29" t="s">
        <v>66</v>
      </c>
      <c r="D356" s="29" t="s">
        <v>74</v>
      </c>
      <c r="E356" s="29" t="s">
        <v>376</v>
      </c>
      <c r="F356" s="33">
        <f>VLOOKUP(C356,'WSS-26'!$C$1:$AU$617,11,)</f>
        <v>0</v>
      </c>
      <c r="G356" s="32">
        <f t="shared" si="360"/>
        <v>0</v>
      </c>
      <c r="H356" s="32">
        <f t="shared" si="360"/>
        <v>0</v>
      </c>
      <c r="I356" s="32">
        <f t="shared" si="360"/>
        <v>0</v>
      </c>
      <c r="J356" s="32">
        <f t="shared" si="360"/>
        <v>0</v>
      </c>
      <c r="K356" s="32">
        <f t="shared" si="360"/>
        <v>0</v>
      </c>
      <c r="L356" s="32">
        <f t="shared" si="360"/>
        <v>0</v>
      </c>
      <c r="M356" s="32">
        <f t="shared" si="360"/>
        <v>0</v>
      </c>
      <c r="N356" s="32">
        <f t="shared" si="360"/>
        <v>0</v>
      </c>
      <c r="O356" s="32">
        <f t="shared" si="360"/>
        <v>0</v>
      </c>
      <c r="P356" s="32">
        <f t="shared" si="360"/>
        <v>0</v>
      </c>
      <c r="Q356" s="32">
        <f t="shared" si="360"/>
        <v>0</v>
      </c>
      <c r="R356" s="32">
        <f t="shared" si="360"/>
        <v>0</v>
      </c>
      <c r="S356" s="32">
        <f t="shared" si="360"/>
        <v>0</v>
      </c>
      <c r="T356" s="32">
        <f t="shared" si="360"/>
        <v>0</v>
      </c>
      <c r="U356" s="32">
        <f t="shared" si="360"/>
        <v>0</v>
      </c>
      <c r="V356" s="32">
        <f t="shared" si="360"/>
        <v>0</v>
      </c>
      <c r="W356" s="34">
        <f t="shared" si="361"/>
        <v>0</v>
      </c>
      <c r="X356" s="30" t="str">
        <f t="shared" si="362"/>
        <v>ok</v>
      </c>
      <c r="Y356" s="66" t="str">
        <f t="shared" si="363"/>
        <v/>
      </c>
    </row>
    <row r="357" spans="1:25" ht="12" customHeight="1" x14ac:dyDescent="0.25">
      <c r="A357" s="29" t="s">
        <v>160</v>
      </c>
      <c r="D357" s="29" t="s">
        <v>75</v>
      </c>
      <c r="F357" s="32">
        <f t="shared" ref="F357:T357" si="364">SUM(F351:F356)</f>
        <v>0</v>
      </c>
      <c r="G357" s="32">
        <f t="shared" si="364"/>
        <v>0</v>
      </c>
      <c r="H357" s="32">
        <f t="shared" si="364"/>
        <v>0</v>
      </c>
      <c r="I357" s="32">
        <f>SUM(I351:I356)</f>
        <v>0</v>
      </c>
      <c r="J357" s="32">
        <f>SUM(J351:J356)</f>
        <v>0</v>
      </c>
      <c r="K357" s="32">
        <f>SUM(K351:K356)</f>
        <v>0</v>
      </c>
      <c r="L357" s="32">
        <f t="shared" si="364"/>
        <v>0</v>
      </c>
      <c r="M357" s="32">
        <f t="shared" si="364"/>
        <v>0</v>
      </c>
      <c r="N357" s="32">
        <f t="shared" si="364"/>
        <v>0</v>
      </c>
      <c r="O357" s="32">
        <f t="shared" si="364"/>
        <v>0</v>
      </c>
      <c r="P357" s="32">
        <f>SUM(P351:P356)</f>
        <v>0</v>
      </c>
      <c r="Q357" s="32">
        <f t="shared" si="364"/>
        <v>0</v>
      </c>
      <c r="R357" s="32">
        <f t="shared" si="364"/>
        <v>0</v>
      </c>
      <c r="S357" s="32">
        <f t="shared" si="364"/>
        <v>0</v>
      </c>
      <c r="T357" s="32">
        <f t="shared" si="364"/>
        <v>0</v>
      </c>
      <c r="U357" s="32">
        <f t="shared" ref="U357:V357" si="365">SUM(U351:U356)</f>
        <v>0</v>
      </c>
      <c r="V357" s="32">
        <f t="shared" si="365"/>
        <v>0</v>
      </c>
      <c r="W357" s="34">
        <f t="shared" ref="W357" si="366">SUM(G357:V357)</f>
        <v>0</v>
      </c>
      <c r="X357" s="30" t="str">
        <f t="shared" ref="X357" si="367">IF(ABS(F357-W357)&lt;0.01,"ok","err")</f>
        <v>ok</v>
      </c>
      <c r="Y357" s="34" t="str">
        <f t="shared" ref="Y357" si="368">IF(X357="err",W357-F357,"")</f>
        <v/>
      </c>
    </row>
    <row r="358" spans="1:25" ht="12" customHeight="1" x14ac:dyDescent="0.25">
      <c r="F358" s="33"/>
      <c r="G358" s="33"/>
    </row>
    <row r="359" spans="1:25" ht="12" customHeight="1" x14ac:dyDescent="0.25">
      <c r="A359" s="4" t="s">
        <v>426</v>
      </c>
      <c r="F359" s="33"/>
      <c r="G359" s="33"/>
    </row>
    <row r="360" spans="1:25" ht="12" customHeight="1" x14ac:dyDescent="0.25">
      <c r="A360" s="39" t="s">
        <v>2124</v>
      </c>
      <c r="C360" s="29" t="s">
        <v>66</v>
      </c>
      <c r="D360" s="29" t="s">
        <v>76</v>
      </c>
      <c r="E360" s="29" t="s">
        <v>2125</v>
      </c>
      <c r="F360" s="32">
        <f>VLOOKUP(C360,'WSS-26'!$C$1:$AU$617,13,)</f>
        <v>0</v>
      </c>
      <c r="G360" s="32">
        <f t="shared" ref="G360:V362" si="369">IF(VLOOKUP($E360,$D$5:$V$970,3,)=0,0,(VLOOKUP($E360,$D$5:$V$970,G$1,)/VLOOKUP($E360,$D$5:$V$970,3,))*$F360)</f>
        <v>0</v>
      </c>
      <c r="H360" s="32">
        <f t="shared" si="369"/>
        <v>0</v>
      </c>
      <c r="I360" s="32">
        <f t="shared" si="369"/>
        <v>0</v>
      </c>
      <c r="J360" s="32">
        <f t="shared" si="369"/>
        <v>0</v>
      </c>
      <c r="K360" s="32">
        <f t="shared" si="369"/>
        <v>0</v>
      </c>
      <c r="L360" s="32">
        <f t="shared" si="369"/>
        <v>0</v>
      </c>
      <c r="M360" s="32">
        <f t="shared" si="369"/>
        <v>0</v>
      </c>
      <c r="N360" s="32">
        <f t="shared" si="369"/>
        <v>0</v>
      </c>
      <c r="O360" s="32">
        <f t="shared" si="369"/>
        <v>0</v>
      </c>
      <c r="P360" s="32">
        <f t="shared" si="369"/>
        <v>0</v>
      </c>
      <c r="Q360" s="32">
        <f t="shared" si="369"/>
        <v>0</v>
      </c>
      <c r="R360" s="32">
        <f t="shared" si="369"/>
        <v>0</v>
      </c>
      <c r="S360" s="32">
        <f t="shared" si="369"/>
        <v>0</v>
      </c>
      <c r="T360" s="32">
        <f t="shared" si="369"/>
        <v>0</v>
      </c>
      <c r="U360" s="32">
        <f t="shared" si="369"/>
        <v>0</v>
      </c>
      <c r="V360" s="32">
        <f t="shared" si="369"/>
        <v>0</v>
      </c>
      <c r="W360" s="34">
        <f>SUM(G360:V360)</f>
        <v>0</v>
      </c>
      <c r="X360" s="30" t="str">
        <f t="shared" ref="X360:X362" si="370">IF(ABS(F360-W360)&lt;0.01,"ok","err")</f>
        <v>ok</v>
      </c>
      <c r="Y360" s="66" t="str">
        <f t="shared" ref="Y360:Y362" si="371">IF(X360="err",W360-F360,"")</f>
        <v/>
      </c>
    </row>
    <row r="361" spans="1:25" ht="12" hidden="1" customHeight="1" x14ac:dyDescent="0.25">
      <c r="A361" s="39" t="s">
        <v>2123</v>
      </c>
      <c r="C361" s="29" t="s">
        <v>66</v>
      </c>
      <c r="D361" s="29" t="s">
        <v>77</v>
      </c>
      <c r="E361" s="29" t="s">
        <v>2125</v>
      </c>
      <c r="F361" s="33">
        <f>VLOOKUP(C361,'WSS-26'!$C$1:$AU$617,14,)</f>
        <v>0</v>
      </c>
      <c r="G361" s="32">
        <f t="shared" si="369"/>
        <v>0</v>
      </c>
      <c r="H361" s="32">
        <f t="shared" si="369"/>
        <v>0</v>
      </c>
      <c r="I361" s="32">
        <f t="shared" si="369"/>
        <v>0</v>
      </c>
      <c r="J361" s="32">
        <f t="shared" si="369"/>
        <v>0</v>
      </c>
      <c r="K361" s="32">
        <f t="shared" si="369"/>
        <v>0</v>
      </c>
      <c r="L361" s="32">
        <f t="shared" si="369"/>
        <v>0</v>
      </c>
      <c r="M361" s="32">
        <f t="shared" si="369"/>
        <v>0</v>
      </c>
      <c r="N361" s="32">
        <f t="shared" si="369"/>
        <v>0</v>
      </c>
      <c r="O361" s="32">
        <f t="shared" si="369"/>
        <v>0</v>
      </c>
      <c r="P361" s="32">
        <f t="shared" si="369"/>
        <v>0</v>
      </c>
      <c r="Q361" s="32">
        <f t="shared" si="369"/>
        <v>0</v>
      </c>
      <c r="R361" s="32">
        <f t="shared" si="369"/>
        <v>0</v>
      </c>
      <c r="S361" s="32">
        <f t="shared" si="369"/>
        <v>0</v>
      </c>
      <c r="T361" s="32">
        <f t="shared" si="369"/>
        <v>0</v>
      </c>
      <c r="U361" s="32">
        <f t="shared" si="369"/>
        <v>0</v>
      </c>
      <c r="V361" s="32">
        <f t="shared" si="369"/>
        <v>0</v>
      </c>
      <c r="W361" s="34">
        <f>SUM(G361:V361)</f>
        <v>0</v>
      </c>
      <c r="X361" s="30" t="str">
        <f t="shared" si="370"/>
        <v>ok</v>
      </c>
      <c r="Y361" s="66" t="str">
        <f t="shared" si="371"/>
        <v/>
      </c>
    </row>
    <row r="362" spans="1:25" ht="12" hidden="1" customHeight="1" x14ac:dyDescent="0.25">
      <c r="A362" s="39" t="s">
        <v>2123</v>
      </c>
      <c r="C362" s="29" t="s">
        <v>66</v>
      </c>
      <c r="D362" s="29" t="s">
        <v>78</v>
      </c>
      <c r="E362" s="29" t="s">
        <v>2125</v>
      </c>
      <c r="F362" s="33">
        <f>VLOOKUP(C362,'WSS-26'!$C$1:$AU$617,15,)</f>
        <v>0</v>
      </c>
      <c r="G362" s="32">
        <f t="shared" si="369"/>
        <v>0</v>
      </c>
      <c r="H362" s="32">
        <f t="shared" si="369"/>
        <v>0</v>
      </c>
      <c r="I362" s="32">
        <f t="shared" si="369"/>
        <v>0</v>
      </c>
      <c r="J362" s="32">
        <f t="shared" si="369"/>
        <v>0</v>
      </c>
      <c r="K362" s="32">
        <f t="shared" si="369"/>
        <v>0</v>
      </c>
      <c r="L362" s="32">
        <f t="shared" si="369"/>
        <v>0</v>
      </c>
      <c r="M362" s="32">
        <f t="shared" si="369"/>
        <v>0</v>
      </c>
      <c r="N362" s="32">
        <f t="shared" si="369"/>
        <v>0</v>
      </c>
      <c r="O362" s="32">
        <f t="shared" si="369"/>
        <v>0</v>
      </c>
      <c r="P362" s="32">
        <f t="shared" si="369"/>
        <v>0</v>
      </c>
      <c r="Q362" s="32">
        <f t="shared" si="369"/>
        <v>0</v>
      </c>
      <c r="R362" s="32">
        <f t="shared" si="369"/>
        <v>0</v>
      </c>
      <c r="S362" s="32">
        <f t="shared" si="369"/>
        <v>0</v>
      </c>
      <c r="T362" s="32">
        <f t="shared" si="369"/>
        <v>0</v>
      </c>
      <c r="U362" s="32">
        <f t="shared" si="369"/>
        <v>0</v>
      </c>
      <c r="V362" s="32">
        <f t="shared" si="369"/>
        <v>0</v>
      </c>
      <c r="W362" s="34">
        <f>SUM(G362:V362)</f>
        <v>0</v>
      </c>
      <c r="X362" s="30" t="str">
        <f t="shared" si="370"/>
        <v>ok</v>
      </c>
      <c r="Y362" s="66" t="str">
        <f t="shared" si="371"/>
        <v/>
      </c>
    </row>
    <row r="363" spans="1:25" ht="12" hidden="1" customHeight="1" x14ac:dyDescent="0.25">
      <c r="A363" s="29" t="s">
        <v>428</v>
      </c>
      <c r="D363" s="29" t="s">
        <v>79</v>
      </c>
      <c r="F363" s="32">
        <f t="shared" ref="F363:T363" si="372">SUM(F360:F362)</f>
        <v>0</v>
      </c>
      <c r="G363" s="32">
        <f t="shared" si="372"/>
        <v>0</v>
      </c>
      <c r="H363" s="32">
        <f t="shared" si="372"/>
        <v>0</v>
      </c>
      <c r="I363" s="32">
        <f>SUM(I360:I362)</f>
        <v>0</v>
      </c>
      <c r="J363" s="32">
        <f>SUM(J360:J362)</f>
        <v>0</v>
      </c>
      <c r="K363" s="32">
        <f>SUM(K360:K362)</f>
        <v>0</v>
      </c>
      <c r="L363" s="32">
        <f t="shared" si="372"/>
        <v>0</v>
      </c>
      <c r="M363" s="32">
        <f t="shared" si="372"/>
        <v>0</v>
      </c>
      <c r="N363" s="32">
        <f t="shared" si="372"/>
        <v>0</v>
      </c>
      <c r="O363" s="32">
        <f t="shared" si="372"/>
        <v>0</v>
      </c>
      <c r="P363" s="32">
        <f>SUM(P360:P362)</f>
        <v>0</v>
      </c>
      <c r="Q363" s="32">
        <f t="shared" si="372"/>
        <v>0</v>
      </c>
      <c r="R363" s="32">
        <f t="shared" si="372"/>
        <v>0</v>
      </c>
      <c r="S363" s="32">
        <f t="shared" si="372"/>
        <v>0</v>
      </c>
      <c r="T363" s="32">
        <f t="shared" si="372"/>
        <v>0</v>
      </c>
      <c r="U363" s="32">
        <f t="shared" ref="U363:V363" si="373">SUM(U360:U362)</f>
        <v>0</v>
      </c>
      <c r="V363" s="32">
        <f t="shared" si="373"/>
        <v>0</v>
      </c>
      <c r="W363" s="34">
        <f>SUM(G363:V363)</f>
        <v>0</v>
      </c>
      <c r="X363" s="30" t="str">
        <f>IF(ABS(F363-W363)&lt;0.01,"ok","err")</f>
        <v>ok</v>
      </c>
      <c r="Y363" s="34" t="str">
        <f>IF(X363="err",W363-F363,"")</f>
        <v/>
      </c>
    </row>
    <row r="364" spans="1:25" ht="12" customHeight="1" x14ac:dyDescent="0.25">
      <c r="F364" s="33"/>
      <c r="G364" s="33"/>
    </row>
    <row r="365" spans="1:25" ht="12" customHeight="1" x14ac:dyDescent="0.25">
      <c r="A365" s="4" t="s">
        <v>1593</v>
      </c>
      <c r="F365" s="33"/>
      <c r="G365" s="33"/>
    </row>
    <row r="366" spans="1:25" ht="12" customHeight="1" x14ac:dyDescent="0.25">
      <c r="A366" s="39" t="s">
        <v>145</v>
      </c>
      <c r="C366" s="29" t="s">
        <v>66</v>
      </c>
      <c r="D366" s="29" t="s">
        <v>80</v>
      </c>
      <c r="E366" s="29" t="s">
        <v>2129</v>
      </c>
      <c r="F366" s="32">
        <f>VLOOKUP(C366,'WSS-26'!$C$1:$AU$617,17,)</f>
        <v>0</v>
      </c>
      <c r="G366" s="32">
        <f t="shared" ref="G366:V366" si="374">IF(VLOOKUP($E366,$D$5:$V$970,3,)=0,0,(VLOOKUP($E366,$D$5:$V$970,G$1,)/VLOOKUP($E366,$D$5:$V$970,3,))*$F366)</f>
        <v>0</v>
      </c>
      <c r="H366" s="32">
        <f t="shared" si="374"/>
        <v>0</v>
      </c>
      <c r="I366" s="32">
        <f t="shared" si="374"/>
        <v>0</v>
      </c>
      <c r="J366" s="32">
        <f t="shared" si="374"/>
        <v>0</v>
      </c>
      <c r="K366" s="32">
        <f t="shared" si="374"/>
        <v>0</v>
      </c>
      <c r="L366" s="32">
        <f t="shared" si="374"/>
        <v>0</v>
      </c>
      <c r="M366" s="32">
        <f t="shared" si="374"/>
        <v>0</v>
      </c>
      <c r="N366" s="32">
        <f t="shared" si="374"/>
        <v>0</v>
      </c>
      <c r="O366" s="32">
        <f t="shared" si="374"/>
        <v>0</v>
      </c>
      <c r="P366" s="32">
        <f t="shared" si="374"/>
        <v>0</v>
      </c>
      <c r="Q366" s="32">
        <f t="shared" si="374"/>
        <v>0</v>
      </c>
      <c r="R366" s="32">
        <f t="shared" si="374"/>
        <v>0</v>
      </c>
      <c r="S366" s="32">
        <f t="shared" si="374"/>
        <v>0</v>
      </c>
      <c r="T366" s="32">
        <f t="shared" si="374"/>
        <v>0</v>
      </c>
      <c r="U366" s="32">
        <f t="shared" si="374"/>
        <v>0</v>
      </c>
      <c r="V366" s="32">
        <f t="shared" si="374"/>
        <v>0</v>
      </c>
      <c r="W366" s="34">
        <f t="shared" ref="W366" si="375">SUM(G366:V366)</f>
        <v>0</v>
      </c>
      <c r="X366" s="30" t="str">
        <f t="shared" ref="X366" si="376">IF(ABS(F366-W366)&lt;0.01,"ok","err")</f>
        <v>ok</v>
      </c>
      <c r="Y366" s="66" t="str">
        <f t="shared" ref="Y366" si="377">IF(X366="err",W366-F366,"")</f>
        <v/>
      </c>
    </row>
    <row r="367" spans="1:25" ht="12" customHeight="1" x14ac:dyDescent="0.25">
      <c r="F367" s="33"/>
    </row>
    <row r="368" spans="1:25" ht="12" customHeight="1" x14ac:dyDescent="0.25">
      <c r="A368" s="4" t="s">
        <v>1594</v>
      </c>
      <c r="F368" s="33"/>
      <c r="G368" s="33"/>
    </row>
    <row r="369" spans="1:25" ht="12" customHeight="1" x14ac:dyDescent="0.25">
      <c r="A369" s="39" t="s">
        <v>147</v>
      </c>
      <c r="C369" s="29" t="s">
        <v>66</v>
      </c>
      <c r="D369" s="29" t="s">
        <v>81</v>
      </c>
      <c r="E369" s="29" t="s">
        <v>2129</v>
      </c>
      <c r="F369" s="32">
        <f>VLOOKUP(C369,'WSS-26'!$C$1:$AU$617,18,)</f>
        <v>0</v>
      </c>
      <c r="G369" s="32">
        <f t="shared" ref="G369:V369" si="378">IF(VLOOKUP($E369,$D$5:$V$970,3,)=0,0,(VLOOKUP($E369,$D$5:$V$970,G$1,)/VLOOKUP($E369,$D$5:$V$970,3,))*$F369)</f>
        <v>0</v>
      </c>
      <c r="H369" s="32">
        <f t="shared" si="378"/>
        <v>0</v>
      </c>
      <c r="I369" s="32">
        <f t="shared" si="378"/>
        <v>0</v>
      </c>
      <c r="J369" s="32">
        <f t="shared" si="378"/>
        <v>0</v>
      </c>
      <c r="K369" s="32">
        <f t="shared" si="378"/>
        <v>0</v>
      </c>
      <c r="L369" s="32">
        <f t="shared" si="378"/>
        <v>0</v>
      </c>
      <c r="M369" s="32">
        <f t="shared" si="378"/>
        <v>0</v>
      </c>
      <c r="N369" s="32">
        <f t="shared" si="378"/>
        <v>0</v>
      </c>
      <c r="O369" s="32">
        <f t="shared" si="378"/>
        <v>0</v>
      </c>
      <c r="P369" s="32">
        <f t="shared" si="378"/>
        <v>0</v>
      </c>
      <c r="Q369" s="32">
        <f t="shared" si="378"/>
        <v>0</v>
      </c>
      <c r="R369" s="32">
        <f t="shared" si="378"/>
        <v>0</v>
      </c>
      <c r="S369" s="32">
        <f t="shared" si="378"/>
        <v>0</v>
      </c>
      <c r="T369" s="32">
        <f t="shared" si="378"/>
        <v>0</v>
      </c>
      <c r="U369" s="32">
        <f t="shared" si="378"/>
        <v>0</v>
      </c>
      <c r="V369" s="32">
        <f t="shared" si="378"/>
        <v>0</v>
      </c>
      <c r="W369" s="34">
        <f t="shared" ref="W369" si="379">SUM(G369:V369)</f>
        <v>0</v>
      </c>
      <c r="X369" s="30" t="str">
        <f t="shared" ref="X369" si="380">IF(ABS(F369-W369)&lt;0.01,"ok","err")</f>
        <v>ok</v>
      </c>
      <c r="Y369" s="66" t="str">
        <f t="shared" ref="Y369" si="381">IF(X369="err",W369-F369,"")</f>
        <v/>
      </c>
    </row>
    <row r="370" spans="1:25" ht="12" customHeight="1" x14ac:dyDescent="0.25">
      <c r="F370" s="33"/>
    </row>
    <row r="371" spans="1:25" ht="12" customHeight="1" x14ac:dyDescent="0.25">
      <c r="A371" s="4" t="s">
        <v>146</v>
      </c>
      <c r="F371" s="33"/>
    </row>
    <row r="372" spans="1:25" ht="12" customHeight="1" x14ac:dyDescent="0.25">
      <c r="A372" s="39" t="s">
        <v>767</v>
      </c>
      <c r="C372" s="29" t="s">
        <v>66</v>
      </c>
      <c r="D372" s="29" t="s">
        <v>82</v>
      </c>
      <c r="E372" s="29" t="s">
        <v>2129</v>
      </c>
      <c r="F372" s="32">
        <f>VLOOKUP(C372,'WSS-26'!$C$1:$AU$617,19,)</f>
        <v>0</v>
      </c>
      <c r="G372" s="32">
        <f t="shared" ref="G372:V376" si="382">IF(VLOOKUP($E372,$D$5:$V$970,3,)=0,0,(VLOOKUP($E372,$D$5:$V$970,G$1,)/VLOOKUP($E372,$D$5:$V$970,3,))*$F372)</f>
        <v>0</v>
      </c>
      <c r="H372" s="32">
        <f t="shared" si="382"/>
        <v>0</v>
      </c>
      <c r="I372" s="32">
        <f t="shared" si="382"/>
        <v>0</v>
      </c>
      <c r="J372" s="32">
        <f t="shared" si="382"/>
        <v>0</v>
      </c>
      <c r="K372" s="32">
        <f t="shared" si="382"/>
        <v>0</v>
      </c>
      <c r="L372" s="32">
        <f t="shared" si="382"/>
        <v>0</v>
      </c>
      <c r="M372" s="32">
        <f t="shared" si="382"/>
        <v>0</v>
      </c>
      <c r="N372" s="32">
        <f t="shared" si="382"/>
        <v>0</v>
      </c>
      <c r="O372" s="32">
        <f t="shared" si="382"/>
        <v>0</v>
      </c>
      <c r="P372" s="32">
        <f t="shared" si="382"/>
        <v>0</v>
      </c>
      <c r="Q372" s="32">
        <f t="shared" si="382"/>
        <v>0</v>
      </c>
      <c r="R372" s="32">
        <f t="shared" si="382"/>
        <v>0</v>
      </c>
      <c r="S372" s="32">
        <f t="shared" si="382"/>
        <v>0</v>
      </c>
      <c r="T372" s="32">
        <f t="shared" si="382"/>
        <v>0</v>
      </c>
      <c r="U372" s="32">
        <f t="shared" si="382"/>
        <v>0</v>
      </c>
      <c r="V372" s="32">
        <f t="shared" si="382"/>
        <v>0</v>
      </c>
      <c r="W372" s="34">
        <f t="shared" ref="W372:W376" si="383">SUM(G372:V372)</f>
        <v>0</v>
      </c>
      <c r="X372" s="30" t="str">
        <f t="shared" ref="X372:X376" si="384">IF(ABS(F372-W372)&lt;0.01,"ok","err")</f>
        <v>ok</v>
      </c>
      <c r="Y372" s="66" t="str">
        <f t="shared" ref="Y372:Y376" si="385">IF(X372="err",W372-F372,"")</f>
        <v/>
      </c>
    </row>
    <row r="373" spans="1:25" ht="12" customHeight="1" x14ac:dyDescent="0.25">
      <c r="A373" s="39" t="s">
        <v>768</v>
      </c>
      <c r="C373" s="29" t="s">
        <v>66</v>
      </c>
      <c r="D373" s="29" t="s">
        <v>83</v>
      </c>
      <c r="E373" s="29" t="s">
        <v>2129</v>
      </c>
      <c r="F373" s="33">
        <f>VLOOKUP(C373,'WSS-26'!$C$1:$AU$617,20,)</f>
        <v>0</v>
      </c>
      <c r="G373" s="32">
        <f t="shared" si="382"/>
        <v>0</v>
      </c>
      <c r="H373" s="32">
        <f t="shared" si="382"/>
        <v>0</v>
      </c>
      <c r="I373" s="32">
        <f t="shared" si="382"/>
        <v>0</v>
      </c>
      <c r="J373" s="32">
        <f t="shared" si="382"/>
        <v>0</v>
      </c>
      <c r="K373" s="32">
        <f t="shared" si="382"/>
        <v>0</v>
      </c>
      <c r="L373" s="32">
        <f t="shared" si="382"/>
        <v>0</v>
      </c>
      <c r="M373" s="32">
        <f t="shared" si="382"/>
        <v>0</v>
      </c>
      <c r="N373" s="32">
        <f t="shared" si="382"/>
        <v>0</v>
      </c>
      <c r="O373" s="32">
        <f t="shared" si="382"/>
        <v>0</v>
      </c>
      <c r="P373" s="32">
        <f t="shared" si="382"/>
        <v>0</v>
      </c>
      <c r="Q373" s="32">
        <f t="shared" si="382"/>
        <v>0</v>
      </c>
      <c r="R373" s="32">
        <f t="shared" si="382"/>
        <v>0</v>
      </c>
      <c r="S373" s="32">
        <f t="shared" si="382"/>
        <v>0</v>
      </c>
      <c r="T373" s="32">
        <f t="shared" si="382"/>
        <v>0</v>
      </c>
      <c r="U373" s="32">
        <f t="shared" si="382"/>
        <v>0</v>
      </c>
      <c r="V373" s="32">
        <f t="shared" si="382"/>
        <v>0</v>
      </c>
      <c r="W373" s="34">
        <f t="shared" si="383"/>
        <v>0</v>
      </c>
      <c r="X373" s="30" t="str">
        <f t="shared" si="384"/>
        <v>ok</v>
      </c>
      <c r="Y373" s="66" t="str">
        <f t="shared" si="385"/>
        <v/>
      </c>
    </row>
    <row r="374" spans="1:25" ht="12" customHeight="1" x14ac:dyDescent="0.25">
      <c r="A374" s="39" t="s">
        <v>769</v>
      </c>
      <c r="C374" s="29" t="s">
        <v>66</v>
      </c>
      <c r="D374" s="29" t="s">
        <v>84</v>
      </c>
      <c r="E374" s="29" t="s">
        <v>872</v>
      </c>
      <c r="F374" s="33">
        <f>VLOOKUP(C374,'WSS-26'!$C$1:$AU$617,21,)</f>
        <v>0</v>
      </c>
      <c r="G374" s="32">
        <f t="shared" si="382"/>
        <v>0</v>
      </c>
      <c r="H374" s="32">
        <f t="shared" si="382"/>
        <v>0</v>
      </c>
      <c r="I374" s="32">
        <f t="shared" si="382"/>
        <v>0</v>
      </c>
      <c r="J374" s="32">
        <f t="shared" si="382"/>
        <v>0</v>
      </c>
      <c r="K374" s="32">
        <f t="shared" si="382"/>
        <v>0</v>
      </c>
      <c r="L374" s="32">
        <f t="shared" si="382"/>
        <v>0</v>
      </c>
      <c r="M374" s="32">
        <f t="shared" si="382"/>
        <v>0</v>
      </c>
      <c r="N374" s="32">
        <f t="shared" si="382"/>
        <v>0</v>
      </c>
      <c r="O374" s="32">
        <f t="shared" si="382"/>
        <v>0</v>
      </c>
      <c r="P374" s="32">
        <f t="shared" si="382"/>
        <v>0</v>
      </c>
      <c r="Q374" s="32">
        <f t="shared" si="382"/>
        <v>0</v>
      </c>
      <c r="R374" s="32">
        <f t="shared" si="382"/>
        <v>0</v>
      </c>
      <c r="S374" s="32">
        <f t="shared" si="382"/>
        <v>0</v>
      </c>
      <c r="T374" s="32">
        <f t="shared" si="382"/>
        <v>0</v>
      </c>
      <c r="U374" s="32">
        <f t="shared" si="382"/>
        <v>0</v>
      </c>
      <c r="V374" s="32">
        <f t="shared" si="382"/>
        <v>0</v>
      </c>
      <c r="W374" s="34">
        <f t="shared" si="383"/>
        <v>0</v>
      </c>
      <c r="X374" s="30" t="str">
        <f t="shared" si="384"/>
        <v>ok</v>
      </c>
      <c r="Y374" s="66" t="str">
        <f t="shared" si="385"/>
        <v/>
      </c>
    </row>
    <row r="375" spans="1:25" ht="12" customHeight="1" x14ac:dyDescent="0.25">
      <c r="A375" s="39" t="s">
        <v>770</v>
      </c>
      <c r="C375" s="29" t="s">
        <v>66</v>
      </c>
      <c r="D375" s="29" t="s">
        <v>85</v>
      </c>
      <c r="E375" s="29" t="s">
        <v>709</v>
      </c>
      <c r="F375" s="33">
        <f>VLOOKUP(C375,'WSS-26'!$C$1:$AU$617,22,)</f>
        <v>0</v>
      </c>
      <c r="G375" s="32">
        <f t="shared" si="382"/>
        <v>0</v>
      </c>
      <c r="H375" s="32">
        <f t="shared" si="382"/>
        <v>0</v>
      </c>
      <c r="I375" s="32">
        <f t="shared" si="382"/>
        <v>0</v>
      </c>
      <c r="J375" s="32">
        <f t="shared" si="382"/>
        <v>0</v>
      </c>
      <c r="K375" s="32">
        <f t="shared" si="382"/>
        <v>0</v>
      </c>
      <c r="L375" s="32">
        <f t="shared" si="382"/>
        <v>0</v>
      </c>
      <c r="M375" s="32">
        <f t="shared" si="382"/>
        <v>0</v>
      </c>
      <c r="N375" s="32">
        <f t="shared" si="382"/>
        <v>0</v>
      </c>
      <c r="O375" s="32">
        <f t="shared" si="382"/>
        <v>0</v>
      </c>
      <c r="P375" s="32">
        <f t="shared" si="382"/>
        <v>0</v>
      </c>
      <c r="Q375" s="32">
        <f t="shared" si="382"/>
        <v>0</v>
      </c>
      <c r="R375" s="32">
        <f t="shared" si="382"/>
        <v>0</v>
      </c>
      <c r="S375" s="32">
        <f t="shared" si="382"/>
        <v>0</v>
      </c>
      <c r="T375" s="32">
        <f t="shared" si="382"/>
        <v>0</v>
      </c>
      <c r="U375" s="32">
        <f t="shared" si="382"/>
        <v>0</v>
      </c>
      <c r="V375" s="32">
        <f t="shared" si="382"/>
        <v>0</v>
      </c>
      <c r="W375" s="34">
        <f t="shared" si="383"/>
        <v>0</v>
      </c>
      <c r="X375" s="30" t="str">
        <f t="shared" si="384"/>
        <v>ok</v>
      </c>
      <c r="Y375" s="66" t="str">
        <f t="shared" si="385"/>
        <v/>
      </c>
    </row>
    <row r="376" spans="1:25" ht="12" customHeight="1" x14ac:dyDescent="0.25">
      <c r="A376" s="39" t="s">
        <v>771</v>
      </c>
      <c r="C376" s="29" t="s">
        <v>66</v>
      </c>
      <c r="D376" s="29" t="s">
        <v>86</v>
      </c>
      <c r="E376" s="29" t="s">
        <v>871</v>
      </c>
      <c r="F376" s="33">
        <f>VLOOKUP(C376,'WSS-26'!$C$1:$AU$617,23,)</f>
        <v>0</v>
      </c>
      <c r="G376" s="32">
        <f t="shared" si="382"/>
        <v>0</v>
      </c>
      <c r="H376" s="32">
        <f t="shared" si="382"/>
        <v>0</v>
      </c>
      <c r="I376" s="32">
        <f t="shared" si="382"/>
        <v>0</v>
      </c>
      <c r="J376" s="32">
        <f t="shared" si="382"/>
        <v>0</v>
      </c>
      <c r="K376" s="32">
        <f t="shared" si="382"/>
        <v>0</v>
      </c>
      <c r="L376" s="32">
        <f t="shared" si="382"/>
        <v>0</v>
      </c>
      <c r="M376" s="32">
        <f t="shared" si="382"/>
        <v>0</v>
      </c>
      <c r="N376" s="32">
        <f t="shared" si="382"/>
        <v>0</v>
      </c>
      <c r="O376" s="32">
        <f t="shared" si="382"/>
        <v>0</v>
      </c>
      <c r="P376" s="32">
        <f t="shared" si="382"/>
        <v>0</v>
      </c>
      <c r="Q376" s="32">
        <f t="shared" si="382"/>
        <v>0</v>
      </c>
      <c r="R376" s="32">
        <f t="shared" si="382"/>
        <v>0</v>
      </c>
      <c r="S376" s="32">
        <f t="shared" si="382"/>
        <v>0</v>
      </c>
      <c r="T376" s="32">
        <f t="shared" si="382"/>
        <v>0</v>
      </c>
      <c r="U376" s="32">
        <f t="shared" si="382"/>
        <v>0</v>
      </c>
      <c r="V376" s="32">
        <f t="shared" si="382"/>
        <v>0</v>
      </c>
      <c r="W376" s="34">
        <f t="shared" si="383"/>
        <v>0</v>
      </c>
      <c r="X376" s="30" t="str">
        <f t="shared" si="384"/>
        <v>ok</v>
      </c>
      <c r="Y376" s="66" t="str">
        <f t="shared" si="385"/>
        <v/>
      </c>
    </row>
    <row r="377" spans="1:25" ht="12" customHeight="1" x14ac:dyDescent="0.25">
      <c r="A377" s="29" t="s">
        <v>151</v>
      </c>
      <c r="D377" s="29" t="s">
        <v>87</v>
      </c>
      <c r="F377" s="32">
        <f t="shared" ref="F377:T377" si="386">SUM(F372:F376)</f>
        <v>0</v>
      </c>
      <c r="G377" s="32">
        <f t="shared" si="386"/>
        <v>0</v>
      </c>
      <c r="H377" s="32">
        <f t="shared" si="386"/>
        <v>0</v>
      </c>
      <c r="I377" s="32">
        <f>SUM(I372:I376)</f>
        <v>0</v>
      </c>
      <c r="J377" s="32">
        <f>SUM(J372:J376)</f>
        <v>0</v>
      </c>
      <c r="K377" s="32">
        <f>SUM(K372:K376)</f>
        <v>0</v>
      </c>
      <c r="L377" s="32">
        <f t="shared" si="386"/>
        <v>0</v>
      </c>
      <c r="M377" s="32">
        <f t="shared" si="386"/>
        <v>0</v>
      </c>
      <c r="N377" s="32">
        <f t="shared" si="386"/>
        <v>0</v>
      </c>
      <c r="O377" s="32">
        <f t="shared" si="386"/>
        <v>0</v>
      </c>
      <c r="P377" s="32">
        <f>SUM(P372:P376)</f>
        <v>0</v>
      </c>
      <c r="Q377" s="32">
        <f t="shared" si="386"/>
        <v>0</v>
      </c>
      <c r="R377" s="32">
        <f t="shared" si="386"/>
        <v>0</v>
      </c>
      <c r="S377" s="32">
        <f t="shared" si="386"/>
        <v>0</v>
      </c>
      <c r="T377" s="32">
        <f t="shared" si="386"/>
        <v>0</v>
      </c>
      <c r="U377" s="32">
        <f t="shared" ref="U377:V377" si="387">SUM(U372:U376)</f>
        <v>0</v>
      </c>
      <c r="V377" s="32">
        <f t="shared" si="387"/>
        <v>0</v>
      </c>
      <c r="W377" s="34">
        <f t="shared" ref="W377" si="388">SUM(G377:V377)</f>
        <v>0</v>
      </c>
      <c r="X377" s="30" t="str">
        <f t="shared" ref="X377" si="389">IF(ABS(F377-W377)&lt;0.01,"ok","err")</f>
        <v>ok</v>
      </c>
      <c r="Y377" s="34" t="str">
        <f t="shared" ref="Y377" si="390">IF(X377="err",W377-F377,"")</f>
        <v/>
      </c>
    </row>
    <row r="378" spans="1:25" ht="12" customHeight="1" x14ac:dyDescent="0.25">
      <c r="F378" s="33"/>
    </row>
    <row r="379" spans="1:25" ht="12" customHeight="1" x14ac:dyDescent="0.25">
      <c r="A379" s="4" t="s">
        <v>766</v>
      </c>
      <c r="F379" s="33"/>
    </row>
    <row r="380" spans="1:25" ht="12" customHeight="1" x14ac:dyDescent="0.25">
      <c r="A380" s="39" t="s">
        <v>375</v>
      </c>
      <c r="C380" s="29" t="s">
        <v>66</v>
      </c>
      <c r="D380" s="29" t="s">
        <v>88</v>
      </c>
      <c r="E380" s="29" t="s">
        <v>2058</v>
      </c>
      <c r="F380" s="32">
        <f>VLOOKUP(C380,'WSS-26'!$C$1:$AU$617,24,)</f>
        <v>0</v>
      </c>
      <c r="G380" s="32">
        <f t="shared" ref="G380:V381" si="391">IF(VLOOKUP($E380,$D$5:$V$970,3,)=0,0,(VLOOKUP($E380,$D$5:$V$970,G$1,)/VLOOKUP($E380,$D$5:$V$970,3,))*$F380)</f>
        <v>0</v>
      </c>
      <c r="H380" s="32">
        <f t="shared" si="391"/>
        <v>0</v>
      </c>
      <c r="I380" s="32">
        <f t="shared" si="391"/>
        <v>0</v>
      </c>
      <c r="J380" s="32">
        <f t="shared" si="391"/>
        <v>0</v>
      </c>
      <c r="K380" s="32">
        <f t="shared" si="391"/>
        <v>0</v>
      </c>
      <c r="L380" s="32">
        <f t="shared" si="391"/>
        <v>0</v>
      </c>
      <c r="M380" s="32">
        <f t="shared" si="391"/>
        <v>0</v>
      </c>
      <c r="N380" s="32">
        <f t="shared" si="391"/>
        <v>0</v>
      </c>
      <c r="O380" s="32">
        <f t="shared" si="391"/>
        <v>0</v>
      </c>
      <c r="P380" s="32">
        <f t="shared" si="391"/>
        <v>0</v>
      </c>
      <c r="Q380" s="32">
        <f t="shared" si="391"/>
        <v>0</v>
      </c>
      <c r="R380" s="32">
        <f t="shared" si="391"/>
        <v>0</v>
      </c>
      <c r="S380" s="32">
        <f t="shared" si="391"/>
        <v>0</v>
      </c>
      <c r="T380" s="32">
        <f t="shared" si="391"/>
        <v>0</v>
      </c>
      <c r="U380" s="32">
        <f t="shared" si="391"/>
        <v>0</v>
      </c>
      <c r="V380" s="32">
        <f t="shared" si="391"/>
        <v>0</v>
      </c>
      <c r="W380" s="34">
        <f t="shared" ref="W380:W381" si="392">SUM(G380:V380)</f>
        <v>0</v>
      </c>
      <c r="X380" s="30" t="str">
        <f t="shared" ref="X380:X381" si="393">IF(ABS(F380-W380)&lt;0.01,"ok","err")</f>
        <v>ok</v>
      </c>
      <c r="Y380" s="66" t="str">
        <f t="shared" ref="Y380:Y381" si="394">IF(X380="err",W380-F380,"")</f>
        <v/>
      </c>
    </row>
    <row r="381" spans="1:25" ht="12" customHeight="1" x14ac:dyDescent="0.25">
      <c r="A381" s="39" t="s">
        <v>378</v>
      </c>
      <c r="C381" s="29" t="s">
        <v>66</v>
      </c>
      <c r="D381" s="29" t="s">
        <v>89</v>
      </c>
      <c r="E381" s="29" t="s">
        <v>2057</v>
      </c>
      <c r="F381" s="33">
        <f>VLOOKUP(C381,'WSS-26'!$C$1:$AU$617,25,)</f>
        <v>0</v>
      </c>
      <c r="G381" s="32">
        <f t="shared" si="391"/>
        <v>0</v>
      </c>
      <c r="H381" s="32">
        <f t="shared" si="391"/>
        <v>0</v>
      </c>
      <c r="I381" s="32">
        <f t="shared" si="391"/>
        <v>0</v>
      </c>
      <c r="J381" s="32">
        <f t="shared" si="391"/>
        <v>0</v>
      </c>
      <c r="K381" s="32">
        <f t="shared" si="391"/>
        <v>0</v>
      </c>
      <c r="L381" s="32">
        <f t="shared" si="391"/>
        <v>0</v>
      </c>
      <c r="M381" s="32">
        <f t="shared" si="391"/>
        <v>0</v>
      </c>
      <c r="N381" s="32">
        <f t="shared" si="391"/>
        <v>0</v>
      </c>
      <c r="O381" s="32">
        <f t="shared" si="391"/>
        <v>0</v>
      </c>
      <c r="P381" s="32">
        <f t="shared" si="391"/>
        <v>0</v>
      </c>
      <c r="Q381" s="32">
        <f t="shared" si="391"/>
        <v>0</v>
      </c>
      <c r="R381" s="32">
        <f t="shared" si="391"/>
        <v>0</v>
      </c>
      <c r="S381" s="32">
        <f t="shared" si="391"/>
        <v>0</v>
      </c>
      <c r="T381" s="32">
        <f t="shared" si="391"/>
        <v>0</v>
      </c>
      <c r="U381" s="32">
        <f t="shared" si="391"/>
        <v>0</v>
      </c>
      <c r="V381" s="32">
        <f t="shared" si="391"/>
        <v>0</v>
      </c>
      <c r="W381" s="34">
        <f t="shared" si="392"/>
        <v>0</v>
      </c>
      <c r="X381" s="30" t="str">
        <f t="shared" si="393"/>
        <v>ok</v>
      </c>
      <c r="Y381" s="66" t="str">
        <f t="shared" si="394"/>
        <v/>
      </c>
    </row>
    <row r="382" spans="1:25" ht="12" customHeight="1" x14ac:dyDescent="0.25">
      <c r="A382" s="29" t="s">
        <v>1434</v>
      </c>
      <c r="D382" s="29" t="s">
        <v>90</v>
      </c>
      <c r="F382" s="32">
        <f t="shared" ref="F382:T382" si="395">F380+F381</f>
        <v>0</v>
      </c>
      <c r="G382" s="32">
        <f t="shared" si="395"/>
        <v>0</v>
      </c>
      <c r="H382" s="32">
        <f t="shared" si="395"/>
        <v>0</v>
      </c>
      <c r="I382" s="32">
        <f>I380+I381</f>
        <v>0</v>
      </c>
      <c r="J382" s="32">
        <f>J380+J381</f>
        <v>0</v>
      </c>
      <c r="K382" s="32">
        <f>K380+K381</f>
        <v>0</v>
      </c>
      <c r="L382" s="32">
        <f t="shared" si="395"/>
        <v>0</v>
      </c>
      <c r="M382" s="32">
        <f t="shared" si="395"/>
        <v>0</v>
      </c>
      <c r="N382" s="32">
        <f t="shared" si="395"/>
        <v>0</v>
      </c>
      <c r="O382" s="32">
        <f t="shared" si="395"/>
        <v>0</v>
      </c>
      <c r="P382" s="32">
        <f>P380+P381</f>
        <v>0</v>
      </c>
      <c r="Q382" s="32">
        <f t="shared" si="395"/>
        <v>0</v>
      </c>
      <c r="R382" s="32">
        <f t="shared" si="395"/>
        <v>0</v>
      </c>
      <c r="S382" s="32">
        <f t="shared" si="395"/>
        <v>0</v>
      </c>
      <c r="T382" s="32">
        <f t="shared" si="395"/>
        <v>0</v>
      </c>
      <c r="U382" s="32">
        <f t="shared" ref="U382:V382" si="396">U380+U381</f>
        <v>0</v>
      </c>
      <c r="V382" s="32">
        <f t="shared" si="396"/>
        <v>0</v>
      </c>
      <c r="W382" s="34">
        <f>SUM(G382:V382)</f>
        <v>0</v>
      </c>
      <c r="X382" s="30" t="str">
        <f>IF(ABS(F382-W382)&lt;0.01,"ok","err")</f>
        <v>ok</v>
      </c>
      <c r="Y382" s="34" t="str">
        <f>IF(X382="err",W382-F382,"")</f>
        <v/>
      </c>
    </row>
    <row r="383" spans="1:25" ht="12" customHeight="1" x14ac:dyDescent="0.25">
      <c r="F383" s="33"/>
    </row>
    <row r="384" spans="1:25" ht="12" customHeight="1" x14ac:dyDescent="0.25">
      <c r="A384" s="4" t="s">
        <v>128</v>
      </c>
      <c r="F384" s="33"/>
    </row>
    <row r="385" spans="1:25" ht="12" customHeight="1" x14ac:dyDescent="0.25">
      <c r="A385" s="39" t="s">
        <v>378</v>
      </c>
      <c r="C385" s="29" t="s">
        <v>66</v>
      </c>
      <c r="D385" s="29" t="s">
        <v>91</v>
      </c>
      <c r="E385" s="29" t="s">
        <v>379</v>
      </c>
      <c r="F385" s="32">
        <f>VLOOKUP(C385,'WSS-26'!$C$1:$AU$617,26,)</f>
        <v>0</v>
      </c>
      <c r="G385" s="32">
        <f t="shared" ref="G385:V385" si="397">IF(VLOOKUP($E385,$D$5:$V$970,3,)=0,0,(VLOOKUP($E385,$D$5:$V$970,G$1,)/VLOOKUP($E385,$D$5:$V$970,3,))*$F385)</f>
        <v>0</v>
      </c>
      <c r="H385" s="32">
        <f t="shared" si="397"/>
        <v>0</v>
      </c>
      <c r="I385" s="32">
        <f t="shared" si="397"/>
        <v>0</v>
      </c>
      <c r="J385" s="32">
        <f t="shared" si="397"/>
        <v>0</v>
      </c>
      <c r="K385" s="32">
        <f t="shared" si="397"/>
        <v>0</v>
      </c>
      <c r="L385" s="32">
        <f t="shared" si="397"/>
        <v>0</v>
      </c>
      <c r="M385" s="32">
        <f t="shared" si="397"/>
        <v>0</v>
      </c>
      <c r="N385" s="32">
        <f t="shared" si="397"/>
        <v>0</v>
      </c>
      <c r="O385" s="32">
        <f t="shared" si="397"/>
        <v>0</v>
      </c>
      <c r="P385" s="32">
        <f t="shared" si="397"/>
        <v>0</v>
      </c>
      <c r="Q385" s="32">
        <f t="shared" si="397"/>
        <v>0</v>
      </c>
      <c r="R385" s="32">
        <f t="shared" si="397"/>
        <v>0</v>
      </c>
      <c r="S385" s="32">
        <f t="shared" si="397"/>
        <v>0</v>
      </c>
      <c r="T385" s="32">
        <f t="shared" si="397"/>
        <v>0</v>
      </c>
      <c r="U385" s="32">
        <f t="shared" si="397"/>
        <v>0</v>
      </c>
      <c r="V385" s="32">
        <f t="shared" si="397"/>
        <v>0</v>
      </c>
      <c r="W385" s="34">
        <f t="shared" ref="W385" si="398">SUM(G385:V385)</f>
        <v>0</v>
      </c>
      <c r="X385" s="30" t="str">
        <f t="shared" ref="X385" si="399">IF(ABS(F385-W385)&lt;0.01,"ok","err")</f>
        <v>ok</v>
      </c>
      <c r="Y385" s="66" t="str">
        <f t="shared" ref="Y385" si="400">IF(X385="err",W385-F385,"")</f>
        <v/>
      </c>
    </row>
    <row r="386" spans="1:25" ht="12" customHeight="1" x14ac:dyDescent="0.25">
      <c r="F386" s="33"/>
    </row>
    <row r="387" spans="1:25" ht="12" customHeight="1" x14ac:dyDescent="0.25">
      <c r="A387" s="4" t="s">
        <v>127</v>
      </c>
      <c r="F387" s="33"/>
    </row>
    <row r="388" spans="1:25" ht="12" customHeight="1" x14ac:dyDescent="0.25">
      <c r="A388" s="39" t="s">
        <v>378</v>
      </c>
      <c r="C388" s="29" t="s">
        <v>66</v>
      </c>
      <c r="D388" s="29" t="s">
        <v>92</v>
      </c>
      <c r="E388" s="29" t="s">
        <v>380</v>
      </c>
      <c r="F388" s="32">
        <f>VLOOKUP(C388,'WSS-26'!$C$1:$AU$617,27,)</f>
        <v>0</v>
      </c>
      <c r="G388" s="32">
        <f t="shared" ref="G388:V388" si="401">IF(VLOOKUP($E388,$D$5:$V$970,3,)=0,0,(VLOOKUP($E388,$D$5:$V$970,G$1,)/VLOOKUP($E388,$D$5:$V$970,3,))*$F388)</f>
        <v>0</v>
      </c>
      <c r="H388" s="32">
        <f t="shared" si="401"/>
        <v>0</v>
      </c>
      <c r="I388" s="32">
        <f t="shared" si="401"/>
        <v>0</v>
      </c>
      <c r="J388" s="32">
        <f t="shared" si="401"/>
        <v>0</v>
      </c>
      <c r="K388" s="32">
        <f t="shared" si="401"/>
        <v>0</v>
      </c>
      <c r="L388" s="32">
        <f t="shared" si="401"/>
        <v>0</v>
      </c>
      <c r="M388" s="32">
        <f t="shared" si="401"/>
        <v>0</v>
      </c>
      <c r="N388" s="32">
        <f t="shared" si="401"/>
        <v>0</v>
      </c>
      <c r="O388" s="32">
        <f t="shared" si="401"/>
        <v>0</v>
      </c>
      <c r="P388" s="32">
        <f t="shared" si="401"/>
        <v>0</v>
      </c>
      <c r="Q388" s="32">
        <f t="shared" si="401"/>
        <v>0</v>
      </c>
      <c r="R388" s="32">
        <f t="shared" si="401"/>
        <v>0</v>
      </c>
      <c r="S388" s="32">
        <f t="shared" si="401"/>
        <v>0</v>
      </c>
      <c r="T388" s="32">
        <f t="shared" si="401"/>
        <v>0</v>
      </c>
      <c r="U388" s="32">
        <f t="shared" si="401"/>
        <v>0</v>
      </c>
      <c r="V388" s="32">
        <f t="shared" si="401"/>
        <v>0</v>
      </c>
      <c r="W388" s="34">
        <f t="shared" ref="W388" si="402">SUM(G388:V388)</f>
        <v>0</v>
      </c>
      <c r="X388" s="30" t="str">
        <f t="shared" ref="X388" si="403">IF(ABS(F388-W388)&lt;0.01,"ok","err")</f>
        <v>ok</v>
      </c>
      <c r="Y388" s="66" t="str">
        <f t="shared" ref="Y388" si="404">IF(X388="err",W388-F388,"")</f>
        <v/>
      </c>
    </row>
    <row r="389" spans="1:25" ht="12" customHeight="1" x14ac:dyDescent="0.25">
      <c r="F389" s="33"/>
    </row>
    <row r="390" spans="1:25" ht="12" customHeight="1" x14ac:dyDescent="0.25">
      <c r="A390" s="4" t="s">
        <v>144</v>
      </c>
      <c r="F390" s="33"/>
    </row>
    <row r="391" spans="1:25" ht="12" customHeight="1" x14ac:dyDescent="0.25">
      <c r="A391" s="39" t="s">
        <v>378</v>
      </c>
      <c r="C391" s="29" t="s">
        <v>66</v>
      </c>
      <c r="D391" s="29" t="s">
        <v>93</v>
      </c>
      <c r="E391" s="29" t="s">
        <v>381</v>
      </c>
      <c r="F391" s="32">
        <f>VLOOKUP(C391,'WSS-26'!$C$1:$AU$617,28,)</f>
        <v>0</v>
      </c>
      <c r="G391" s="32">
        <f t="shared" ref="G391:V391" si="405">IF(VLOOKUP($E391,$D$5:$V$970,3,)=0,0,(VLOOKUP($E391,$D$5:$V$970,G$1,)/VLOOKUP($E391,$D$5:$V$970,3,))*$F391)</f>
        <v>0</v>
      </c>
      <c r="H391" s="32">
        <f t="shared" si="405"/>
        <v>0</v>
      </c>
      <c r="I391" s="32">
        <f t="shared" si="405"/>
        <v>0</v>
      </c>
      <c r="J391" s="32">
        <f t="shared" si="405"/>
        <v>0</v>
      </c>
      <c r="K391" s="32">
        <f t="shared" si="405"/>
        <v>0</v>
      </c>
      <c r="L391" s="32">
        <f t="shared" si="405"/>
        <v>0</v>
      </c>
      <c r="M391" s="32">
        <f t="shared" si="405"/>
        <v>0</v>
      </c>
      <c r="N391" s="32">
        <f t="shared" si="405"/>
        <v>0</v>
      </c>
      <c r="O391" s="32">
        <f t="shared" si="405"/>
        <v>0</v>
      </c>
      <c r="P391" s="32">
        <f t="shared" si="405"/>
        <v>0</v>
      </c>
      <c r="Q391" s="32">
        <f t="shared" si="405"/>
        <v>0</v>
      </c>
      <c r="R391" s="32">
        <f t="shared" si="405"/>
        <v>0</v>
      </c>
      <c r="S391" s="32">
        <f t="shared" si="405"/>
        <v>0</v>
      </c>
      <c r="T391" s="32">
        <f t="shared" si="405"/>
        <v>0</v>
      </c>
      <c r="U391" s="32">
        <f t="shared" si="405"/>
        <v>0</v>
      </c>
      <c r="V391" s="32">
        <f t="shared" si="405"/>
        <v>0</v>
      </c>
      <c r="W391" s="34">
        <f t="shared" ref="W391" si="406">SUM(G391:V391)</f>
        <v>0</v>
      </c>
      <c r="X391" s="30" t="str">
        <f t="shared" ref="X391" si="407">IF(ABS(F391-W391)&lt;0.01,"ok","err")</f>
        <v>ok</v>
      </c>
      <c r="Y391" s="66" t="str">
        <f t="shared" ref="Y391" si="408">IF(X391="err",W391-F391,"")</f>
        <v/>
      </c>
    </row>
    <row r="392" spans="1:25" ht="12" customHeight="1" x14ac:dyDescent="0.25">
      <c r="F392" s="33"/>
    </row>
    <row r="393" spans="1:25" ht="12" customHeight="1" x14ac:dyDescent="0.25">
      <c r="A393" s="4" t="s">
        <v>279</v>
      </c>
      <c r="F393" s="33"/>
    </row>
    <row r="394" spans="1:25" ht="12" customHeight="1" x14ac:dyDescent="0.25">
      <c r="A394" s="39" t="s">
        <v>378</v>
      </c>
      <c r="C394" s="29" t="s">
        <v>66</v>
      </c>
      <c r="D394" s="29" t="s">
        <v>94</v>
      </c>
      <c r="E394" s="29" t="s">
        <v>382</v>
      </c>
      <c r="F394" s="32">
        <f>VLOOKUP(C394,'WSS-26'!$C$1:$AU$617,30,)</f>
        <v>0</v>
      </c>
      <c r="G394" s="32">
        <f t="shared" ref="G394:V394" si="409">IF(VLOOKUP($E394,$D$5:$V$970,3,)=0,0,(VLOOKUP($E394,$D$5:$V$970,G$1,)/VLOOKUP($E394,$D$5:$V$970,3,))*$F394)</f>
        <v>0</v>
      </c>
      <c r="H394" s="32">
        <f t="shared" si="409"/>
        <v>0</v>
      </c>
      <c r="I394" s="32">
        <f t="shared" si="409"/>
        <v>0</v>
      </c>
      <c r="J394" s="32">
        <f t="shared" si="409"/>
        <v>0</v>
      </c>
      <c r="K394" s="32">
        <f t="shared" si="409"/>
        <v>0</v>
      </c>
      <c r="L394" s="32">
        <f t="shared" si="409"/>
        <v>0</v>
      </c>
      <c r="M394" s="32">
        <f t="shared" si="409"/>
        <v>0</v>
      </c>
      <c r="N394" s="32">
        <f t="shared" si="409"/>
        <v>0</v>
      </c>
      <c r="O394" s="32">
        <f t="shared" si="409"/>
        <v>0</v>
      </c>
      <c r="P394" s="32">
        <f t="shared" si="409"/>
        <v>0</v>
      </c>
      <c r="Q394" s="32">
        <f t="shared" si="409"/>
        <v>0</v>
      </c>
      <c r="R394" s="32">
        <f t="shared" si="409"/>
        <v>0</v>
      </c>
      <c r="S394" s="32">
        <f t="shared" si="409"/>
        <v>0</v>
      </c>
      <c r="T394" s="32">
        <f t="shared" si="409"/>
        <v>0</v>
      </c>
      <c r="U394" s="32">
        <f t="shared" si="409"/>
        <v>0</v>
      </c>
      <c r="V394" s="32">
        <f t="shared" si="409"/>
        <v>0</v>
      </c>
      <c r="W394" s="34">
        <f t="shared" ref="W394" si="410">SUM(G394:V394)</f>
        <v>0</v>
      </c>
      <c r="X394" s="30" t="str">
        <f t="shared" ref="X394" si="411">IF(ABS(F394-W394)&lt;0.01,"ok","err")</f>
        <v>ok</v>
      </c>
      <c r="Y394" s="66" t="str">
        <f t="shared" ref="Y394" si="412">IF(X394="err",W394-F394,"")</f>
        <v/>
      </c>
    </row>
    <row r="395" spans="1:25" ht="12" customHeight="1" x14ac:dyDescent="0.25">
      <c r="F395" s="33"/>
    </row>
    <row r="396" spans="1:25" ht="12" customHeight="1" x14ac:dyDescent="0.25">
      <c r="A396" s="4" t="s">
        <v>1596</v>
      </c>
      <c r="F396" s="33"/>
    </row>
    <row r="397" spans="1:25" ht="12" customHeight="1" x14ac:dyDescent="0.25">
      <c r="A397" s="39" t="s">
        <v>378</v>
      </c>
      <c r="C397" s="29" t="s">
        <v>66</v>
      </c>
      <c r="D397" s="29" t="s">
        <v>95</v>
      </c>
      <c r="E397" s="29" t="s">
        <v>382</v>
      </c>
      <c r="F397" s="32">
        <f>VLOOKUP(C397,'WSS-26'!$C$1:$AU$617,32,)</f>
        <v>0</v>
      </c>
      <c r="G397" s="32">
        <f t="shared" ref="G397:V397" si="413">IF(VLOOKUP($E397,$D$5:$V$970,3,)=0,0,(VLOOKUP($E397,$D$5:$V$970,G$1,)/VLOOKUP($E397,$D$5:$V$970,3,))*$F397)</f>
        <v>0</v>
      </c>
      <c r="H397" s="32">
        <f t="shared" si="413"/>
        <v>0</v>
      </c>
      <c r="I397" s="32">
        <f t="shared" si="413"/>
        <v>0</v>
      </c>
      <c r="J397" s="32">
        <f t="shared" si="413"/>
        <v>0</v>
      </c>
      <c r="K397" s="32">
        <f t="shared" si="413"/>
        <v>0</v>
      </c>
      <c r="L397" s="32">
        <f t="shared" si="413"/>
        <v>0</v>
      </c>
      <c r="M397" s="32">
        <f t="shared" si="413"/>
        <v>0</v>
      </c>
      <c r="N397" s="32">
        <f t="shared" si="413"/>
        <v>0</v>
      </c>
      <c r="O397" s="32">
        <f t="shared" si="413"/>
        <v>0</v>
      </c>
      <c r="P397" s="32">
        <f t="shared" si="413"/>
        <v>0</v>
      </c>
      <c r="Q397" s="32">
        <f t="shared" si="413"/>
        <v>0</v>
      </c>
      <c r="R397" s="32">
        <f t="shared" si="413"/>
        <v>0</v>
      </c>
      <c r="S397" s="32">
        <f t="shared" si="413"/>
        <v>0</v>
      </c>
      <c r="T397" s="32">
        <f t="shared" si="413"/>
        <v>0</v>
      </c>
      <c r="U397" s="32">
        <f t="shared" si="413"/>
        <v>0</v>
      </c>
      <c r="V397" s="32">
        <f t="shared" si="413"/>
        <v>0</v>
      </c>
      <c r="W397" s="34">
        <f t="shared" ref="W397" si="414">SUM(G397:V397)</f>
        <v>0</v>
      </c>
      <c r="X397" s="30" t="str">
        <f t="shared" ref="X397" si="415">IF(ABS(F397-W397)&lt;0.01,"ok","err")</f>
        <v>ok</v>
      </c>
      <c r="Y397" s="66" t="str">
        <f t="shared" ref="Y397" si="416">IF(X397="err",W397-F397,"")</f>
        <v/>
      </c>
    </row>
    <row r="398" spans="1:25" ht="12" customHeight="1" x14ac:dyDescent="0.25">
      <c r="F398" s="33"/>
    </row>
    <row r="399" spans="1:25" ht="12" customHeight="1" x14ac:dyDescent="0.25">
      <c r="A399" s="4" t="s">
        <v>1595</v>
      </c>
      <c r="F399" s="33"/>
    </row>
    <row r="400" spans="1:25" ht="12" customHeight="1" x14ac:dyDescent="0.25">
      <c r="A400" s="39" t="s">
        <v>378</v>
      </c>
      <c r="C400" s="29" t="s">
        <v>66</v>
      </c>
      <c r="D400" s="29" t="s">
        <v>1649</v>
      </c>
      <c r="E400" s="29" t="s">
        <v>383</v>
      </c>
      <c r="F400" s="32">
        <f>VLOOKUP(C400,'WSS-26'!$C$1:$AU$617,34,)</f>
        <v>0</v>
      </c>
      <c r="G400" s="32">
        <f t="shared" ref="G400:V400" si="417">IF(VLOOKUP($E400,$D$5:$V$970,3,)=0,0,(VLOOKUP($E400,$D$5:$V$970,G$1,)/VLOOKUP($E400,$D$5:$V$970,3,))*$F400)</f>
        <v>0</v>
      </c>
      <c r="H400" s="32">
        <f t="shared" si="417"/>
        <v>0</v>
      </c>
      <c r="I400" s="32">
        <f t="shared" si="417"/>
        <v>0</v>
      </c>
      <c r="J400" s="32">
        <f t="shared" si="417"/>
        <v>0</v>
      </c>
      <c r="K400" s="32">
        <f t="shared" si="417"/>
        <v>0</v>
      </c>
      <c r="L400" s="32">
        <f t="shared" si="417"/>
        <v>0</v>
      </c>
      <c r="M400" s="32">
        <f t="shared" si="417"/>
        <v>0</v>
      </c>
      <c r="N400" s="32">
        <f t="shared" si="417"/>
        <v>0</v>
      </c>
      <c r="O400" s="32">
        <f t="shared" si="417"/>
        <v>0</v>
      </c>
      <c r="P400" s="32">
        <f t="shared" si="417"/>
        <v>0</v>
      </c>
      <c r="Q400" s="32">
        <f t="shared" si="417"/>
        <v>0</v>
      </c>
      <c r="R400" s="32">
        <f t="shared" si="417"/>
        <v>0</v>
      </c>
      <c r="S400" s="32">
        <f t="shared" si="417"/>
        <v>0</v>
      </c>
      <c r="T400" s="32">
        <f t="shared" si="417"/>
        <v>0</v>
      </c>
      <c r="U400" s="32">
        <f t="shared" si="417"/>
        <v>0</v>
      </c>
      <c r="V400" s="32">
        <f t="shared" si="417"/>
        <v>0</v>
      </c>
      <c r="W400" s="34">
        <f t="shared" ref="W400" si="418">SUM(G400:V400)</f>
        <v>0</v>
      </c>
      <c r="X400" s="30" t="str">
        <f t="shared" ref="X400" si="419">IF(ABS(F400-W400)&lt;0.01,"ok","err")</f>
        <v>ok</v>
      </c>
      <c r="Y400" s="66" t="str">
        <f t="shared" ref="Y400" si="420">IF(X400="err",W400-F400,"")</f>
        <v/>
      </c>
    </row>
    <row r="401" spans="1:25" ht="12" customHeight="1" x14ac:dyDescent="0.25">
      <c r="F401" s="33"/>
    </row>
    <row r="402" spans="1:25" ht="12" customHeight="1" x14ac:dyDescent="0.25">
      <c r="A402" s="29" t="s">
        <v>62</v>
      </c>
      <c r="D402" s="29" t="s">
        <v>96</v>
      </c>
      <c r="F402" s="32">
        <f>F357+F363+F366+F369+F377+F382+F385+F388+F391+F394+F397+F400</f>
        <v>0</v>
      </c>
      <c r="G402" s="32">
        <f t="shared" ref="G402:T402" si="421">G357+G363+G366+G369+G377+G382+G385+G388+G391+G394+G397+G400</f>
        <v>0</v>
      </c>
      <c r="H402" s="32">
        <f t="shared" si="421"/>
        <v>0</v>
      </c>
      <c r="I402" s="32">
        <f>I357+I363+I366+I369+I377+I382+I385+I388+I391+I394+I397+I400</f>
        <v>0</v>
      </c>
      <c r="J402" s="32">
        <f>J357+J363+J366+J369+J377+J382+J385+J388+J391+J394+J397+J400</f>
        <v>0</v>
      </c>
      <c r="K402" s="32">
        <f>K357+K363+K366+K369+K377+K382+K385+K388+K391+K394+K397+K400</f>
        <v>0</v>
      </c>
      <c r="L402" s="32">
        <f t="shared" si="421"/>
        <v>0</v>
      </c>
      <c r="M402" s="32">
        <f t="shared" si="421"/>
        <v>0</v>
      </c>
      <c r="N402" s="32">
        <f t="shared" si="421"/>
        <v>0</v>
      </c>
      <c r="O402" s="32">
        <f>O357+O363+O366+O369+O377+O382+O385+O388+O391+O394+O397+O400</f>
        <v>0</v>
      </c>
      <c r="P402" s="32">
        <f>P357+P363+P366+P369+P377+P382+P385+P388+P391+P394+P397+P400</f>
        <v>0</v>
      </c>
      <c r="Q402" s="32">
        <f t="shared" si="421"/>
        <v>0</v>
      </c>
      <c r="R402" s="32">
        <f t="shared" si="421"/>
        <v>0</v>
      </c>
      <c r="S402" s="32">
        <f t="shared" si="421"/>
        <v>0</v>
      </c>
      <c r="T402" s="32">
        <f t="shared" si="421"/>
        <v>0</v>
      </c>
      <c r="U402" s="32">
        <f t="shared" ref="U402:V402" si="422">U357+U363+U366+U369+U377+U382+U385+U388+U391+U394+U397+U400</f>
        <v>0</v>
      </c>
      <c r="V402" s="32">
        <f t="shared" si="422"/>
        <v>0</v>
      </c>
      <c r="W402" s="34">
        <f>SUM(G402:V402)</f>
        <v>0</v>
      </c>
      <c r="X402" s="30" t="str">
        <f>IF(ABS(F402-W402)&lt;0.01,"ok","err")</f>
        <v>ok</v>
      </c>
      <c r="Y402" s="34" t="str">
        <f>IF(X402="err",W402-F402,"")</f>
        <v/>
      </c>
    </row>
    <row r="405" spans="1:25" ht="12" customHeight="1" x14ac:dyDescent="0.25">
      <c r="A405" s="3" t="s">
        <v>359</v>
      </c>
    </row>
    <row r="407" spans="1:25" ht="12" customHeight="1" x14ac:dyDescent="0.25">
      <c r="A407" s="4" t="s">
        <v>137</v>
      </c>
    </row>
    <row r="408" spans="1:25" ht="12" customHeight="1" x14ac:dyDescent="0.25">
      <c r="A408" s="39" t="s">
        <v>2133</v>
      </c>
      <c r="C408" s="29" t="s">
        <v>360</v>
      </c>
      <c r="D408" s="29" t="s">
        <v>1652</v>
      </c>
      <c r="E408" s="29" t="s">
        <v>2261</v>
      </c>
      <c r="F408" s="32">
        <f>VLOOKUP(C408,'WSS-26'!$C$1:$AU$617,6,)</f>
        <v>18046843.290928498</v>
      </c>
      <c r="G408" s="32">
        <f t="shared" ref="G408:V413" si="423">IF(VLOOKUP($E408,$D$5:$V$970,3,)=0,0,(VLOOKUP($E408,$D$5:$V$970,G$1,)/VLOOKUP($E408,$D$5:$V$970,3,))*$F408)</f>
        <v>7465072.2855059551</v>
      </c>
      <c r="H408" s="32">
        <f t="shared" si="423"/>
        <v>1693280.5462577203</v>
      </c>
      <c r="I408" s="32">
        <f t="shared" si="423"/>
        <v>114452.19325767516</v>
      </c>
      <c r="J408" s="32">
        <f t="shared" si="423"/>
        <v>1874926.3278138267</v>
      </c>
      <c r="K408" s="32">
        <f t="shared" si="423"/>
        <v>129497.64775856266</v>
      </c>
      <c r="L408" s="32">
        <f t="shared" si="423"/>
        <v>1749160.7900374769</v>
      </c>
      <c r="M408" s="32">
        <f t="shared" si="423"/>
        <v>3416519.6453142911</v>
      </c>
      <c r="N408" s="32">
        <f t="shared" si="423"/>
        <v>1118824.6516063558</v>
      </c>
      <c r="O408" s="32">
        <f t="shared" si="423"/>
        <v>471851.47903130006</v>
      </c>
      <c r="P408" s="32">
        <f t="shared" si="423"/>
        <v>6859.5694476957433</v>
      </c>
      <c r="Q408" s="32">
        <f t="shared" si="423"/>
        <v>78.237236022235052</v>
      </c>
      <c r="R408" s="32">
        <f t="shared" si="423"/>
        <v>940.20765527229003</v>
      </c>
      <c r="S408" s="32">
        <f t="shared" si="423"/>
        <v>158.51000634451307</v>
      </c>
      <c r="T408" s="32">
        <f t="shared" si="423"/>
        <v>0</v>
      </c>
      <c r="U408" s="32">
        <f t="shared" si="423"/>
        <v>5221.2</v>
      </c>
      <c r="V408" s="32">
        <f t="shared" si="423"/>
        <v>0</v>
      </c>
      <c r="W408" s="34">
        <f t="shared" ref="W408:W413" si="424">SUM(G408:V408)</f>
        <v>18046843.290928498</v>
      </c>
      <c r="X408" s="30" t="str">
        <f t="shared" ref="X408:X413" si="425">IF(ABS(F408-W408)&lt;0.01,"ok","err")</f>
        <v>ok</v>
      </c>
      <c r="Y408" s="66" t="str">
        <f t="shared" ref="Y408:Y413" si="426">IF(X408="err",W408-F408,"")</f>
        <v/>
      </c>
    </row>
    <row r="409" spans="1:25" ht="12" hidden="1" customHeight="1" x14ac:dyDescent="0.25">
      <c r="A409" s="39" t="s">
        <v>2134</v>
      </c>
      <c r="C409" s="29" t="s">
        <v>360</v>
      </c>
      <c r="D409" s="29" t="s">
        <v>1653</v>
      </c>
      <c r="E409" s="29" t="s">
        <v>2132</v>
      </c>
      <c r="F409" s="33">
        <f>VLOOKUP(C409,'WSS-26'!$C$1:$AU$617,7,)</f>
        <v>0</v>
      </c>
      <c r="G409" s="32">
        <f t="shared" si="423"/>
        <v>0</v>
      </c>
      <c r="H409" s="32">
        <f t="shared" si="423"/>
        <v>0</v>
      </c>
      <c r="I409" s="32">
        <f t="shared" si="423"/>
        <v>0</v>
      </c>
      <c r="J409" s="32">
        <f t="shared" si="423"/>
        <v>0</v>
      </c>
      <c r="K409" s="32">
        <f t="shared" si="423"/>
        <v>0</v>
      </c>
      <c r="L409" s="32">
        <f t="shared" si="423"/>
        <v>0</v>
      </c>
      <c r="M409" s="32">
        <f t="shared" si="423"/>
        <v>0</v>
      </c>
      <c r="N409" s="32">
        <f t="shared" si="423"/>
        <v>0</v>
      </c>
      <c r="O409" s="32">
        <f t="shared" si="423"/>
        <v>0</v>
      </c>
      <c r="P409" s="32">
        <f t="shared" si="423"/>
        <v>0</v>
      </c>
      <c r="Q409" s="32">
        <f t="shared" si="423"/>
        <v>0</v>
      </c>
      <c r="R409" s="32">
        <f t="shared" si="423"/>
        <v>0</v>
      </c>
      <c r="S409" s="32">
        <f t="shared" si="423"/>
        <v>0</v>
      </c>
      <c r="T409" s="32">
        <f t="shared" si="423"/>
        <v>0</v>
      </c>
      <c r="U409" s="32">
        <f t="shared" si="423"/>
        <v>0</v>
      </c>
      <c r="V409" s="32">
        <f t="shared" si="423"/>
        <v>0</v>
      </c>
      <c r="W409" s="34">
        <f t="shared" si="424"/>
        <v>0</v>
      </c>
      <c r="X409" s="30" t="str">
        <f t="shared" si="425"/>
        <v>ok</v>
      </c>
      <c r="Y409" s="66" t="str">
        <f t="shared" si="426"/>
        <v/>
      </c>
    </row>
    <row r="410" spans="1:25" ht="12" hidden="1" customHeight="1" x14ac:dyDescent="0.25">
      <c r="A410" s="39" t="s">
        <v>2134</v>
      </c>
      <c r="C410" s="29" t="s">
        <v>360</v>
      </c>
      <c r="D410" s="29" t="s">
        <v>1654</v>
      </c>
      <c r="E410" s="29" t="s">
        <v>2132</v>
      </c>
      <c r="F410" s="33">
        <f>VLOOKUP(C410,'WSS-26'!$C$1:$AU$617,8,)</f>
        <v>0</v>
      </c>
      <c r="G410" s="32">
        <f t="shared" si="423"/>
        <v>0</v>
      </c>
      <c r="H410" s="32">
        <f t="shared" si="423"/>
        <v>0</v>
      </c>
      <c r="I410" s="32">
        <f t="shared" si="423"/>
        <v>0</v>
      </c>
      <c r="J410" s="32">
        <f t="shared" si="423"/>
        <v>0</v>
      </c>
      <c r="K410" s="32">
        <f t="shared" si="423"/>
        <v>0</v>
      </c>
      <c r="L410" s="32">
        <f t="shared" si="423"/>
        <v>0</v>
      </c>
      <c r="M410" s="32">
        <f t="shared" si="423"/>
        <v>0</v>
      </c>
      <c r="N410" s="32">
        <f t="shared" si="423"/>
        <v>0</v>
      </c>
      <c r="O410" s="32">
        <f t="shared" si="423"/>
        <v>0</v>
      </c>
      <c r="P410" s="32">
        <f t="shared" si="423"/>
        <v>0</v>
      </c>
      <c r="Q410" s="32">
        <f t="shared" si="423"/>
        <v>0</v>
      </c>
      <c r="R410" s="32">
        <f t="shared" si="423"/>
        <v>0</v>
      </c>
      <c r="S410" s="32">
        <f t="shared" si="423"/>
        <v>0</v>
      </c>
      <c r="T410" s="32">
        <f t="shared" si="423"/>
        <v>0</v>
      </c>
      <c r="U410" s="32">
        <f t="shared" si="423"/>
        <v>0</v>
      </c>
      <c r="V410" s="32">
        <f t="shared" si="423"/>
        <v>0</v>
      </c>
      <c r="W410" s="34">
        <f t="shared" si="424"/>
        <v>0</v>
      </c>
      <c r="X410" s="30" t="str">
        <f t="shared" si="425"/>
        <v>ok</v>
      </c>
      <c r="Y410" s="66" t="str">
        <f t="shared" si="426"/>
        <v/>
      </c>
    </row>
    <row r="411" spans="1:25" ht="12" customHeight="1" x14ac:dyDescent="0.25">
      <c r="A411" s="39" t="s">
        <v>2136</v>
      </c>
      <c r="C411" s="29" t="s">
        <v>360</v>
      </c>
      <c r="D411" s="29" t="s">
        <v>1655</v>
      </c>
      <c r="E411" s="29" t="s">
        <v>376</v>
      </c>
      <c r="F411" s="33">
        <f>VLOOKUP(C411,'WSS-26'!$C$1:$AU$617,9,)</f>
        <v>0</v>
      </c>
      <c r="G411" s="32">
        <f t="shared" si="423"/>
        <v>0</v>
      </c>
      <c r="H411" s="32">
        <f t="shared" si="423"/>
        <v>0</v>
      </c>
      <c r="I411" s="32">
        <f t="shared" si="423"/>
        <v>0</v>
      </c>
      <c r="J411" s="32">
        <f t="shared" si="423"/>
        <v>0</v>
      </c>
      <c r="K411" s="32">
        <f t="shared" si="423"/>
        <v>0</v>
      </c>
      <c r="L411" s="32">
        <f t="shared" si="423"/>
        <v>0</v>
      </c>
      <c r="M411" s="32">
        <f t="shared" si="423"/>
        <v>0</v>
      </c>
      <c r="N411" s="32">
        <f t="shared" si="423"/>
        <v>0</v>
      </c>
      <c r="O411" s="32">
        <f t="shared" si="423"/>
        <v>0</v>
      </c>
      <c r="P411" s="32">
        <f t="shared" si="423"/>
        <v>0</v>
      </c>
      <c r="Q411" s="32">
        <f t="shared" si="423"/>
        <v>0</v>
      </c>
      <c r="R411" s="32">
        <f t="shared" si="423"/>
        <v>0</v>
      </c>
      <c r="S411" s="32">
        <f t="shared" si="423"/>
        <v>0</v>
      </c>
      <c r="T411" s="32">
        <f t="shared" si="423"/>
        <v>0</v>
      </c>
      <c r="U411" s="32">
        <f t="shared" si="423"/>
        <v>0</v>
      </c>
      <c r="V411" s="32">
        <f t="shared" si="423"/>
        <v>0</v>
      </c>
      <c r="W411" s="34">
        <f t="shared" si="424"/>
        <v>0</v>
      </c>
      <c r="X411" s="30" t="str">
        <f t="shared" si="425"/>
        <v>ok</v>
      </c>
      <c r="Y411" s="66" t="str">
        <f t="shared" si="426"/>
        <v/>
      </c>
    </row>
    <row r="412" spans="1:25" ht="12" hidden="1" customHeight="1" x14ac:dyDescent="0.25">
      <c r="A412" s="39" t="s">
        <v>2135</v>
      </c>
      <c r="C412" s="29" t="s">
        <v>360</v>
      </c>
      <c r="D412" s="29" t="s">
        <v>1656</v>
      </c>
      <c r="E412" s="29" t="s">
        <v>376</v>
      </c>
      <c r="F412" s="33">
        <f>VLOOKUP(C412,'WSS-26'!$C$1:$AU$617,10,)</f>
        <v>0</v>
      </c>
      <c r="G412" s="32">
        <f t="shared" si="423"/>
        <v>0</v>
      </c>
      <c r="H412" s="32">
        <f t="shared" si="423"/>
        <v>0</v>
      </c>
      <c r="I412" s="32">
        <f t="shared" si="423"/>
        <v>0</v>
      </c>
      <c r="J412" s="32">
        <f t="shared" si="423"/>
        <v>0</v>
      </c>
      <c r="K412" s="32">
        <f t="shared" si="423"/>
        <v>0</v>
      </c>
      <c r="L412" s="32">
        <f t="shared" si="423"/>
        <v>0</v>
      </c>
      <c r="M412" s="32">
        <f t="shared" si="423"/>
        <v>0</v>
      </c>
      <c r="N412" s="32">
        <f t="shared" si="423"/>
        <v>0</v>
      </c>
      <c r="O412" s="32">
        <f t="shared" si="423"/>
        <v>0</v>
      </c>
      <c r="P412" s="32">
        <f t="shared" si="423"/>
        <v>0</v>
      </c>
      <c r="Q412" s="32">
        <f t="shared" si="423"/>
        <v>0</v>
      </c>
      <c r="R412" s="32">
        <f t="shared" si="423"/>
        <v>0</v>
      </c>
      <c r="S412" s="32">
        <f t="shared" si="423"/>
        <v>0</v>
      </c>
      <c r="T412" s="32">
        <f t="shared" si="423"/>
        <v>0</v>
      </c>
      <c r="U412" s="32">
        <f t="shared" si="423"/>
        <v>0</v>
      </c>
      <c r="V412" s="32">
        <f t="shared" si="423"/>
        <v>0</v>
      </c>
      <c r="W412" s="34">
        <f t="shared" si="424"/>
        <v>0</v>
      </c>
      <c r="X412" s="30" t="str">
        <f t="shared" si="425"/>
        <v>ok</v>
      </c>
      <c r="Y412" s="66" t="str">
        <f t="shared" si="426"/>
        <v/>
      </c>
    </row>
    <row r="413" spans="1:25" ht="12" hidden="1" customHeight="1" x14ac:dyDescent="0.25">
      <c r="A413" s="39" t="s">
        <v>2135</v>
      </c>
      <c r="C413" s="29" t="s">
        <v>360</v>
      </c>
      <c r="D413" s="29" t="s">
        <v>1657</v>
      </c>
      <c r="E413" s="29" t="s">
        <v>376</v>
      </c>
      <c r="F413" s="33">
        <f>VLOOKUP(C413,'WSS-26'!$C$1:$AU$617,11,)</f>
        <v>0</v>
      </c>
      <c r="G413" s="32">
        <f t="shared" si="423"/>
        <v>0</v>
      </c>
      <c r="H413" s="32">
        <f t="shared" si="423"/>
        <v>0</v>
      </c>
      <c r="I413" s="32">
        <f t="shared" si="423"/>
        <v>0</v>
      </c>
      <c r="J413" s="32">
        <f t="shared" si="423"/>
        <v>0</v>
      </c>
      <c r="K413" s="32">
        <f t="shared" si="423"/>
        <v>0</v>
      </c>
      <c r="L413" s="32">
        <f t="shared" si="423"/>
        <v>0</v>
      </c>
      <c r="M413" s="32">
        <f t="shared" si="423"/>
        <v>0</v>
      </c>
      <c r="N413" s="32">
        <f t="shared" si="423"/>
        <v>0</v>
      </c>
      <c r="O413" s="32">
        <f t="shared" si="423"/>
        <v>0</v>
      </c>
      <c r="P413" s="32">
        <f t="shared" si="423"/>
        <v>0</v>
      </c>
      <c r="Q413" s="32">
        <f t="shared" si="423"/>
        <v>0</v>
      </c>
      <c r="R413" s="32">
        <f t="shared" si="423"/>
        <v>0</v>
      </c>
      <c r="S413" s="32">
        <f t="shared" si="423"/>
        <v>0</v>
      </c>
      <c r="T413" s="32">
        <f t="shared" si="423"/>
        <v>0</v>
      </c>
      <c r="U413" s="32">
        <f t="shared" si="423"/>
        <v>0</v>
      </c>
      <c r="V413" s="32">
        <f t="shared" si="423"/>
        <v>0</v>
      </c>
      <c r="W413" s="34">
        <f t="shared" si="424"/>
        <v>0</v>
      </c>
      <c r="X413" s="30" t="str">
        <f t="shared" si="425"/>
        <v>ok</v>
      </c>
      <c r="Y413" s="66" t="str">
        <f t="shared" si="426"/>
        <v/>
      </c>
    </row>
    <row r="414" spans="1:25" ht="12" customHeight="1" x14ac:dyDescent="0.25">
      <c r="A414" s="29" t="s">
        <v>160</v>
      </c>
      <c r="D414" s="29" t="s">
        <v>1658</v>
      </c>
      <c r="F414" s="32">
        <f t="shared" ref="F414:T414" si="427">SUM(F408:F413)</f>
        <v>18046843.290928498</v>
      </c>
      <c r="G414" s="32">
        <f t="shared" si="427"/>
        <v>7465072.2855059551</v>
      </c>
      <c r="H414" s="32">
        <f t="shared" si="427"/>
        <v>1693280.5462577203</v>
      </c>
      <c r="I414" s="32">
        <f>SUM(I408:I413)</f>
        <v>114452.19325767516</v>
      </c>
      <c r="J414" s="32">
        <f>SUM(J408:J413)</f>
        <v>1874926.3278138267</v>
      </c>
      <c r="K414" s="32">
        <f>SUM(K408:K413)</f>
        <v>129497.64775856266</v>
      </c>
      <c r="L414" s="32">
        <f t="shared" si="427"/>
        <v>1749160.7900374769</v>
      </c>
      <c r="M414" s="32">
        <f t="shared" si="427"/>
        <v>3416519.6453142911</v>
      </c>
      <c r="N414" s="32">
        <f t="shared" si="427"/>
        <v>1118824.6516063558</v>
      </c>
      <c r="O414" s="32">
        <f t="shared" si="427"/>
        <v>471851.47903130006</v>
      </c>
      <c r="P414" s="32">
        <f>SUM(P408:P413)</f>
        <v>6859.5694476957433</v>
      </c>
      <c r="Q414" s="32">
        <f t="shared" si="427"/>
        <v>78.237236022235052</v>
      </c>
      <c r="R414" s="32">
        <f t="shared" si="427"/>
        <v>940.20765527229003</v>
      </c>
      <c r="S414" s="32">
        <f t="shared" si="427"/>
        <v>158.51000634451307</v>
      </c>
      <c r="T414" s="32">
        <f t="shared" si="427"/>
        <v>0</v>
      </c>
      <c r="U414" s="32">
        <f t="shared" ref="U414:V414" si="428">SUM(U408:U413)</f>
        <v>5221.2</v>
      </c>
      <c r="V414" s="32">
        <f t="shared" si="428"/>
        <v>0</v>
      </c>
      <c r="W414" s="34">
        <f t="shared" ref="W414" si="429">SUM(G414:V414)</f>
        <v>18046843.290928498</v>
      </c>
      <c r="X414" s="30" t="str">
        <f t="shared" ref="X414" si="430">IF(ABS(F414-W414)&lt;0.01,"ok","err")</f>
        <v>ok</v>
      </c>
      <c r="Y414" s="34" t="str">
        <f t="shared" ref="Y414" si="431">IF(X414="err",W414-F414,"")</f>
        <v/>
      </c>
    </row>
    <row r="415" spans="1:25" ht="12" customHeight="1" x14ac:dyDescent="0.25">
      <c r="F415" s="33"/>
      <c r="G415" s="33"/>
    </row>
    <row r="416" spans="1:25" ht="12" customHeight="1" x14ac:dyDescent="0.25">
      <c r="A416" s="4" t="s">
        <v>426</v>
      </c>
      <c r="F416" s="33"/>
      <c r="G416" s="33"/>
    </row>
    <row r="417" spans="1:25" ht="12" customHeight="1" x14ac:dyDescent="0.25">
      <c r="A417" s="39" t="s">
        <v>2124</v>
      </c>
      <c r="C417" s="29" t="s">
        <v>360</v>
      </c>
      <c r="D417" s="29" t="s">
        <v>1659</v>
      </c>
      <c r="E417" s="29" t="s">
        <v>2125</v>
      </c>
      <c r="F417" s="32">
        <f>VLOOKUP(C417,'WSS-26'!$C$1:$AU$617,13,)</f>
        <v>4377407.653982115</v>
      </c>
      <c r="G417" s="32">
        <f t="shared" ref="G417:V419" si="432">IF(VLOOKUP($E417,$D$5:$V$970,3,)=0,0,(VLOOKUP($E417,$D$5:$V$970,G$1,)/VLOOKUP($E417,$D$5:$V$970,3,))*$F417)</f>
        <v>1880334.2788200553</v>
      </c>
      <c r="H417" s="32">
        <f t="shared" si="432"/>
        <v>554689.33139493933</v>
      </c>
      <c r="I417" s="32">
        <f t="shared" si="432"/>
        <v>49061.713936797896</v>
      </c>
      <c r="J417" s="32">
        <f t="shared" si="432"/>
        <v>418486.40644802188</v>
      </c>
      <c r="K417" s="32">
        <f t="shared" si="432"/>
        <v>27727.690488619799</v>
      </c>
      <c r="L417" s="32">
        <f t="shared" si="432"/>
        <v>333889.19250829215</v>
      </c>
      <c r="M417" s="32">
        <f t="shared" si="432"/>
        <v>713191.83667574206</v>
      </c>
      <c r="N417" s="32">
        <f t="shared" si="432"/>
        <v>228212.55736620637</v>
      </c>
      <c r="O417" s="32">
        <f t="shared" si="432"/>
        <v>139570.23595640549</v>
      </c>
      <c r="P417" s="32">
        <f t="shared" si="432"/>
        <v>31149.588317074802</v>
      </c>
      <c r="Q417" s="32">
        <f t="shared" si="432"/>
        <v>367.54756723434025</v>
      </c>
      <c r="R417" s="32">
        <f t="shared" si="432"/>
        <v>202.24174276179338</v>
      </c>
      <c r="S417" s="32">
        <f t="shared" si="432"/>
        <v>525.032759962672</v>
      </c>
      <c r="T417" s="32">
        <f t="shared" si="432"/>
        <v>0</v>
      </c>
      <c r="U417" s="32">
        <f t="shared" si="432"/>
        <v>0</v>
      </c>
      <c r="V417" s="32">
        <f t="shared" si="432"/>
        <v>0</v>
      </c>
      <c r="W417" s="34">
        <f>SUM(G417:V417)</f>
        <v>4377407.653982114</v>
      </c>
      <c r="X417" s="30" t="str">
        <f t="shared" ref="X417:X419" si="433">IF(ABS(F417-W417)&lt;0.01,"ok","err")</f>
        <v>ok</v>
      </c>
      <c r="Y417" s="66" t="str">
        <f t="shared" ref="Y417:Y419" si="434">IF(X417="err",W417-F417,"")</f>
        <v/>
      </c>
    </row>
    <row r="418" spans="1:25" ht="12" hidden="1" customHeight="1" x14ac:dyDescent="0.25">
      <c r="A418" s="39" t="s">
        <v>2123</v>
      </c>
      <c r="C418" s="29" t="s">
        <v>360</v>
      </c>
      <c r="D418" s="29" t="s">
        <v>1660</v>
      </c>
      <c r="E418" s="29" t="s">
        <v>2125</v>
      </c>
      <c r="F418" s="33">
        <f>VLOOKUP(C418,'WSS-26'!$C$1:$AU$617,14,)</f>
        <v>0</v>
      </c>
      <c r="G418" s="32">
        <f t="shared" si="432"/>
        <v>0</v>
      </c>
      <c r="H418" s="32">
        <f t="shared" si="432"/>
        <v>0</v>
      </c>
      <c r="I418" s="32">
        <f t="shared" si="432"/>
        <v>0</v>
      </c>
      <c r="J418" s="32">
        <f t="shared" si="432"/>
        <v>0</v>
      </c>
      <c r="K418" s="32">
        <f t="shared" si="432"/>
        <v>0</v>
      </c>
      <c r="L418" s="32">
        <f t="shared" si="432"/>
        <v>0</v>
      </c>
      <c r="M418" s="32">
        <f t="shared" si="432"/>
        <v>0</v>
      </c>
      <c r="N418" s="32">
        <f t="shared" si="432"/>
        <v>0</v>
      </c>
      <c r="O418" s="32">
        <f t="shared" si="432"/>
        <v>0</v>
      </c>
      <c r="P418" s="32">
        <f t="shared" si="432"/>
        <v>0</v>
      </c>
      <c r="Q418" s="32">
        <f t="shared" si="432"/>
        <v>0</v>
      </c>
      <c r="R418" s="32">
        <f t="shared" si="432"/>
        <v>0</v>
      </c>
      <c r="S418" s="32">
        <f t="shared" si="432"/>
        <v>0</v>
      </c>
      <c r="T418" s="32">
        <f t="shared" si="432"/>
        <v>0</v>
      </c>
      <c r="U418" s="32">
        <f t="shared" si="432"/>
        <v>0</v>
      </c>
      <c r="V418" s="32">
        <f t="shared" si="432"/>
        <v>0</v>
      </c>
      <c r="W418" s="34">
        <f>SUM(G418:V418)</f>
        <v>0</v>
      </c>
      <c r="X418" s="30" t="str">
        <f t="shared" si="433"/>
        <v>ok</v>
      </c>
      <c r="Y418" s="66" t="str">
        <f t="shared" si="434"/>
        <v/>
      </c>
    </row>
    <row r="419" spans="1:25" ht="12" hidden="1" customHeight="1" x14ac:dyDescent="0.25">
      <c r="A419" s="39" t="s">
        <v>2123</v>
      </c>
      <c r="C419" s="29" t="s">
        <v>360</v>
      </c>
      <c r="D419" s="29" t="s">
        <v>1661</v>
      </c>
      <c r="E419" s="29" t="s">
        <v>2125</v>
      </c>
      <c r="F419" s="33">
        <f>VLOOKUP(C419,'WSS-26'!$C$1:$AU$617,15,)</f>
        <v>0</v>
      </c>
      <c r="G419" s="32">
        <f t="shared" si="432"/>
        <v>0</v>
      </c>
      <c r="H419" s="32">
        <f t="shared" si="432"/>
        <v>0</v>
      </c>
      <c r="I419" s="32">
        <f t="shared" si="432"/>
        <v>0</v>
      </c>
      <c r="J419" s="32">
        <f t="shared" si="432"/>
        <v>0</v>
      </c>
      <c r="K419" s="32">
        <f t="shared" si="432"/>
        <v>0</v>
      </c>
      <c r="L419" s="32">
        <f t="shared" si="432"/>
        <v>0</v>
      </c>
      <c r="M419" s="32">
        <f t="shared" si="432"/>
        <v>0</v>
      </c>
      <c r="N419" s="32">
        <f t="shared" si="432"/>
        <v>0</v>
      </c>
      <c r="O419" s="32">
        <f t="shared" si="432"/>
        <v>0</v>
      </c>
      <c r="P419" s="32">
        <f t="shared" si="432"/>
        <v>0</v>
      </c>
      <c r="Q419" s="32">
        <f t="shared" si="432"/>
        <v>0</v>
      </c>
      <c r="R419" s="32">
        <f t="shared" si="432"/>
        <v>0</v>
      </c>
      <c r="S419" s="32">
        <f t="shared" si="432"/>
        <v>0</v>
      </c>
      <c r="T419" s="32">
        <f t="shared" si="432"/>
        <v>0</v>
      </c>
      <c r="U419" s="32">
        <f t="shared" si="432"/>
        <v>0</v>
      </c>
      <c r="V419" s="32">
        <f t="shared" si="432"/>
        <v>0</v>
      </c>
      <c r="W419" s="34">
        <f>SUM(G419:V419)</f>
        <v>0</v>
      </c>
      <c r="X419" s="30" t="str">
        <f t="shared" si="433"/>
        <v>ok</v>
      </c>
      <c r="Y419" s="66" t="str">
        <f t="shared" si="434"/>
        <v/>
      </c>
    </row>
    <row r="420" spans="1:25" ht="12" hidden="1" customHeight="1" x14ac:dyDescent="0.25">
      <c r="A420" s="29" t="s">
        <v>428</v>
      </c>
      <c r="D420" s="29" t="s">
        <v>1662</v>
      </c>
      <c r="F420" s="32">
        <f t="shared" ref="F420:T420" si="435">SUM(F417:F419)</f>
        <v>4377407.653982115</v>
      </c>
      <c r="G420" s="32">
        <f t="shared" si="435"/>
        <v>1880334.2788200553</v>
      </c>
      <c r="H420" s="32">
        <f t="shared" si="435"/>
        <v>554689.33139493933</v>
      </c>
      <c r="I420" s="32">
        <f>SUM(I417:I419)</f>
        <v>49061.713936797896</v>
      </c>
      <c r="J420" s="32">
        <f>SUM(J417:J419)</f>
        <v>418486.40644802188</v>
      </c>
      <c r="K420" s="32">
        <f>SUM(K417:K419)</f>
        <v>27727.690488619799</v>
      </c>
      <c r="L420" s="32">
        <f t="shared" si="435"/>
        <v>333889.19250829215</v>
      </c>
      <c r="M420" s="32">
        <f t="shared" si="435"/>
        <v>713191.83667574206</v>
      </c>
      <c r="N420" s="32">
        <f t="shared" si="435"/>
        <v>228212.55736620637</v>
      </c>
      <c r="O420" s="32">
        <f t="shared" si="435"/>
        <v>139570.23595640549</v>
      </c>
      <c r="P420" s="32">
        <f>SUM(P417:P419)</f>
        <v>31149.588317074802</v>
      </c>
      <c r="Q420" s="32">
        <f t="shared" si="435"/>
        <v>367.54756723434025</v>
      </c>
      <c r="R420" s="32">
        <f t="shared" si="435"/>
        <v>202.24174276179338</v>
      </c>
      <c r="S420" s="32">
        <f t="shared" si="435"/>
        <v>525.032759962672</v>
      </c>
      <c r="T420" s="32">
        <f t="shared" si="435"/>
        <v>0</v>
      </c>
      <c r="U420" s="32">
        <f t="shared" ref="U420:V420" si="436">SUM(U417:U419)</f>
        <v>0</v>
      </c>
      <c r="V420" s="32">
        <f t="shared" si="436"/>
        <v>0</v>
      </c>
      <c r="W420" s="34">
        <f>SUM(G420:V420)</f>
        <v>4377407.653982114</v>
      </c>
      <c r="X420" s="30" t="str">
        <f>IF(ABS(F420-W420)&lt;0.01,"ok","err")</f>
        <v>ok</v>
      </c>
      <c r="Y420" s="34" t="str">
        <f>IF(X420="err",W420-F420,"")</f>
        <v/>
      </c>
    </row>
    <row r="421" spans="1:25" ht="12" customHeight="1" x14ac:dyDescent="0.25">
      <c r="F421" s="33"/>
      <c r="G421" s="33"/>
    </row>
    <row r="422" spans="1:25" ht="12" customHeight="1" x14ac:dyDescent="0.25">
      <c r="A422" s="4" t="s">
        <v>1593</v>
      </c>
      <c r="F422" s="33"/>
      <c r="G422" s="33"/>
    </row>
    <row r="423" spans="1:25" ht="12" customHeight="1" x14ac:dyDescent="0.25">
      <c r="A423" s="39" t="s">
        <v>145</v>
      </c>
      <c r="C423" s="29" t="s">
        <v>360</v>
      </c>
      <c r="D423" s="29" t="s">
        <v>1663</v>
      </c>
      <c r="E423" s="29" t="s">
        <v>2129</v>
      </c>
      <c r="F423" s="32">
        <f>VLOOKUP(C423,'WSS-26'!$C$1:$AU$617,17,)</f>
        <v>0</v>
      </c>
      <c r="G423" s="32">
        <f t="shared" ref="G423:V423" si="437">IF(VLOOKUP($E423,$D$5:$V$970,3,)=0,0,(VLOOKUP($E423,$D$5:$V$970,G$1,)/VLOOKUP($E423,$D$5:$V$970,3,))*$F423)</f>
        <v>0</v>
      </c>
      <c r="H423" s="32">
        <f t="shared" si="437"/>
        <v>0</v>
      </c>
      <c r="I423" s="32">
        <f t="shared" si="437"/>
        <v>0</v>
      </c>
      <c r="J423" s="32">
        <f t="shared" si="437"/>
        <v>0</v>
      </c>
      <c r="K423" s="32">
        <f t="shared" si="437"/>
        <v>0</v>
      </c>
      <c r="L423" s="32">
        <f t="shared" si="437"/>
        <v>0</v>
      </c>
      <c r="M423" s="32">
        <f t="shared" si="437"/>
        <v>0</v>
      </c>
      <c r="N423" s="32">
        <f t="shared" si="437"/>
        <v>0</v>
      </c>
      <c r="O423" s="32">
        <f t="shared" si="437"/>
        <v>0</v>
      </c>
      <c r="P423" s="32">
        <f t="shared" si="437"/>
        <v>0</v>
      </c>
      <c r="Q423" s="32">
        <f t="shared" si="437"/>
        <v>0</v>
      </c>
      <c r="R423" s="32">
        <f t="shared" si="437"/>
        <v>0</v>
      </c>
      <c r="S423" s="32">
        <f t="shared" si="437"/>
        <v>0</v>
      </c>
      <c r="T423" s="32">
        <f t="shared" si="437"/>
        <v>0</v>
      </c>
      <c r="U423" s="32">
        <f t="shared" si="437"/>
        <v>0</v>
      </c>
      <c r="V423" s="32">
        <f t="shared" si="437"/>
        <v>0</v>
      </c>
      <c r="W423" s="34">
        <f t="shared" ref="W423" si="438">SUM(G423:V423)</f>
        <v>0</v>
      </c>
      <c r="X423" s="30" t="str">
        <f t="shared" ref="X423" si="439">IF(ABS(F423-W423)&lt;0.01,"ok","err")</f>
        <v>ok</v>
      </c>
      <c r="Y423" s="66" t="str">
        <f t="shared" ref="Y423" si="440">IF(X423="err",W423-F423,"")</f>
        <v/>
      </c>
    </row>
    <row r="424" spans="1:25" ht="12" customHeight="1" x14ac:dyDescent="0.25">
      <c r="F424" s="33"/>
    </row>
    <row r="425" spans="1:25" ht="12" customHeight="1" x14ac:dyDescent="0.25">
      <c r="A425" s="4" t="s">
        <v>1594</v>
      </c>
      <c r="F425" s="33"/>
      <c r="G425" s="33"/>
    </row>
    <row r="426" spans="1:25" ht="12" customHeight="1" x14ac:dyDescent="0.25">
      <c r="A426" s="39" t="s">
        <v>147</v>
      </c>
      <c r="C426" s="29" t="s">
        <v>360</v>
      </c>
      <c r="D426" s="29" t="s">
        <v>1664</v>
      </c>
      <c r="E426" s="29" t="s">
        <v>2129</v>
      </c>
      <c r="F426" s="32">
        <f>VLOOKUP(C426,'WSS-26'!$C$1:$AU$617,18,)</f>
        <v>1138808.2973792758</v>
      </c>
      <c r="G426" s="32">
        <f t="shared" ref="G426:V426" si="441">IF(VLOOKUP($E426,$D$5:$V$970,3,)=0,0,(VLOOKUP($E426,$D$5:$V$970,G$1,)/VLOOKUP($E426,$D$5:$V$970,3,))*$F426)</f>
        <v>534050.03035988461</v>
      </c>
      <c r="H426" s="32">
        <f t="shared" si="441"/>
        <v>157542.12301956353</v>
      </c>
      <c r="I426" s="32">
        <f t="shared" si="441"/>
        <v>13934.442461952438</v>
      </c>
      <c r="J426" s="32">
        <f t="shared" si="441"/>
        <v>118857.95019862687</v>
      </c>
      <c r="K426" s="32">
        <f t="shared" si="441"/>
        <v>7875.1816174670639</v>
      </c>
      <c r="L426" s="32">
        <f t="shared" si="441"/>
        <v>94830.76248962809</v>
      </c>
      <c r="M426" s="32">
        <f t="shared" si="441"/>
        <v>202559.79286199645</v>
      </c>
      <c r="N426" s="32">
        <f t="shared" si="441"/>
        <v>0</v>
      </c>
      <c r="O426" s="32">
        <f t="shared" si="441"/>
        <v>0</v>
      </c>
      <c r="P426" s="32">
        <f t="shared" si="441"/>
        <v>8847.0644681703889</v>
      </c>
      <c r="Q426" s="32">
        <f t="shared" si="441"/>
        <v>104.3903691227583</v>
      </c>
      <c r="R426" s="32">
        <f t="shared" si="441"/>
        <v>57.440429650491858</v>
      </c>
      <c r="S426" s="32">
        <f t="shared" si="441"/>
        <v>149.11910321283474</v>
      </c>
      <c r="T426" s="32">
        <f t="shared" si="441"/>
        <v>0</v>
      </c>
      <c r="U426" s="32">
        <f t="shared" si="441"/>
        <v>0</v>
      </c>
      <c r="V426" s="32">
        <f t="shared" si="441"/>
        <v>0</v>
      </c>
      <c r="W426" s="34">
        <f t="shared" ref="W426" si="442">SUM(G426:V426)</f>
        <v>1138808.2973792753</v>
      </c>
      <c r="X426" s="30" t="str">
        <f t="shared" ref="X426" si="443">IF(ABS(F426-W426)&lt;0.01,"ok","err")</f>
        <v>ok</v>
      </c>
      <c r="Y426" s="66" t="str">
        <f t="shared" ref="Y426" si="444">IF(X426="err",W426-F426,"")</f>
        <v/>
      </c>
    </row>
    <row r="427" spans="1:25" ht="12" customHeight="1" x14ac:dyDescent="0.25">
      <c r="F427" s="33"/>
    </row>
    <row r="428" spans="1:25" ht="12" customHeight="1" x14ac:dyDescent="0.25">
      <c r="A428" s="4" t="s">
        <v>146</v>
      </c>
      <c r="F428" s="33"/>
    </row>
    <row r="429" spans="1:25" ht="12" customHeight="1" x14ac:dyDescent="0.25">
      <c r="A429" s="39" t="s">
        <v>767</v>
      </c>
      <c r="C429" s="29" t="s">
        <v>360</v>
      </c>
      <c r="D429" s="29" t="s">
        <v>1665</v>
      </c>
      <c r="E429" s="29" t="s">
        <v>2129</v>
      </c>
      <c r="F429" s="32">
        <f>VLOOKUP(C429,'WSS-26'!$C$1:$AU$617,19,)</f>
        <v>0</v>
      </c>
      <c r="G429" s="32">
        <f t="shared" ref="G429:V433" si="445">IF(VLOOKUP($E429,$D$5:$V$970,3,)=0,0,(VLOOKUP($E429,$D$5:$V$970,G$1,)/VLOOKUP($E429,$D$5:$V$970,3,))*$F429)</f>
        <v>0</v>
      </c>
      <c r="H429" s="32">
        <f t="shared" si="445"/>
        <v>0</v>
      </c>
      <c r="I429" s="32">
        <f t="shared" si="445"/>
        <v>0</v>
      </c>
      <c r="J429" s="32">
        <f t="shared" si="445"/>
        <v>0</v>
      </c>
      <c r="K429" s="32">
        <f t="shared" si="445"/>
        <v>0</v>
      </c>
      <c r="L429" s="32">
        <f t="shared" si="445"/>
        <v>0</v>
      </c>
      <c r="M429" s="32">
        <f t="shared" si="445"/>
        <v>0</v>
      </c>
      <c r="N429" s="32">
        <f t="shared" si="445"/>
        <v>0</v>
      </c>
      <c r="O429" s="32">
        <f t="shared" si="445"/>
        <v>0</v>
      </c>
      <c r="P429" s="32">
        <f t="shared" si="445"/>
        <v>0</v>
      </c>
      <c r="Q429" s="32">
        <f t="shared" si="445"/>
        <v>0</v>
      </c>
      <c r="R429" s="32">
        <f t="shared" si="445"/>
        <v>0</v>
      </c>
      <c r="S429" s="32">
        <f t="shared" si="445"/>
        <v>0</v>
      </c>
      <c r="T429" s="32">
        <f t="shared" si="445"/>
        <v>0</v>
      </c>
      <c r="U429" s="32">
        <f t="shared" si="445"/>
        <v>0</v>
      </c>
      <c r="V429" s="32">
        <f t="shared" si="445"/>
        <v>0</v>
      </c>
      <c r="W429" s="34">
        <f t="shared" ref="W429:W433" si="446">SUM(G429:V429)</f>
        <v>0</v>
      </c>
      <c r="X429" s="30" t="str">
        <f t="shared" ref="X429:X433" si="447">IF(ABS(F429-W429)&lt;0.01,"ok","err")</f>
        <v>ok</v>
      </c>
      <c r="Y429" s="66" t="str">
        <f t="shared" ref="Y429:Y433" si="448">IF(X429="err",W429-F429,"")</f>
        <v/>
      </c>
    </row>
    <row r="430" spans="1:25" ht="12" customHeight="1" x14ac:dyDescent="0.25">
      <c r="A430" s="39" t="s">
        <v>768</v>
      </c>
      <c r="C430" s="29" t="s">
        <v>360</v>
      </c>
      <c r="D430" s="29" t="s">
        <v>1666</v>
      </c>
      <c r="E430" s="29" t="s">
        <v>2129</v>
      </c>
      <c r="F430" s="33">
        <f>VLOOKUP(C430,'WSS-26'!$C$1:$AU$617,20,)</f>
        <v>931697.25376681215</v>
      </c>
      <c r="G430" s="32">
        <f t="shared" si="445"/>
        <v>436924.23720958573</v>
      </c>
      <c r="H430" s="32">
        <f t="shared" si="445"/>
        <v>128890.49342870706</v>
      </c>
      <c r="I430" s="32">
        <f t="shared" si="445"/>
        <v>11400.234617581917</v>
      </c>
      <c r="J430" s="32">
        <f t="shared" si="445"/>
        <v>97241.674514715778</v>
      </c>
      <c r="K430" s="32">
        <f t="shared" si="445"/>
        <v>6442.9501460378715</v>
      </c>
      <c r="L430" s="32">
        <f t="shared" si="445"/>
        <v>77584.226588027304</v>
      </c>
      <c r="M430" s="32">
        <f t="shared" si="445"/>
        <v>165720.95862614043</v>
      </c>
      <c r="N430" s="32">
        <f t="shared" si="445"/>
        <v>0</v>
      </c>
      <c r="O430" s="32">
        <f t="shared" si="445"/>
        <v>0</v>
      </c>
      <c r="P430" s="32">
        <f t="shared" si="445"/>
        <v>7238.0800946579902</v>
      </c>
      <c r="Q430" s="32">
        <f t="shared" si="445"/>
        <v>85.405261320277845</v>
      </c>
      <c r="R430" s="32">
        <f t="shared" si="445"/>
        <v>46.993941547235998</v>
      </c>
      <c r="S430" s="32">
        <f t="shared" si="445"/>
        <v>121.99933849032763</v>
      </c>
      <c r="T430" s="32">
        <f t="shared" si="445"/>
        <v>0</v>
      </c>
      <c r="U430" s="32">
        <f t="shared" si="445"/>
        <v>0</v>
      </c>
      <c r="V430" s="32">
        <f t="shared" si="445"/>
        <v>0</v>
      </c>
      <c r="W430" s="34">
        <f t="shared" si="446"/>
        <v>931697.25376681203</v>
      </c>
      <c r="X430" s="30" t="str">
        <f t="shared" si="447"/>
        <v>ok</v>
      </c>
      <c r="Y430" s="66" t="str">
        <f t="shared" si="448"/>
        <v/>
      </c>
    </row>
    <row r="431" spans="1:25" ht="12" customHeight="1" x14ac:dyDescent="0.25">
      <c r="A431" s="39" t="s">
        <v>769</v>
      </c>
      <c r="C431" s="29" t="s">
        <v>360</v>
      </c>
      <c r="D431" s="29" t="s">
        <v>1667</v>
      </c>
      <c r="E431" s="29" t="s">
        <v>872</v>
      </c>
      <c r="F431" s="33">
        <f>VLOOKUP(C431,'WSS-26'!$C$1:$AU$617,21,)</f>
        <v>1753231.4641029958</v>
      </c>
      <c r="G431" s="32">
        <f t="shared" si="445"/>
        <v>1400353.8359551495</v>
      </c>
      <c r="H431" s="32">
        <f t="shared" si="445"/>
        <v>270940.06858991587</v>
      </c>
      <c r="I431" s="32">
        <f t="shared" si="445"/>
        <v>1790.4588907160562</v>
      </c>
      <c r="J431" s="32">
        <f t="shared" si="445"/>
        <v>14342.923371865179</v>
      </c>
      <c r="K431" s="32">
        <f t="shared" si="445"/>
        <v>660.99378402779132</v>
      </c>
      <c r="L431" s="32">
        <f t="shared" si="445"/>
        <v>2374.4436901969202</v>
      </c>
      <c r="M431" s="32">
        <f t="shared" si="445"/>
        <v>831.05529156892214</v>
      </c>
      <c r="N431" s="32">
        <f t="shared" si="445"/>
        <v>0</v>
      </c>
      <c r="O431" s="32">
        <f t="shared" si="445"/>
        <v>0</v>
      </c>
      <c r="P431" s="32">
        <f t="shared" si="445"/>
        <v>61636.06600674682</v>
      </c>
      <c r="Q431" s="32">
        <f t="shared" si="445"/>
        <v>9.6261230683658923</v>
      </c>
      <c r="R431" s="32">
        <f t="shared" si="445"/>
        <v>272.74015360370032</v>
      </c>
      <c r="S431" s="32">
        <f t="shared" si="445"/>
        <v>19.252246136731785</v>
      </c>
      <c r="T431" s="32">
        <f t="shared" si="445"/>
        <v>0</v>
      </c>
      <c r="U431" s="32">
        <f t="shared" si="445"/>
        <v>0</v>
      </c>
      <c r="V431" s="32">
        <f t="shared" si="445"/>
        <v>0</v>
      </c>
      <c r="W431" s="34">
        <f t="shared" si="446"/>
        <v>1753231.464102996</v>
      </c>
      <c r="X431" s="30" t="str">
        <f t="shared" si="447"/>
        <v>ok</v>
      </c>
      <c r="Y431" s="66" t="str">
        <f t="shared" si="448"/>
        <v/>
      </c>
    </row>
    <row r="432" spans="1:25" ht="12" customHeight="1" x14ac:dyDescent="0.25">
      <c r="A432" s="39" t="s">
        <v>770</v>
      </c>
      <c r="C432" s="29" t="s">
        <v>360</v>
      </c>
      <c r="D432" s="29" t="s">
        <v>1668</v>
      </c>
      <c r="E432" s="29" t="s">
        <v>709</v>
      </c>
      <c r="F432" s="33">
        <f>VLOOKUP(C432,'WSS-26'!$C$1:$AU$617,22,)</f>
        <v>507510.65603716654</v>
      </c>
      <c r="G432" s="32">
        <f t="shared" si="445"/>
        <v>394593.61618318019</v>
      </c>
      <c r="H432" s="32">
        <f t="shared" si="445"/>
        <v>103399.525171249</v>
      </c>
      <c r="I432" s="32">
        <f t="shared" si="445"/>
        <v>6177.9150704447748</v>
      </c>
      <c r="J432" s="32">
        <f t="shared" si="445"/>
        <v>0</v>
      </c>
      <c r="K432" s="32">
        <f t="shared" si="445"/>
        <v>0</v>
      </c>
      <c r="L432" s="32">
        <f t="shared" si="445"/>
        <v>0</v>
      </c>
      <c r="M432" s="32">
        <f t="shared" si="445"/>
        <v>0</v>
      </c>
      <c r="N432" s="32">
        <f t="shared" si="445"/>
        <v>0</v>
      </c>
      <c r="O432" s="32">
        <f t="shared" si="445"/>
        <v>0</v>
      </c>
      <c r="P432" s="32">
        <f t="shared" si="445"/>
        <v>3279.6088968023232</v>
      </c>
      <c r="Q432" s="32">
        <f t="shared" si="445"/>
        <v>38.697534594350955</v>
      </c>
      <c r="R432" s="32">
        <f t="shared" si="445"/>
        <v>21.293180895838926</v>
      </c>
      <c r="S432" s="32">
        <f t="shared" si="445"/>
        <v>0</v>
      </c>
      <c r="T432" s="32">
        <f t="shared" si="445"/>
        <v>0</v>
      </c>
      <c r="U432" s="32">
        <f t="shared" si="445"/>
        <v>0</v>
      </c>
      <c r="V432" s="32">
        <f t="shared" si="445"/>
        <v>0</v>
      </c>
      <c r="W432" s="34">
        <f t="shared" si="446"/>
        <v>507510.65603716642</v>
      </c>
      <c r="X432" s="30" t="str">
        <f t="shared" si="447"/>
        <v>ok</v>
      </c>
      <c r="Y432" s="66" t="str">
        <f t="shared" si="448"/>
        <v/>
      </c>
    </row>
    <row r="433" spans="1:25" ht="12" customHeight="1" x14ac:dyDescent="0.25">
      <c r="A433" s="39" t="s">
        <v>771</v>
      </c>
      <c r="C433" s="29" t="s">
        <v>360</v>
      </c>
      <c r="D433" s="29" t="s">
        <v>1669</v>
      </c>
      <c r="E433" s="29" t="s">
        <v>871</v>
      </c>
      <c r="F433" s="33">
        <f>VLOOKUP(C433,'WSS-26'!$C$1:$AU$617,23,)</f>
        <v>940152.24414490757</v>
      </c>
      <c r="G433" s="32">
        <f t="shared" si="445"/>
        <v>751564.86756882805</v>
      </c>
      <c r="H433" s="32">
        <f t="shared" si="445"/>
        <v>145412.56041190375</v>
      </c>
      <c r="I433" s="32">
        <f t="shared" si="445"/>
        <v>960.93284749751047</v>
      </c>
      <c r="J433" s="32">
        <f t="shared" si="445"/>
        <v>7697.7953912434978</v>
      </c>
      <c r="K433" s="32">
        <f t="shared" si="445"/>
        <v>0</v>
      </c>
      <c r="L433" s="32">
        <f t="shared" si="445"/>
        <v>1274.3553891544045</v>
      </c>
      <c r="M433" s="32">
        <f t="shared" si="445"/>
        <v>0</v>
      </c>
      <c r="N433" s="32">
        <f t="shared" si="445"/>
        <v>0</v>
      </c>
      <c r="O433" s="32">
        <f t="shared" si="445"/>
        <v>0</v>
      </c>
      <c r="P433" s="32">
        <f t="shared" si="445"/>
        <v>33079.854959820215</v>
      </c>
      <c r="Q433" s="32">
        <f t="shared" si="445"/>
        <v>5.1663056317070462</v>
      </c>
      <c r="R433" s="32">
        <f t="shared" si="445"/>
        <v>146.37865956503296</v>
      </c>
      <c r="S433" s="32">
        <f t="shared" si="445"/>
        <v>10.332611263414092</v>
      </c>
      <c r="T433" s="32">
        <f t="shared" si="445"/>
        <v>0</v>
      </c>
      <c r="U433" s="32">
        <f t="shared" si="445"/>
        <v>0</v>
      </c>
      <c r="V433" s="32">
        <f t="shared" si="445"/>
        <v>0</v>
      </c>
      <c r="W433" s="34">
        <f t="shared" si="446"/>
        <v>940152.24414490757</v>
      </c>
      <c r="X433" s="30" t="str">
        <f t="shared" si="447"/>
        <v>ok</v>
      </c>
      <c r="Y433" s="66" t="str">
        <f t="shared" si="448"/>
        <v/>
      </c>
    </row>
    <row r="434" spans="1:25" ht="12" customHeight="1" x14ac:dyDescent="0.25">
      <c r="A434" s="29" t="s">
        <v>151</v>
      </c>
      <c r="D434" s="29" t="s">
        <v>1670</v>
      </c>
      <c r="F434" s="32">
        <f>SUM(F429:F433)</f>
        <v>4132591.6180518824</v>
      </c>
      <c r="G434" s="32">
        <f t="shared" ref="G434:T434" si="449">SUM(G429:G433)</f>
        <v>2983436.5569167435</v>
      </c>
      <c r="H434" s="32">
        <f t="shared" si="449"/>
        <v>648642.64760177571</v>
      </c>
      <c r="I434" s="32">
        <f>SUM(I429:I433)</f>
        <v>20329.541426240259</v>
      </c>
      <c r="J434" s="32">
        <f>SUM(J429:J433)</f>
        <v>119282.39327782446</v>
      </c>
      <c r="K434" s="32">
        <f>SUM(K429:K433)</f>
        <v>7103.9439300656632</v>
      </c>
      <c r="L434" s="32">
        <f t="shared" si="449"/>
        <v>81233.025667378621</v>
      </c>
      <c r="M434" s="32">
        <f t="shared" si="449"/>
        <v>166552.01391770935</v>
      </c>
      <c r="N434" s="32">
        <f t="shared" si="449"/>
        <v>0</v>
      </c>
      <c r="O434" s="32">
        <f t="shared" si="449"/>
        <v>0</v>
      </c>
      <c r="P434" s="32">
        <f>SUM(P429:P433)</f>
        <v>105233.60995802734</v>
      </c>
      <c r="Q434" s="32">
        <f t="shared" si="449"/>
        <v>138.89522461470173</v>
      </c>
      <c r="R434" s="32">
        <f t="shared" si="449"/>
        <v>487.40593561180822</v>
      </c>
      <c r="S434" s="32">
        <f t="shared" si="449"/>
        <v>151.5841958904735</v>
      </c>
      <c r="T434" s="32">
        <f t="shared" si="449"/>
        <v>0</v>
      </c>
      <c r="U434" s="32">
        <f t="shared" ref="U434:V434" si="450">SUM(U429:U433)</f>
        <v>0</v>
      </c>
      <c r="V434" s="32">
        <f t="shared" si="450"/>
        <v>0</v>
      </c>
      <c r="W434" s="34">
        <f t="shared" ref="W434" si="451">SUM(G434:V434)</f>
        <v>4132591.6180518819</v>
      </c>
      <c r="X434" s="30" t="str">
        <f t="shared" ref="X434" si="452">IF(ABS(F434-W434)&lt;0.01,"ok","err")</f>
        <v>ok</v>
      </c>
      <c r="Y434" s="34" t="str">
        <f t="shared" ref="Y434" si="453">IF(X434="err",W434-F434,"")</f>
        <v/>
      </c>
    </row>
    <row r="435" spans="1:25" ht="12" customHeight="1" x14ac:dyDescent="0.25">
      <c r="F435" s="33"/>
    </row>
    <row r="436" spans="1:25" ht="12" customHeight="1" x14ac:dyDescent="0.25">
      <c r="A436" s="4" t="s">
        <v>766</v>
      </c>
      <c r="F436" s="33"/>
    </row>
    <row r="437" spans="1:25" ht="12" customHeight="1" x14ac:dyDescent="0.25">
      <c r="A437" s="39" t="s">
        <v>375</v>
      </c>
      <c r="C437" s="29" t="s">
        <v>360</v>
      </c>
      <c r="D437" s="29" t="s">
        <v>1671</v>
      </c>
      <c r="E437" s="29" t="s">
        <v>2058</v>
      </c>
      <c r="F437" s="32">
        <f>VLOOKUP(C437,'WSS-26'!$C$1:$AU$617,24,)</f>
        <v>687483.5190556054</v>
      </c>
      <c r="G437" s="32">
        <f t="shared" ref="G437:V438" si="454">IF(VLOOKUP($E437,$D$5:$V$970,3,)=0,0,(VLOOKUP($E437,$D$5:$V$970,G$1,)/VLOOKUP($E437,$D$5:$V$970,3,))*$F437)</f>
        <v>438281.03886914102</v>
      </c>
      <c r="H437" s="32">
        <f t="shared" si="454"/>
        <v>114847.40110340036</v>
      </c>
      <c r="I437" s="32">
        <f t="shared" si="454"/>
        <v>6861.9027882673436</v>
      </c>
      <c r="J437" s="32">
        <f t="shared" si="454"/>
        <v>72968.05179144557</v>
      </c>
      <c r="K437" s="32">
        <f t="shared" si="454"/>
        <v>0</v>
      </c>
      <c r="L437" s="32">
        <f t="shared" si="454"/>
        <v>50721.487662975305</v>
      </c>
      <c r="M437" s="32">
        <f t="shared" si="454"/>
        <v>0</v>
      </c>
      <c r="N437" s="32">
        <f t="shared" si="454"/>
        <v>0</v>
      </c>
      <c r="O437" s="32">
        <f t="shared" si="454"/>
        <v>0</v>
      </c>
      <c r="P437" s="32">
        <f t="shared" si="454"/>
        <v>3642.7107166065439</v>
      </c>
      <c r="Q437" s="32">
        <f t="shared" si="454"/>
        <v>42.981931202387273</v>
      </c>
      <c r="R437" s="32">
        <f t="shared" si="454"/>
        <v>23.650654904473924</v>
      </c>
      <c r="S437" s="32">
        <f t="shared" si="454"/>
        <v>94.293537662325548</v>
      </c>
      <c r="T437" s="32">
        <f t="shared" si="454"/>
        <v>0</v>
      </c>
      <c r="U437" s="32">
        <f t="shared" si="454"/>
        <v>0</v>
      </c>
      <c r="V437" s="32">
        <f t="shared" si="454"/>
        <v>0</v>
      </c>
      <c r="W437" s="34">
        <f t="shared" ref="W437:W438" si="455">SUM(G437:V437)</f>
        <v>687483.5190556054</v>
      </c>
      <c r="X437" s="30" t="str">
        <f t="shared" ref="X437:X438" si="456">IF(ABS(F437-W437)&lt;0.01,"ok","err")</f>
        <v>ok</v>
      </c>
      <c r="Y437" s="66" t="str">
        <f t="shared" ref="Y437:Y438" si="457">IF(X437="err",W437-F437,"")</f>
        <v/>
      </c>
    </row>
    <row r="438" spans="1:25" ht="12" customHeight="1" x14ac:dyDescent="0.25">
      <c r="A438" s="39" t="s">
        <v>378</v>
      </c>
      <c r="C438" s="29" t="s">
        <v>360</v>
      </c>
      <c r="D438" s="29" t="s">
        <v>1672</v>
      </c>
      <c r="E438" s="29" t="s">
        <v>2057</v>
      </c>
      <c r="F438" s="33">
        <f>VLOOKUP(C438,'WSS-26'!$C$1:$AU$617,25,)</f>
        <v>596221.41664797196</v>
      </c>
      <c r="G438" s="32">
        <f t="shared" si="454"/>
        <v>476623.94344682933</v>
      </c>
      <c r="H438" s="32">
        <f t="shared" si="454"/>
        <v>92217.067296423018</v>
      </c>
      <c r="I438" s="32">
        <f t="shared" si="454"/>
        <v>609.39996389587793</v>
      </c>
      <c r="J438" s="32">
        <f t="shared" si="454"/>
        <v>4881.75239895085</v>
      </c>
      <c r="K438" s="32">
        <f t="shared" si="454"/>
        <v>0</v>
      </c>
      <c r="L438" s="32">
        <f t="shared" si="454"/>
        <v>808.16482667195282</v>
      </c>
      <c r="M438" s="32">
        <f t="shared" si="454"/>
        <v>0</v>
      </c>
      <c r="N438" s="32">
        <f t="shared" si="454"/>
        <v>0</v>
      </c>
      <c r="O438" s="32">
        <f t="shared" si="454"/>
        <v>0</v>
      </c>
      <c r="P438" s="32">
        <f t="shared" si="454"/>
        <v>20978.429939921007</v>
      </c>
      <c r="Q438" s="32">
        <f t="shared" si="454"/>
        <v>3.2763438919133225</v>
      </c>
      <c r="R438" s="32">
        <f t="shared" si="454"/>
        <v>92.829743604210805</v>
      </c>
      <c r="S438" s="32">
        <f t="shared" si="454"/>
        <v>6.5526877838266451</v>
      </c>
      <c r="T438" s="32">
        <f t="shared" si="454"/>
        <v>0</v>
      </c>
      <c r="U438" s="32">
        <f t="shared" si="454"/>
        <v>0</v>
      </c>
      <c r="V438" s="32">
        <f t="shared" si="454"/>
        <v>0</v>
      </c>
      <c r="W438" s="34">
        <f t="shared" si="455"/>
        <v>596221.41664797196</v>
      </c>
      <c r="X438" s="30" t="str">
        <f t="shared" si="456"/>
        <v>ok</v>
      </c>
      <c r="Y438" s="66" t="str">
        <f t="shared" si="457"/>
        <v/>
      </c>
    </row>
    <row r="439" spans="1:25" ht="12" customHeight="1" x14ac:dyDescent="0.25">
      <c r="A439" s="29" t="s">
        <v>1434</v>
      </c>
      <c r="D439" s="29" t="s">
        <v>1673</v>
      </c>
      <c r="F439" s="32">
        <f t="shared" ref="F439:T439" si="458">F437+F438</f>
        <v>1283704.9357035775</v>
      </c>
      <c r="G439" s="32">
        <f t="shared" si="458"/>
        <v>914904.98231597035</v>
      </c>
      <c r="H439" s="32">
        <f t="shared" si="458"/>
        <v>207064.46839982338</v>
      </c>
      <c r="I439" s="32">
        <f>I437+I438</f>
        <v>7471.3027521632212</v>
      </c>
      <c r="J439" s="32">
        <f>J437+J438</f>
        <v>77849.804190396419</v>
      </c>
      <c r="K439" s="32">
        <f>K437+K438</f>
        <v>0</v>
      </c>
      <c r="L439" s="32">
        <f t="shared" si="458"/>
        <v>51529.652489647255</v>
      </c>
      <c r="M439" s="32">
        <f t="shared" si="458"/>
        <v>0</v>
      </c>
      <c r="N439" s="32">
        <f t="shared" si="458"/>
        <v>0</v>
      </c>
      <c r="O439" s="32">
        <f t="shared" si="458"/>
        <v>0</v>
      </c>
      <c r="P439" s="32">
        <f>P437+P438</f>
        <v>24621.14065652755</v>
      </c>
      <c r="Q439" s="32">
        <f t="shared" si="458"/>
        <v>46.258275094300593</v>
      </c>
      <c r="R439" s="32">
        <f t="shared" si="458"/>
        <v>116.48039850868473</v>
      </c>
      <c r="S439" s="32">
        <f t="shared" si="458"/>
        <v>100.84622544615219</v>
      </c>
      <c r="T439" s="32">
        <f t="shared" si="458"/>
        <v>0</v>
      </c>
      <c r="U439" s="32">
        <f t="shared" ref="U439:V439" si="459">U437+U438</f>
        <v>0</v>
      </c>
      <c r="V439" s="32">
        <f t="shared" si="459"/>
        <v>0</v>
      </c>
      <c r="W439" s="34">
        <f>SUM(G439:V439)</f>
        <v>1283704.9357035772</v>
      </c>
      <c r="X439" s="30" t="str">
        <f>IF(ABS(F439-W439)&lt;0.01,"ok","err")</f>
        <v>ok</v>
      </c>
      <c r="Y439" s="34" t="str">
        <f>IF(X439="err",W439-F439,"")</f>
        <v/>
      </c>
    </row>
    <row r="440" spans="1:25" ht="12" customHeight="1" x14ac:dyDescent="0.25">
      <c r="F440" s="33"/>
    </row>
    <row r="441" spans="1:25" ht="12" customHeight="1" x14ac:dyDescent="0.25">
      <c r="A441" s="4" t="s">
        <v>128</v>
      </c>
      <c r="F441" s="33"/>
    </row>
    <row r="442" spans="1:25" ht="12" customHeight="1" x14ac:dyDescent="0.25">
      <c r="A442" s="39" t="s">
        <v>378</v>
      </c>
      <c r="C442" s="29" t="s">
        <v>360</v>
      </c>
      <c r="D442" s="29" t="s">
        <v>1674</v>
      </c>
      <c r="E442" s="29" t="s">
        <v>379</v>
      </c>
      <c r="F442" s="32">
        <f>VLOOKUP(C442,'WSS-26'!$C$1:$AU$617,26,)</f>
        <v>441500.7421777441</v>
      </c>
      <c r="G442" s="32">
        <f t="shared" ref="G442:V442" si="460">IF(VLOOKUP($E442,$D$5:$V$970,3,)=0,0,(VLOOKUP($E442,$D$5:$V$970,G$1,)/VLOOKUP($E442,$D$5:$V$970,3,))*$F442)</f>
        <v>309797.85972119868</v>
      </c>
      <c r="H442" s="32">
        <f t="shared" si="460"/>
        <v>121495.08781004882</v>
      </c>
      <c r="I442" s="32">
        <f t="shared" si="460"/>
        <v>1042.5396048836997</v>
      </c>
      <c r="J442" s="32">
        <f t="shared" si="460"/>
        <v>7771.9313449244273</v>
      </c>
      <c r="K442" s="32">
        <f t="shared" si="460"/>
        <v>0</v>
      </c>
      <c r="L442" s="32">
        <f t="shared" si="460"/>
        <v>1382.8907960837846</v>
      </c>
      <c r="M442" s="32">
        <f t="shared" si="460"/>
        <v>0</v>
      </c>
      <c r="N442" s="32">
        <f t="shared" si="460"/>
        <v>0</v>
      </c>
      <c r="O442" s="32">
        <f t="shared" si="460"/>
        <v>0</v>
      </c>
      <c r="P442" s="32">
        <f t="shared" si="460"/>
        <v>0</v>
      </c>
      <c r="Q442" s="32">
        <f t="shared" si="460"/>
        <v>0</v>
      </c>
      <c r="R442" s="32">
        <f t="shared" si="460"/>
        <v>0</v>
      </c>
      <c r="S442" s="32">
        <f t="shared" si="460"/>
        <v>10.43290060471621</v>
      </c>
      <c r="T442" s="32">
        <f t="shared" si="460"/>
        <v>0</v>
      </c>
      <c r="U442" s="32">
        <f t="shared" si="460"/>
        <v>0</v>
      </c>
      <c r="V442" s="32">
        <f t="shared" si="460"/>
        <v>0</v>
      </c>
      <c r="W442" s="34">
        <f t="shared" ref="W442" si="461">SUM(G442:V442)</f>
        <v>441500.74217774416</v>
      </c>
      <c r="X442" s="30" t="str">
        <f t="shared" ref="X442" si="462">IF(ABS(F442-W442)&lt;0.01,"ok","err")</f>
        <v>ok</v>
      </c>
      <c r="Y442" s="66" t="str">
        <f t="shared" ref="Y442" si="463">IF(X442="err",W442-F442,"")</f>
        <v/>
      </c>
    </row>
    <row r="443" spans="1:25" ht="12" customHeight="1" x14ac:dyDescent="0.25">
      <c r="F443" s="33"/>
    </row>
    <row r="444" spans="1:25" ht="12" customHeight="1" x14ac:dyDescent="0.25">
      <c r="A444" s="4" t="s">
        <v>127</v>
      </c>
      <c r="F444" s="33"/>
    </row>
    <row r="445" spans="1:25" ht="12" customHeight="1" x14ac:dyDescent="0.25">
      <c r="A445" s="39" t="s">
        <v>378</v>
      </c>
      <c r="C445" s="29" t="s">
        <v>360</v>
      </c>
      <c r="D445" s="29" t="s">
        <v>1675</v>
      </c>
      <c r="E445" s="29" t="s">
        <v>2319</v>
      </c>
      <c r="F445" s="32">
        <f>VLOOKUP(C445,'WSS-26'!$C$1:$AU$617,27,)</f>
        <v>315466.89867703599</v>
      </c>
      <c r="G445" s="32">
        <f t="shared" ref="G445:V445" si="464">IF(VLOOKUP($E445,$D$5:$V$970,3,)=0,0,(VLOOKUP($E445,$D$5:$V$970,G$1,)/VLOOKUP($E445,$D$5:$V$970,3,))*$F445)</f>
        <v>193037.47880866023</v>
      </c>
      <c r="H445" s="32">
        <f t="shared" si="464"/>
        <v>74260.799625145781</v>
      </c>
      <c r="I445" s="32">
        <f t="shared" si="464"/>
        <v>1631.246388114145</v>
      </c>
      <c r="J445" s="32">
        <f t="shared" si="464"/>
        <v>20950.413813069066</v>
      </c>
      <c r="K445" s="32">
        <f t="shared" si="464"/>
        <v>4927.1374211828524</v>
      </c>
      <c r="L445" s="32">
        <f t="shared" si="464"/>
        <v>4070.3677155357332</v>
      </c>
      <c r="M445" s="32">
        <f t="shared" si="464"/>
        <v>8762.2924609741476</v>
      </c>
      <c r="N445" s="32">
        <f t="shared" si="464"/>
        <v>5195.0826772378159</v>
      </c>
      <c r="O445" s="32">
        <f t="shared" si="464"/>
        <v>262.55174024266279</v>
      </c>
      <c r="P445" s="32">
        <f t="shared" si="464"/>
        <v>0</v>
      </c>
      <c r="Q445" s="32">
        <f t="shared" si="464"/>
        <v>13.711836224065753</v>
      </c>
      <c r="R445" s="32">
        <f t="shared" si="464"/>
        <v>338.37273262613877</v>
      </c>
      <c r="S445" s="32">
        <f t="shared" si="464"/>
        <v>28.123458023360666</v>
      </c>
      <c r="T445" s="32">
        <f t="shared" si="464"/>
        <v>1989.3199999999997</v>
      </c>
      <c r="U445" s="32">
        <f t="shared" si="464"/>
        <v>0</v>
      </c>
      <c r="V445" s="32">
        <f t="shared" si="464"/>
        <v>0</v>
      </c>
      <c r="W445" s="34">
        <f t="shared" ref="W445" si="465">SUM(G445:V445)</f>
        <v>315466.89867703605</v>
      </c>
      <c r="X445" s="30" t="str">
        <f t="shared" ref="X445" si="466">IF(ABS(F445-W445)&lt;0.01,"ok","err")</f>
        <v>ok</v>
      </c>
      <c r="Y445" s="66" t="str">
        <f t="shared" ref="Y445" si="467">IF(X445="err",W445-F445,"")</f>
        <v/>
      </c>
    </row>
    <row r="446" spans="1:25" ht="12" customHeight="1" x14ac:dyDescent="0.25">
      <c r="F446" s="33"/>
    </row>
    <row r="447" spans="1:25" ht="12" customHeight="1" x14ac:dyDescent="0.25">
      <c r="A447" s="4" t="s">
        <v>144</v>
      </c>
      <c r="F447" s="33"/>
    </row>
    <row r="448" spans="1:25" ht="12" customHeight="1" x14ac:dyDescent="0.25">
      <c r="A448" s="39" t="s">
        <v>378</v>
      </c>
      <c r="C448" s="29" t="s">
        <v>360</v>
      </c>
      <c r="D448" s="29" t="s">
        <v>1676</v>
      </c>
      <c r="E448" s="29" t="s">
        <v>381</v>
      </c>
      <c r="F448" s="32">
        <f>VLOOKUP(C448,'WSS-26'!$C$1:$AU$617,28,)</f>
        <v>516940.03702340694</v>
      </c>
      <c r="G448" s="32">
        <f t="shared" ref="G448:V448" si="468">IF(VLOOKUP($E448,$D$5:$V$970,3,)=0,0,(VLOOKUP($E448,$D$5:$V$970,G$1,)/VLOOKUP($E448,$D$5:$V$970,3,))*$F448)</f>
        <v>0</v>
      </c>
      <c r="H448" s="32">
        <f t="shared" si="468"/>
        <v>0</v>
      </c>
      <c r="I448" s="32">
        <f t="shared" si="468"/>
        <v>0</v>
      </c>
      <c r="J448" s="32">
        <f t="shared" si="468"/>
        <v>0</v>
      </c>
      <c r="K448" s="32">
        <f t="shared" si="468"/>
        <v>0</v>
      </c>
      <c r="L448" s="32">
        <f t="shared" si="468"/>
        <v>0</v>
      </c>
      <c r="M448" s="32">
        <f t="shared" si="468"/>
        <v>0</v>
      </c>
      <c r="N448" s="32">
        <f t="shared" si="468"/>
        <v>0</v>
      </c>
      <c r="O448" s="32">
        <f t="shared" si="468"/>
        <v>0</v>
      </c>
      <c r="P448" s="32">
        <f t="shared" si="468"/>
        <v>516940.03702340694</v>
      </c>
      <c r="Q448" s="32">
        <f t="shared" si="468"/>
        <v>0</v>
      </c>
      <c r="R448" s="32">
        <f t="shared" si="468"/>
        <v>0</v>
      </c>
      <c r="S448" s="32">
        <f t="shared" si="468"/>
        <v>0</v>
      </c>
      <c r="T448" s="32">
        <f t="shared" si="468"/>
        <v>0</v>
      </c>
      <c r="U448" s="32">
        <f t="shared" si="468"/>
        <v>0</v>
      </c>
      <c r="V448" s="32">
        <f t="shared" si="468"/>
        <v>0</v>
      </c>
      <c r="W448" s="34">
        <f t="shared" ref="W448" si="469">SUM(G448:V448)</f>
        <v>516940.03702340694</v>
      </c>
      <c r="X448" s="30" t="str">
        <f t="shared" ref="X448" si="470">IF(ABS(F448-W448)&lt;0.01,"ok","err")</f>
        <v>ok</v>
      </c>
      <c r="Y448" s="66" t="str">
        <f t="shared" ref="Y448" si="471">IF(X448="err",W448-F448,"")</f>
        <v/>
      </c>
    </row>
    <row r="449" spans="1:25" ht="12" customHeight="1" x14ac:dyDescent="0.25">
      <c r="F449" s="33"/>
    </row>
    <row r="450" spans="1:25" ht="12" customHeight="1" x14ac:dyDescent="0.25">
      <c r="A450" s="4" t="s">
        <v>279</v>
      </c>
      <c r="F450" s="33"/>
    </row>
    <row r="451" spans="1:25" ht="12" customHeight="1" x14ac:dyDescent="0.25">
      <c r="A451" s="39" t="s">
        <v>378</v>
      </c>
      <c r="C451" s="29" t="s">
        <v>360</v>
      </c>
      <c r="D451" s="29" t="s">
        <v>1677</v>
      </c>
      <c r="E451" s="29" t="s">
        <v>382</v>
      </c>
      <c r="F451" s="32">
        <f>VLOOKUP(C451,'WSS-26'!$C$1:$AU$617,30,)</f>
        <v>0</v>
      </c>
      <c r="G451" s="32">
        <f t="shared" ref="G451:V451" si="472">IF(VLOOKUP($E451,$D$5:$V$970,3,)=0,0,(VLOOKUP($E451,$D$5:$V$970,G$1,)/VLOOKUP($E451,$D$5:$V$970,3,))*$F451)</f>
        <v>0</v>
      </c>
      <c r="H451" s="32">
        <f t="shared" si="472"/>
        <v>0</v>
      </c>
      <c r="I451" s="32">
        <f t="shared" si="472"/>
        <v>0</v>
      </c>
      <c r="J451" s="32">
        <f t="shared" si="472"/>
        <v>0</v>
      </c>
      <c r="K451" s="32">
        <f t="shared" si="472"/>
        <v>0</v>
      </c>
      <c r="L451" s="32">
        <f t="shared" si="472"/>
        <v>0</v>
      </c>
      <c r="M451" s="32">
        <f t="shared" si="472"/>
        <v>0</v>
      </c>
      <c r="N451" s="32">
        <f t="shared" si="472"/>
        <v>0</v>
      </c>
      <c r="O451" s="32">
        <f t="shared" si="472"/>
        <v>0</v>
      </c>
      <c r="P451" s="32">
        <f t="shared" si="472"/>
        <v>0</v>
      </c>
      <c r="Q451" s="32">
        <f t="shared" si="472"/>
        <v>0</v>
      </c>
      <c r="R451" s="32">
        <f t="shared" si="472"/>
        <v>0</v>
      </c>
      <c r="S451" s="32">
        <f t="shared" si="472"/>
        <v>0</v>
      </c>
      <c r="T451" s="32">
        <f t="shared" si="472"/>
        <v>0</v>
      </c>
      <c r="U451" s="32">
        <f t="shared" si="472"/>
        <v>0</v>
      </c>
      <c r="V451" s="32">
        <f t="shared" si="472"/>
        <v>0</v>
      </c>
      <c r="W451" s="34">
        <f t="shared" ref="W451" si="473">SUM(G451:V451)</f>
        <v>0</v>
      </c>
      <c r="X451" s="30" t="str">
        <f t="shared" ref="X451" si="474">IF(ABS(F451-W451)&lt;0.01,"ok","err")</f>
        <v>ok</v>
      </c>
      <c r="Y451" s="66" t="str">
        <f t="shared" ref="Y451" si="475">IF(X451="err",W451-F451,"")</f>
        <v/>
      </c>
    </row>
    <row r="452" spans="1:25" ht="12" customHeight="1" x14ac:dyDescent="0.25">
      <c r="F452" s="33"/>
    </row>
    <row r="453" spans="1:25" ht="12" customHeight="1" x14ac:dyDescent="0.25">
      <c r="A453" s="4" t="s">
        <v>1596</v>
      </c>
      <c r="F453" s="33"/>
    </row>
    <row r="454" spans="1:25" ht="12" customHeight="1" x14ac:dyDescent="0.25">
      <c r="A454" s="39" t="s">
        <v>378</v>
      </c>
      <c r="C454" s="29" t="s">
        <v>360</v>
      </c>
      <c r="D454" s="29" t="s">
        <v>1678</v>
      </c>
      <c r="E454" s="29" t="s">
        <v>382</v>
      </c>
      <c r="F454" s="32">
        <f>VLOOKUP(C454,'WSS-26'!$C$1:$AU$617,32,)</f>
        <v>0</v>
      </c>
      <c r="G454" s="32">
        <f t="shared" ref="G454:V454" si="476">IF(VLOOKUP($E454,$D$5:$V$970,3,)=0,0,(VLOOKUP($E454,$D$5:$V$970,G$1,)/VLOOKUP($E454,$D$5:$V$970,3,))*$F454)</f>
        <v>0</v>
      </c>
      <c r="H454" s="32">
        <f t="shared" si="476"/>
        <v>0</v>
      </c>
      <c r="I454" s="32">
        <f t="shared" si="476"/>
        <v>0</v>
      </c>
      <c r="J454" s="32">
        <f t="shared" si="476"/>
        <v>0</v>
      </c>
      <c r="K454" s="32">
        <f t="shared" si="476"/>
        <v>0</v>
      </c>
      <c r="L454" s="32">
        <f t="shared" si="476"/>
        <v>0</v>
      </c>
      <c r="M454" s="32">
        <f t="shared" si="476"/>
        <v>0</v>
      </c>
      <c r="N454" s="32">
        <f t="shared" si="476"/>
        <v>0</v>
      </c>
      <c r="O454" s="32">
        <f t="shared" si="476"/>
        <v>0</v>
      </c>
      <c r="P454" s="32">
        <f t="shared" si="476"/>
        <v>0</v>
      </c>
      <c r="Q454" s="32">
        <f t="shared" si="476"/>
        <v>0</v>
      </c>
      <c r="R454" s="32">
        <f t="shared" si="476"/>
        <v>0</v>
      </c>
      <c r="S454" s="32">
        <f t="shared" si="476"/>
        <v>0</v>
      </c>
      <c r="T454" s="32">
        <f t="shared" si="476"/>
        <v>0</v>
      </c>
      <c r="U454" s="32">
        <f t="shared" si="476"/>
        <v>0</v>
      </c>
      <c r="V454" s="32">
        <f t="shared" si="476"/>
        <v>0</v>
      </c>
      <c r="W454" s="34">
        <f t="shared" ref="W454" si="477">SUM(G454:V454)</f>
        <v>0</v>
      </c>
      <c r="X454" s="30" t="str">
        <f t="shared" ref="X454" si="478">IF(ABS(F454-W454)&lt;0.01,"ok","err")</f>
        <v>ok</v>
      </c>
      <c r="Y454" s="66" t="str">
        <f t="shared" ref="Y454" si="479">IF(X454="err",W454-F454,"")</f>
        <v/>
      </c>
    </row>
    <row r="455" spans="1:25" ht="12" customHeight="1" x14ac:dyDescent="0.25">
      <c r="F455" s="33"/>
    </row>
    <row r="456" spans="1:25" ht="12" customHeight="1" x14ac:dyDescent="0.25">
      <c r="A456" s="4" t="s">
        <v>1595</v>
      </c>
      <c r="F456" s="33"/>
    </row>
    <row r="457" spans="1:25" ht="12" customHeight="1" x14ac:dyDescent="0.25">
      <c r="A457" s="39" t="s">
        <v>378</v>
      </c>
      <c r="C457" s="29" t="s">
        <v>360</v>
      </c>
      <c r="D457" s="29" t="s">
        <v>1679</v>
      </c>
      <c r="E457" s="29" t="s">
        <v>383</v>
      </c>
      <c r="F457" s="32">
        <f>VLOOKUP(C457,'WSS-26'!$C$1:$AU$617,34,)</f>
        <v>0</v>
      </c>
      <c r="G457" s="32">
        <f t="shared" ref="G457:V457" si="480">IF(VLOOKUP($E457,$D$5:$V$970,3,)=0,0,(VLOOKUP($E457,$D$5:$V$970,G$1,)/VLOOKUP($E457,$D$5:$V$970,3,))*$F457)</f>
        <v>0</v>
      </c>
      <c r="H457" s="32">
        <f t="shared" si="480"/>
        <v>0</v>
      </c>
      <c r="I457" s="32">
        <f t="shared" si="480"/>
        <v>0</v>
      </c>
      <c r="J457" s="32">
        <f t="shared" si="480"/>
        <v>0</v>
      </c>
      <c r="K457" s="32">
        <f t="shared" si="480"/>
        <v>0</v>
      </c>
      <c r="L457" s="32">
        <f t="shared" si="480"/>
        <v>0</v>
      </c>
      <c r="M457" s="32">
        <f t="shared" si="480"/>
        <v>0</v>
      </c>
      <c r="N457" s="32">
        <f t="shared" si="480"/>
        <v>0</v>
      </c>
      <c r="O457" s="32">
        <f t="shared" si="480"/>
        <v>0</v>
      </c>
      <c r="P457" s="32">
        <f t="shared" si="480"/>
        <v>0</v>
      </c>
      <c r="Q457" s="32">
        <f t="shared" si="480"/>
        <v>0</v>
      </c>
      <c r="R457" s="32">
        <f t="shared" si="480"/>
        <v>0</v>
      </c>
      <c r="S457" s="32">
        <f t="shared" si="480"/>
        <v>0</v>
      </c>
      <c r="T457" s="32">
        <f t="shared" si="480"/>
        <v>0</v>
      </c>
      <c r="U457" s="32">
        <f t="shared" si="480"/>
        <v>0</v>
      </c>
      <c r="V457" s="32">
        <f t="shared" si="480"/>
        <v>0</v>
      </c>
      <c r="W457" s="34">
        <f t="shared" ref="W457" si="481">SUM(G457:V457)</f>
        <v>0</v>
      </c>
      <c r="X457" s="30" t="str">
        <f t="shared" ref="X457" si="482">IF(ABS(F457-W457)&lt;0.01,"ok","err")</f>
        <v>ok</v>
      </c>
      <c r="Y457" s="66" t="str">
        <f t="shared" ref="Y457" si="483">IF(X457="err",W457-F457,"")</f>
        <v/>
      </c>
    </row>
    <row r="458" spans="1:25" ht="12" customHeight="1" x14ac:dyDescent="0.25">
      <c r="F458" s="33"/>
    </row>
    <row r="459" spans="1:25" ht="12" customHeight="1" x14ac:dyDescent="0.25">
      <c r="A459" s="29" t="s">
        <v>62</v>
      </c>
      <c r="D459" s="29" t="s">
        <v>393</v>
      </c>
      <c r="F459" s="32">
        <f>F414+F420+F423+F426+F434+F439+F442+F445+F448+F451+F454+F457</f>
        <v>30253263.473923534</v>
      </c>
      <c r="G459" s="32">
        <f t="shared" ref="G459:T459" si="484">G414+G420+G423+G426+G434+G439+G442+G445+G448+G451+G454+G457</f>
        <v>14280633.472448468</v>
      </c>
      <c r="H459" s="32">
        <f t="shared" si="484"/>
        <v>3456975.0041090166</v>
      </c>
      <c r="I459" s="32">
        <f>I414+I420+I423+I426+I434+I439+I442+I445+I448+I451+I454+I457</f>
        <v>207922.97982782684</v>
      </c>
      <c r="J459" s="32">
        <f>J414+J420+J423+J426+J434+J439+J442+J445+J448+J451+J454+J457</f>
        <v>2638125.2270866898</v>
      </c>
      <c r="K459" s="32">
        <f>K414+K420+K423+K426+K434+K439+K442+K445+K448+K451+K454+K457</f>
        <v>177131.60121589803</v>
      </c>
      <c r="L459" s="32">
        <f t="shared" si="484"/>
        <v>2316096.6817040429</v>
      </c>
      <c r="M459" s="32">
        <f t="shared" si="484"/>
        <v>4507585.581230714</v>
      </c>
      <c r="N459" s="32">
        <f t="shared" si="484"/>
        <v>1352232.2916498</v>
      </c>
      <c r="O459" s="32">
        <f>O414+O420+O423+O426+O434+O439+O442+O445+O448+O451+O454+O457</f>
        <v>611684.26672794821</v>
      </c>
      <c r="P459" s="32">
        <f>P414+P420+P423+P426+P434+P439+P442+P445+P448+P451+P454+P457</f>
        <v>693651.00987090275</v>
      </c>
      <c r="Q459" s="32">
        <f t="shared" si="484"/>
        <v>749.04050831240181</v>
      </c>
      <c r="R459" s="32">
        <f t="shared" si="484"/>
        <v>2142.1488944312068</v>
      </c>
      <c r="S459" s="32">
        <f t="shared" si="484"/>
        <v>1123.6486494847222</v>
      </c>
      <c r="T459" s="32">
        <f t="shared" si="484"/>
        <v>1989.3199999999997</v>
      </c>
      <c r="U459" s="32">
        <f t="shared" ref="U459:V459" si="485">U414+U420+U423+U426+U434+U439+U442+U445+U448+U451+U454+U457</f>
        <v>5221.2</v>
      </c>
      <c r="V459" s="32">
        <f t="shared" si="485"/>
        <v>0</v>
      </c>
      <c r="W459" s="34">
        <f>SUM(G459:V459)</f>
        <v>30253263.473923538</v>
      </c>
      <c r="X459" s="30" t="str">
        <f>IF(ABS(F459-W459)&lt;0.01,"ok","err")</f>
        <v>ok</v>
      </c>
      <c r="Y459" s="34" t="str">
        <f>IF(X459="err",W459-F459,"")</f>
        <v/>
      </c>
    </row>
    <row r="462" spans="1:25" ht="12" customHeight="1" x14ac:dyDescent="0.25">
      <c r="A462" s="3" t="s">
        <v>394</v>
      </c>
    </row>
    <row r="464" spans="1:25" ht="12" customHeight="1" x14ac:dyDescent="0.25">
      <c r="A464" s="4" t="s">
        <v>137</v>
      </c>
    </row>
    <row r="465" spans="1:25" ht="12" customHeight="1" x14ac:dyDescent="0.25">
      <c r="A465" s="39" t="s">
        <v>2133</v>
      </c>
      <c r="C465" s="29" t="s">
        <v>1651</v>
      </c>
      <c r="D465" s="29" t="s">
        <v>1680</v>
      </c>
      <c r="E465" s="29" t="s">
        <v>2132</v>
      </c>
      <c r="F465" s="32">
        <f>VLOOKUP(C465,'WSS-26'!$C$1:$AU$617,6,)</f>
        <v>8010717.2491084207</v>
      </c>
      <c r="G465" s="32">
        <f t="shared" ref="G465:V470" si="486">IF(VLOOKUP($E465,$D$5:$V$970,3,)=0,0,(VLOOKUP($E465,$D$5:$V$970,G$1,)/VLOOKUP($E465,$D$5:$V$970,3,))*$F465)</f>
        <v>3314590.1749827741</v>
      </c>
      <c r="H465" s="32">
        <f t="shared" si="486"/>
        <v>751838.80978788249</v>
      </c>
      <c r="I465" s="32">
        <f t="shared" si="486"/>
        <v>50818.277542158859</v>
      </c>
      <c r="J465" s="32">
        <f t="shared" si="486"/>
        <v>832491.92336079804</v>
      </c>
      <c r="K465" s="32">
        <f t="shared" si="486"/>
        <v>57498.657015994337</v>
      </c>
      <c r="L465" s="32">
        <f t="shared" si="486"/>
        <v>776650.37221141637</v>
      </c>
      <c r="M465" s="32">
        <f t="shared" si="486"/>
        <v>1516979.6106303688</v>
      </c>
      <c r="N465" s="32">
        <f t="shared" si="486"/>
        <v>496772.84504574724</v>
      </c>
      <c r="O465" s="32">
        <f t="shared" si="486"/>
        <v>209508.25613368265</v>
      </c>
      <c r="P465" s="32">
        <f t="shared" si="486"/>
        <v>3045.7389595663262</v>
      </c>
      <c r="Q465" s="32">
        <f t="shared" si="486"/>
        <v>34.738360717632709</v>
      </c>
      <c r="R465" s="32">
        <f t="shared" si="486"/>
        <v>417.46455190526063</v>
      </c>
      <c r="S465" s="32">
        <f t="shared" si="486"/>
        <v>70.380525408451675</v>
      </c>
      <c r="T465" s="32">
        <f t="shared" si="486"/>
        <v>0</v>
      </c>
      <c r="U465" s="32">
        <f t="shared" si="486"/>
        <v>0</v>
      </c>
      <c r="V465" s="32">
        <f t="shared" si="486"/>
        <v>0</v>
      </c>
      <c r="W465" s="34">
        <f t="shared" ref="W465:W470" si="487">SUM(G465:V465)</f>
        <v>8010717.2491084207</v>
      </c>
      <c r="X465" s="30" t="str">
        <f t="shared" ref="X465:X470" si="488">IF(ABS(F465-W465)&lt;0.01,"ok","err")</f>
        <v>ok</v>
      </c>
      <c r="Y465" s="66" t="str">
        <f t="shared" ref="Y465:Y470" si="489">IF(X465="err",W465-F465,"")</f>
        <v/>
      </c>
    </row>
    <row r="466" spans="1:25" ht="12" hidden="1" customHeight="1" x14ac:dyDescent="0.25">
      <c r="A466" s="39" t="s">
        <v>2134</v>
      </c>
      <c r="C466" s="29" t="s">
        <v>1651</v>
      </c>
      <c r="D466" s="29" t="s">
        <v>1681</v>
      </c>
      <c r="E466" s="29" t="s">
        <v>2132</v>
      </c>
      <c r="F466" s="33">
        <f>VLOOKUP(C466,'WSS-26'!$C$1:$AU$617,7,)</f>
        <v>0</v>
      </c>
      <c r="G466" s="32">
        <f t="shared" si="486"/>
        <v>0</v>
      </c>
      <c r="H466" s="32">
        <f t="shared" si="486"/>
        <v>0</v>
      </c>
      <c r="I466" s="32">
        <f t="shared" si="486"/>
        <v>0</v>
      </c>
      <c r="J466" s="32">
        <f t="shared" si="486"/>
        <v>0</v>
      </c>
      <c r="K466" s="32">
        <f t="shared" si="486"/>
        <v>0</v>
      </c>
      <c r="L466" s="32">
        <f t="shared" si="486"/>
        <v>0</v>
      </c>
      <c r="M466" s="32">
        <f t="shared" si="486"/>
        <v>0</v>
      </c>
      <c r="N466" s="32">
        <f t="shared" si="486"/>
        <v>0</v>
      </c>
      <c r="O466" s="32">
        <f t="shared" si="486"/>
        <v>0</v>
      </c>
      <c r="P466" s="32">
        <f t="shared" si="486"/>
        <v>0</v>
      </c>
      <c r="Q466" s="32">
        <f t="shared" si="486"/>
        <v>0</v>
      </c>
      <c r="R466" s="32">
        <f t="shared" si="486"/>
        <v>0</v>
      </c>
      <c r="S466" s="32">
        <f t="shared" si="486"/>
        <v>0</v>
      </c>
      <c r="T466" s="32">
        <f t="shared" si="486"/>
        <v>0</v>
      </c>
      <c r="U466" s="32">
        <f t="shared" si="486"/>
        <v>0</v>
      </c>
      <c r="V466" s="32">
        <f t="shared" si="486"/>
        <v>0</v>
      </c>
      <c r="W466" s="34">
        <f t="shared" si="487"/>
        <v>0</v>
      </c>
      <c r="X466" s="30" t="str">
        <f t="shared" si="488"/>
        <v>ok</v>
      </c>
      <c r="Y466" s="66" t="str">
        <f t="shared" si="489"/>
        <v/>
      </c>
    </row>
    <row r="467" spans="1:25" ht="12" hidden="1" customHeight="1" x14ac:dyDescent="0.25">
      <c r="A467" s="39" t="s">
        <v>2134</v>
      </c>
      <c r="C467" s="29" t="s">
        <v>1651</v>
      </c>
      <c r="D467" s="29" t="s">
        <v>1682</v>
      </c>
      <c r="E467" s="29" t="s">
        <v>2132</v>
      </c>
      <c r="F467" s="33">
        <f>VLOOKUP(C467,'WSS-26'!$C$1:$AU$617,8,)</f>
        <v>0</v>
      </c>
      <c r="G467" s="32">
        <f t="shared" si="486"/>
        <v>0</v>
      </c>
      <c r="H467" s="32">
        <f t="shared" si="486"/>
        <v>0</v>
      </c>
      <c r="I467" s="32">
        <f t="shared" si="486"/>
        <v>0</v>
      </c>
      <c r="J467" s="32">
        <f t="shared" si="486"/>
        <v>0</v>
      </c>
      <c r="K467" s="32">
        <f t="shared" si="486"/>
        <v>0</v>
      </c>
      <c r="L467" s="32">
        <f t="shared" si="486"/>
        <v>0</v>
      </c>
      <c r="M467" s="32">
        <f t="shared" si="486"/>
        <v>0</v>
      </c>
      <c r="N467" s="32">
        <f t="shared" si="486"/>
        <v>0</v>
      </c>
      <c r="O467" s="32">
        <f t="shared" si="486"/>
        <v>0</v>
      </c>
      <c r="P467" s="32">
        <f t="shared" si="486"/>
        <v>0</v>
      </c>
      <c r="Q467" s="32">
        <f t="shared" si="486"/>
        <v>0</v>
      </c>
      <c r="R467" s="32">
        <f t="shared" si="486"/>
        <v>0</v>
      </c>
      <c r="S467" s="32">
        <f t="shared" si="486"/>
        <v>0</v>
      </c>
      <c r="T467" s="32">
        <f t="shared" si="486"/>
        <v>0</v>
      </c>
      <c r="U467" s="32">
        <f t="shared" si="486"/>
        <v>0</v>
      </c>
      <c r="V467" s="32">
        <f t="shared" si="486"/>
        <v>0</v>
      </c>
      <c r="W467" s="34">
        <f t="shared" si="487"/>
        <v>0</v>
      </c>
      <c r="X467" s="30" t="str">
        <f t="shared" si="488"/>
        <v>ok</v>
      </c>
      <c r="Y467" s="66" t="str">
        <f t="shared" si="489"/>
        <v/>
      </c>
    </row>
    <row r="468" spans="1:25" ht="12" customHeight="1" x14ac:dyDescent="0.25">
      <c r="A468" s="39" t="s">
        <v>2136</v>
      </c>
      <c r="C468" s="29" t="s">
        <v>1651</v>
      </c>
      <c r="D468" s="29" t="s">
        <v>1683</v>
      </c>
      <c r="E468" s="29" t="s">
        <v>376</v>
      </c>
      <c r="F468" s="33">
        <f>VLOOKUP(C468,'WSS-26'!$C$1:$AU$617,9,)</f>
        <v>0</v>
      </c>
      <c r="G468" s="32">
        <f t="shared" si="486"/>
        <v>0</v>
      </c>
      <c r="H468" s="32">
        <f t="shared" si="486"/>
        <v>0</v>
      </c>
      <c r="I468" s="32">
        <f t="shared" si="486"/>
        <v>0</v>
      </c>
      <c r="J468" s="32">
        <f t="shared" si="486"/>
        <v>0</v>
      </c>
      <c r="K468" s="32">
        <f t="shared" si="486"/>
        <v>0</v>
      </c>
      <c r="L468" s="32">
        <f t="shared" si="486"/>
        <v>0</v>
      </c>
      <c r="M468" s="32">
        <f t="shared" si="486"/>
        <v>0</v>
      </c>
      <c r="N468" s="32">
        <f t="shared" si="486"/>
        <v>0</v>
      </c>
      <c r="O468" s="32">
        <f t="shared" si="486"/>
        <v>0</v>
      </c>
      <c r="P468" s="32">
        <f t="shared" si="486"/>
        <v>0</v>
      </c>
      <c r="Q468" s="32">
        <f t="shared" si="486"/>
        <v>0</v>
      </c>
      <c r="R468" s="32">
        <f t="shared" si="486"/>
        <v>0</v>
      </c>
      <c r="S468" s="32">
        <f t="shared" si="486"/>
        <v>0</v>
      </c>
      <c r="T468" s="32">
        <f t="shared" si="486"/>
        <v>0</v>
      </c>
      <c r="U468" s="32">
        <f t="shared" si="486"/>
        <v>0</v>
      </c>
      <c r="V468" s="32">
        <f t="shared" si="486"/>
        <v>0</v>
      </c>
      <c r="W468" s="34">
        <f t="shared" si="487"/>
        <v>0</v>
      </c>
      <c r="X468" s="30" t="str">
        <f t="shared" si="488"/>
        <v>ok</v>
      </c>
      <c r="Y468" s="66" t="str">
        <f t="shared" si="489"/>
        <v/>
      </c>
    </row>
    <row r="469" spans="1:25" ht="12" hidden="1" customHeight="1" x14ac:dyDescent="0.25">
      <c r="A469" s="39" t="s">
        <v>2135</v>
      </c>
      <c r="C469" s="29" t="s">
        <v>1651</v>
      </c>
      <c r="D469" s="29" t="s">
        <v>1684</v>
      </c>
      <c r="E469" s="29" t="s">
        <v>376</v>
      </c>
      <c r="F469" s="33">
        <f>VLOOKUP(C469,'WSS-26'!$C$1:$AU$617,10,)</f>
        <v>0</v>
      </c>
      <c r="G469" s="32">
        <f t="shared" si="486"/>
        <v>0</v>
      </c>
      <c r="H469" s="32">
        <f t="shared" si="486"/>
        <v>0</v>
      </c>
      <c r="I469" s="32">
        <f t="shared" si="486"/>
        <v>0</v>
      </c>
      <c r="J469" s="32">
        <f t="shared" si="486"/>
        <v>0</v>
      </c>
      <c r="K469" s="32">
        <f t="shared" si="486"/>
        <v>0</v>
      </c>
      <c r="L469" s="32">
        <f t="shared" si="486"/>
        <v>0</v>
      </c>
      <c r="M469" s="32">
        <f t="shared" si="486"/>
        <v>0</v>
      </c>
      <c r="N469" s="32">
        <f t="shared" si="486"/>
        <v>0</v>
      </c>
      <c r="O469" s="32">
        <f t="shared" si="486"/>
        <v>0</v>
      </c>
      <c r="P469" s="32">
        <f t="shared" si="486"/>
        <v>0</v>
      </c>
      <c r="Q469" s="32">
        <f t="shared" si="486"/>
        <v>0</v>
      </c>
      <c r="R469" s="32">
        <f t="shared" si="486"/>
        <v>0</v>
      </c>
      <c r="S469" s="32">
        <f t="shared" si="486"/>
        <v>0</v>
      </c>
      <c r="T469" s="32">
        <f t="shared" si="486"/>
        <v>0</v>
      </c>
      <c r="U469" s="32">
        <f t="shared" si="486"/>
        <v>0</v>
      </c>
      <c r="V469" s="32">
        <f t="shared" si="486"/>
        <v>0</v>
      </c>
      <c r="W469" s="34">
        <f t="shared" si="487"/>
        <v>0</v>
      </c>
      <c r="X469" s="30" t="str">
        <f t="shared" si="488"/>
        <v>ok</v>
      </c>
      <c r="Y469" s="66" t="str">
        <f t="shared" si="489"/>
        <v/>
      </c>
    </row>
    <row r="470" spans="1:25" ht="12" hidden="1" customHeight="1" x14ac:dyDescent="0.25">
      <c r="A470" s="39" t="s">
        <v>2135</v>
      </c>
      <c r="C470" s="29" t="s">
        <v>1651</v>
      </c>
      <c r="D470" s="29" t="s">
        <v>1685</v>
      </c>
      <c r="E470" s="29" t="s">
        <v>376</v>
      </c>
      <c r="F470" s="33">
        <f>VLOOKUP(C470,'WSS-26'!$C$1:$AU$617,11,)</f>
        <v>0</v>
      </c>
      <c r="G470" s="32">
        <f t="shared" si="486"/>
        <v>0</v>
      </c>
      <c r="H470" s="32">
        <f t="shared" si="486"/>
        <v>0</v>
      </c>
      <c r="I470" s="32">
        <f t="shared" si="486"/>
        <v>0</v>
      </c>
      <c r="J470" s="32">
        <f t="shared" si="486"/>
        <v>0</v>
      </c>
      <c r="K470" s="32">
        <f t="shared" si="486"/>
        <v>0</v>
      </c>
      <c r="L470" s="32">
        <f t="shared" si="486"/>
        <v>0</v>
      </c>
      <c r="M470" s="32">
        <f t="shared" si="486"/>
        <v>0</v>
      </c>
      <c r="N470" s="32">
        <f t="shared" si="486"/>
        <v>0</v>
      </c>
      <c r="O470" s="32">
        <f t="shared" si="486"/>
        <v>0</v>
      </c>
      <c r="P470" s="32">
        <f t="shared" si="486"/>
        <v>0</v>
      </c>
      <c r="Q470" s="32">
        <f t="shared" si="486"/>
        <v>0</v>
      </c>
      <c r="R470" s="32">
        <f t="shared" si="486"/>
        <v>0</v>
      </c>
      <c r="S470" s="32">
        <f t="shared" si="486"/>
        <v>0</v>
      </c>
      <c r="T470" s="32">
        <f t="shared" si="486"/>
        <v>0</v>
      </c>
      <c r="U470" s="32">
        <f t="shared" si="486"/>
        <v>0</v>
      </c>
      <c r="V470" s="32">
        <f t="shared" si="486"/>
        <v>0</v>
      </c>
      <c r="W470" s="34">
        <f t="shared" si="487"/>
        <v>0</v>
      </c>
      <c r="X470" s="30" t="str">
        <f t="shared" si="488"/>
        <v>ok</v>
      </c>
      <c r="Y470" s="66" t="str">
        <f t="shared" si="489"/>
        <v/>
      </c>
    </row>
    <row r="471" spans="1:25" ht="12" customHeight="1" x14ac:dyDescent="0.25">
      <c r="A471" s="29" t="s">
        <v>160</v>
      </c>
      <c r="D471" s="29" t="s">
        <v>395</v>
      </c>
      <c r="F471" s="32">
        <f t="shared" ref="F471:T471" si="490">SUM(F465:F470)</f>
        <v>8010717.2491084207</v>
      </c>
      <c r="G471" s="32">
        <f t="shared" si="490"/>
        <v>3314590.1749827741</v>
      </c>
      <c r="H471" s="32">
        <f t="shared" si="490"/>
        <v>751838.80978788249</v>
      </c>
      <c r="I471" s="32">
        <f>SUM(I465:I470)</f>
        <v>50818.277542158859</v>
      </c>
      <c r="J471" s="32">
        <f>SUM(J465:J470)</f>
        <v>832491.92336079804</v>
      </c>
      <c r="K471" s="32">
        <f>SUM(K465:K470)</f>
        <v>57498.657015994337</v>
      </c>
      <c r="L471" s="32">
        <f t="shared" si="490"/>
        <v>776650.37221141637</v>
      </c>
      <c r="M471" s="32">
        <f t="shared" si="490"/>
        <v>1516979.6106303688</v>
      </c>
      <c r="N471" s="32">
        <f t="shared" si="490"/>
        <v>496772.84504574724</v>
      </c>
      <c r="O471" s="32">
        <f t="shared" si="490"/>
        <v>209508.25613368265</v>
      </c>
      <c r="P471" s="32">
        <f>SUM(P465:P470)</f>
        <v>3045.7389595663262</v>
      </c>
      <c r="Q471" s="32">
        <f t="shared" si="490"/>
        <v>34.738360717632709</v>
      </c>
      <c r="R471" s="32">
        <f t="shared" si="490"/>
        <v>417.46455190526063</v>
      </c>
      <c r="S471" s="32">
        <f t="shared" si="490"/>
        <v>70.380525408451675</v>
      </c>
      <c r="T471" s="32">
        <f t="shared" si="490"/>
        <v>0</v>
      </c>
      <c r="U471" s="32">
        <f t="shared" ref="U471:V471" si="491">SUM(U465:U470)</f>
        <v>0</v>
      </c>
      <c r="V471" s="32">
        <f t="shared" si="491"/>
        <v>0</v>
      </c>
      <c r="W471" s="34">
        <f t="shared" ref="W471" si="492">SUM(G471:V471)</f>
        <v>8010717.2491084207</v>
      </c>
      <c r="X471" s="30" t="str">
        <f t="shared" ref="X471" si="493">IF(ABS(F471-W471)&lt;0.01,"ok","err")</f>
        <v>ok</v>
      </c>
      <c r="Y471" s="34" t="str">
        <f t="shared" ref="Y471" si="494">IF(X471="err",W471-F471,"")</f>
        <v/>
      </c>
    </row>
    <row r="472" spans="1:25" ht="12" customHeight="1" x14ac:dyDescent="0.25">
      <c r="F472" s="33"/>
      <c r="G472" s="33"/>
    </row>
    <row r="473" spans="1:25" ht="12" customHeight="1" x14ac:dyDescent="0.25">
      <c r="A473" s="4" t="s">
        <v>426</v>
      </c>
      <c r="F473" s="33"/>
      <c r="G473" s="33"/>
    </row>
    <row r="474" spans="1:25" ht="12" customHeight="1" x14ac:dyDescent="0.25">
      <c r="A474" s="39" t="s">
        <v>2124</v>
      </c>
      <c r="C474" s="29" t="s">
        <v>1651</v>
      </c>
      <c r="D474" s="29" t="s">
        <v>1686</v>
      </c>
      <c r="E474" s="29" t="s">
        <v>2125</v>
      </c>
      <c r="F474" s="32">
        <f>VLOOKUP(C474,'WSS-26'!$C$1:$AU$617,13,)</f>
        <v>1943064.1932686516</v>
      </c>
      <c r="G474" s="32">
        <f t="shared" ref="G474:V476" si="495">IF(VLOOKUP($E474,$D$5:$V$970,3,)=0,0,(VLOOKUP($E474,$D$5:$V$970,G$1,)/VLOOKUP($E474,$D$5:$V$970,3,))*$F474)</f>
        <v>834651.57859519986</v>
      </c>
      <c r="H474" s="32">
        <f t="shared" si="495"/>
        <v>246218.09605535978</v>
      </c>
      <c r="I474" s="32">
        <f t="shared" si="495"/>
        <v>21777.743163641633</v>
      </c>
      <c r="J474" s="32">
        <f t="shared" si="495"/>
        <v>185759.70437642612</v>
      </c>
      <c r="K474" s="32">
        <f t="shared" si="495"/>
        <v>12307.897004168994</v>
      </c>
      <c r="L474" s="32">
        <f t="shared" si="495"/>
        <v>148208.29718522189</v>
      </c>
      <c r="M474" s="32">
        <f t="shared" si="495"/>
        <v>316574.92980245984</v>
      </c>
      <c r="N474" s="32">
        <f t="shared" si="495"/>
        <v>101300.05787081658</v>
      </c>
      <c r="O474" s="32">
        <f t="shared" si="495"/>
        <v>61953.089446957056</v>
      </c>
      <c r="P474" s="32">
        <f t="shared" si="495"/>
        <v>13826.825024831205</v>
      </c>
      <c r="Q474" s="32">
        <f t="shared" si="495"/>
        <v>163.14873406098511</v>
      </c>
      <c r="R474" s="32">
        <f t="shared" si="495"/>
        <v>89.772011155325629</v>
      </c>
      <c r="S474" s="32">
        <f t="shared" si="495"/>
        <v>233.05399835184076</v>
      </c>
      <c r="T474" s="32">
        <f t="shared" si="495"/>
        <v>0</v>
      </c>
      <c r="U474" s="32">
        <f t="shared" si="495"/>
        <v>0</v>
      </c>
      <c r="V474" s="32">
        <f t="shared" si="495"/>
        <v>0</v>
      </c>
      <c r="W474" s="34">
        <f>SUM(G474:V474)</f>
        <v>1943064.1932686509</v>
      </c>
      <c r="X474" s="30" t="str">
        <f t="shared" ref="X474:X476" si="496">IF(ABS(F474-W474)&lt;0.01,"ok","err")</f>
        <v>ok</v>
      </c>
      <c r="Y474" s="66" t="str">
        <f t="shared" ref="Y474:Y476" si="497">IF(X474="err",W474-F474,"")</f>
        <v/>
      </c>
    </row>
    <row r="475" spans="1:25" ht="12" hidden="1" customHeight="1" x14ac:dyDescent="0.25">
      <c r="A475" s="39" t="s">
        <v>2123</v>
      </c>
      <c r="C475" s="29" t="s">
        <v>1651</v>
      </c>
      <c r="D475" s="29" t="s">
        <v>1687</v>
      </c>
      <c r="E475" s="29" t="s">
        <v>2125</v>
      </c>
      <c r="F475" s="33">
        <f>VLOOKUP(C475,'WSS-26'!$C$1:$AU$617,14,)</f>
        <v>0</v>
      </c>
      <c r="G475" s="32">
        <f t="shared" si="495"/>
        <v>0</v>
      </c>
      <c r="H475" s="32">
        <f t="shared" si="495"/>
        <v>0</v>
      </c>
      <c r="I475" s="32">
        <f t="shared" si="495"/>
        <v>0</v>
      </c>
      <c r="J475" s="32">
        <f t="shared" si="495"/>
        <v>0</v>
      </c>
      <c r="K475" s="32">
        <f t="shared" si="495"/>
        <v>0</v>
      </c>
      <c r="L475" s="32">
        <f t="shared" si="495"/>
        <v>0</v>
      </c>
      <c r="M475" s="32">
        <f t="shared" si="495"/>
        <v>0</v>
      </c>
      <c r="N475" s="32">
        <f t="shared" si="495"/>
        <v>0</v>
      </c>
      <c r="O475" s="32">
        <f t="shared" si="495"/>
        <v>0</v>
      </c>
      <c r="P475" s="32">
        <f t="shared" si="495"/>
        <v>0</v>
      </c>
      <c r="Q475" s="32">
        <f t="shared" si="495"/>
        <v>0</v>
      </c>
      <c r="R475" s="32">
        <f t="shared" si="495"/>
        <v>0</v>
      </c>
      <c r="S475" s="32">
        <f t="shared" si="495"/>
        <v>0</v>
      </c>
      <c r="T475" s="32">
        <f t="shared" si="495"/>
        <v>0</v>
      </c>
      <c r="U475" s="32">
        <f t="shared" si="495"/>
        <v>0</v>
      </c>
      <c r="V475" s="32">
        <f t="shared" si="495"/>
        <v>0</v>
      </c>
      <c r="W475" s="34">
        <f>SUM(G475:V475)</f>
        <v>0</v>
      </c>
      <c r="X475" s="30" t="str">
        <f t="shared" si="496"/>
        <v>ok</v>
      </c>
      <c r="Y475" s="66" t="str">
        <f t="shared" si="497"/>
        <v/>
      </c>
    </row>
    <row r="476" spans="1:25" ht="12" hidden="1" customHeight="1" x14ac:dyDescent="0.25">
      <c r="A476" s="39" t="s">
        <v>2123</v>
      </c>
      <c r="C476" s="29" t="s">
        <v>1651</v>
      </c>
      <c r="D476" s="29" t="s">
        <v>1688</v>
      </c>
      <c r="E476" s="29" t="s">
        <v>2125</v>
      </c>
      <c r="F476" s="33">
        <f>VLOOKUP(C476,'WSS-26'!$C$1:$AU$617,15,)</f>
        <v>0</v>
      </c>
      <c r="G476" s="32">
        <f t="shared" si="495"/>
        <v>0</v>
      </c>
      <c r="H476" s="32">
        <f t="shared" si="495"/>
        <v>0</v>
      </c>
      <c r="I476" s="32">
        <f t="shared" si="495"/>
        <v>0</v>
      </c>
      <c r="J476" s="32">
        <f t="shared" si="495"/>
        <v>0</v>
      </c>
      <c r="K476" s="32">
        <f t="shared" si="495"/>
        <v>0</v>
      </c>
      <c r="L476" s="32">
        <f t="shared" si="495"/>
        <v>0</v>
      </c>
      <c r="M476" s="32">
        <f t="shared" si="495"/>
        <v>0</v>
      </c>
      <c r="N476" s="32">
        <f t="shared" si="495"/>
        <v>0</v>
      </c>
      <c r="O476" s="32">
        <f t="shared" si="495"/>
        <v>0</v>
      </c>
      <c r="P476" s="32">
        <f t="shared" si="495"/>
        <v>0</v>
      </c>
      <c r="Q476" s="32">
        <f t="shared" si="495"/>
        <v>0</v>
      </c>
      <c r="R476" s="32">
        <f t="shared" si="495"/>
        <v>0</v>
      </c>
      <c r="S476" s="32">
        <f t="shared" si="495"/>
        <v>0</v>
      </c>
      <c r="T476" s="32">
        <f t="shared" si="495"/>
        <v>0</v>
      </c>
      <c r="U476" s="32">
        <f t="shared" si="495"/>
        <v>0</v>
      </c>
      <c r="V476" s="32">
        <f t="shared" si="495"/>
        <v>0</v>
      </c>
      <c r="W476" s="34">
        <f>SUM(G476:V476)</f>
        <v>0</v>
      </c>
      <c r="X476" s="30" t="str">
        <f t="shared" si="496"/>
        <v>ok</v>
      </c>
      <c r="Y476" s="66" t="str">
        <f t="shared" si="497"/>
        <v/>
      </c>
    </row>
    <row r="477" spans="1:25" ht="12" hidden="1" customHeight="1" x14ac:dyDescent="0.25">
      <c r="A477" s="29" t="s">
        <v>428</v>
      </c>
      <c r="D477" s="29" t="s">
        <v>1689</v>
      </c>
      <c r="F477" s="32">
        <f t="shared" ref="F477:T477" si="498">SUM(F474:F476)</f>
        <v>1943064.1932686516</v>
      </c>
      <c r="G477" s="32">
        <f t="shared" si="498"/>
        <v>834651.57859519986</v>
      </c>
      <c r="H477" s="32">
        <f t="shared" si="498"/>
        <v>246218.09605535978</v>
      </c>
      <c r="I477" s="32">
        <f>SUM(I474:I476)</f>
        <v>21777.743163641633</v>
      </c>
      <c r="J477" s="32">
        <f>SUM(J474:J476)</f>
        <v>185759.70437642612</v>
      </c>
      <c r="K477" s="32">
        <f>SUM(K474:K476)</f>
        <v>12307.897004168994</v>
      </c>
      <c r="L477" s="32">
        <f t="shared" si="498"/>
        <v>148208.29718522189</v>
      </c>
      <c r="M477" s="32">
        <f t="shared" si="498"/>
        <v>316574.92980245984</v>
      </c>
      <c r="N477" s="32">
        <f t="shared" si="498"/>
        <v>101300.05787081658</v>
      </c>
      <c r="O477" s="32">
        <f t="shared" si="498"/>
        <v>61953.089446957056</v>
      </c>
      <c r="P477" s="32">
        <f>SUM(P474:P476)</f>
        <v>13826.825024831205</v>
      </c>
      <c r="Q477" s="32">
        <f t="shared" si="498"/>
        <v>163.14873406098511</v>
      </c>
      <c r="R477" s="32">
        <f t="shared" si="498"/>
        <v>89.772011155325629</v>
      </c>
      <c r="S477" s="32">
        <f t="shared" si="498"/>
        <v>233.05399835184076</v>
      </c>
      <c r="T477" s="32">
        <f t="shared" si="498"/>
        <v>0</v>
      </c>
      <c r="U477" s="32">
        <f t="shared" ref="U477:V477" si="499">SUM(U474:U476)</f>
        <v>0</v>
      </c>
      <c r="V477" s="32">
        <f t="shared" si="499"/>
        <v>0</v>
      </c>
      <c r="W477" s="34">
        <f>SUM(G477:V477)</f>
        <v>1943064.1932686509</v>
      </c>
      <c r="X477" s="30" t="str">
        <f>IF(ABS(F477-W477)&lt;0.01,"ok","err")</f>
        <v>ok</v>
      </c>
      <c r="Y477" s="34" t="str">
        <f>IF(X477="err",W477-F477,"")</f>
        <v/>
      </c>
    </row>
    <row r="478" spans="1:25" ht="12" customHeight="1" x14ac:dyDescent="0.25">
      <c r="F478" s="33"/>
      <c r="G478" s="33"/>
    </row>
    <row r="479" spans="1:25" ht="12" customHeight="1" x14ac:dyDescent="0.25">
      <c r="A479" s="4" t="s">
        <v>1593</v>
      </c>
      <c r="F479" s="33"/>
      <c r="G479" s="33"/>
    </row>
    <row r="480" spans="1:25" ht="12" customHeight="1" x14ac:dyDescent="0.25">
      <c r="A480" s="39" t="s">
        <v>145</v>
      </c>
      <c r="C480" s="29" t="s">
        <v>1651</v>
      </c>
      <c r="D480" s="29" t="s">
        <v>1690</v>
      </c>
      <c r="E480" s="29" t="s">
        <v>2129</v>
      </c>
      <c r="F480" s="32">
        <f>VLOOKUP(C480,'WSS-26'!$C$1:$AU$617,17,)</f>
        <v>0</v>
      </c>
      <c r="G480" s="32">
        <f t="shared" ref="G480:V480" si="500">IF(VLOOKUP($E480,$D$5:$V$970,3,)=0,0,(VLOOKUP($E480,$D$5:$V$970,G$1,)/VLOOKUP($E480,$D$5:$V$970,3,))*$F480)</f>
        <v>0</v>
      </c>
      <c r="H480" s="32">
        <f t="shared" si="500"/>
        <v>0</v>
      </c>
      <c r="I480" s="32">
        <f t="shared" si="500"/>
        <v>0</v>
      </c>
      <c r="J480" s="32">
        <f t="shared" si="500"/>
        <v>0</v>
      </c>
      <c r="K480" s="32">
        <f t="shared" si="500"/>
        <v>0</v>
      </c>
      <c r="L480" s="32">
        <f t="shared" si="500"/>
        <v>0</v>
      </c>
      <c r="M480" s="32">
        <f t="shared" si="500"/>
        <v>0</v>
      </c>
      <c r="N480" s="32">
        <f t="shared" si="500"/>
        <v>0</v>
      </c>
      <c r="O480" s="32">
        <f t="shared" si="500"/>
        <v>0</v>
      </c>
      <c r="P480" s="32">
        <f t="shared" si="500"/>
        <v>0</v>
      </c>
      <c r="Q480" s="32">
        <f t="shared" si="500"/>
        <v>0</v>
      </c>
      <c r="R480" s="32">
        <f t="shared" si="500"/>
        <v>0</v>
      </c>
      <c r="S480" s="32">
        <f t="shared" si="500"/>
        <v>0</v>
      </c>
      <c r="T480" s="32">
        <f t="shared" si="500"/>
        <v>0</v>
      </c>
      <c r="U480" s="32">
        <f t="shared" si="500"/>
        <v>0</v>
      </c>
      <c r="V480" s="32">
        <f t="shared" si="500"/>
        <v>0</v>
      </c>
      <c r="W480" s="34">
        <f t="shared" ref="W480" si="501">SUM(G480:V480)</f>
        <v>0</v>
      </c>
      <c r="X480" s="30" t="str">
        <f t="shared" ref="X480" si="502">IF(ABS(F480-W480)&lt;0.01,"ok","err")</f>
        <v>ok</v>
      </c>
      <c r="Y480" s="66" t="str">
        <f t="shared" ref="Y480" si="503">IF(X480="err",W480-F480,"")</f>
        <v/>
      </c>
    </row>
    <row r="481" spans="1:25" ht="12" customHeight="1" x14ac:dyDescent="0.25">
      <c r="F481" s="33"/>
    </row>
    <row r="482" spans="1:25" ht="12" customHeight="1" x14ac:dyDescent="0.25">
      <c r="A482" s="4" t="s">
        <v>1594</v>
      </c>
      <c r="F482" s="33"/>
      <c r="G482" s="33"/>
    </row>
    <row r="483" spans="1:25" ht="12" customHeight="1" x14ac:dyDescent="0.25">
      <c r="A483" s="39" t="s">
        <v>147</v>
      </c>
      <c r="C483" s="29" t="s">
        <v>1651</v>
      </c>
      <c r="D483" s="29" t="s">
        <v>1691</v>
      </c>
      <c r="E483" s="29" t="s">
        <v>2129</v>
      </c>
      <c r="F483" s="32">
        <f>VLOOKUP(C483,'WSS-26'!$C$1:$AU$617,18,)</f>
        <v>505499.5560264879</v>
      </c>
      <c r="G483" s="32">
        <f t="shared" ref="G483:V483" si="504">IF(VLOOKUP($E483,$D$5:$V$970,3,)=0,0,(VLOOKUP($E483,$D$5:$V$970,G$1,)/VLOOKUP($E483,$D$5:$V$970,3,))*$F483)</f>
        <v>237056.6265315366</v>
      </c>
      <c r="H483" s="32">
        <f t="shared" si="504"/>
        <v>69930.534774929503</v>
      </c>
      <c r="I483" s="32">
        <f t="shared" si="504"/>
        <v>6185.2855254071519</v>
      </c>
      <c r="J483" s="32">
        <f t="shared" si="504"/>
        <v>52759.223122883515</v>
      </c>
      <c r="K483" s="32">
        <f t="shared" si="504"/>
        <v>3495.6724678058222</v>
      </c>
      <c r="L483" s="32">
        <f t="shared" si="504"/>
        <v>42093.922608815621</v>
      </c>
      <c r="M483" s="32">
        <f t="shared" si="504"/>
        <v>89913.188722100313</v>
      </c>
      <c r="N483" s="32">
        <f t="shared" si="504"/>
        <v>0</v>
      </c>
      <c r="O483" s="32">
        <f t="shared" si="504"/>
        <v>0</v>
      </c>
      <c r="P483" s="32">
        <f t="shared" si="504"/>
        <v>3927.0763754440777</v>
      </c>
      <c r="Q483" s="32">
        <f t="shared" si="504"/>
        <v>46.337285534740801</v>
      </c>
      <c r="R483" s="32">
        <f t="shared" si="504"/>
        <v>25.496926702338541</v>
      </c>
      <c r="S483" s="32">
        <f t="shared" si="504"/>
        <v>66.191685328097932</v>
      </c>
      <c r="T483" s="32">
        <f t="shared" si="504"/>
        <v>0</v>
      </c>
      <c r="U483" s="32">
        <f t="shared" si="504"/>
        <v>0</v>
      </c>
      <c r="V483" s="32">
        <f t="shared" si="504"/>
        <v>0</v>
      </c>
      <c r="W483" s="34">
        <f t="shared" ref="W483" si="505">SUM(G483:V483)</f>
        <v>505499.55602648773</v>
      </c>
      <c r="X483" s="30" t="str">
        <f t="shared" ref="X483" si="506">IF(ABS(F483-W483)&lt;0.01,"ok","err")</f>
        <v>ok</v>
      </c>
      <c r="Y483" s="66" t="str">
        <f t="shared" ref="Y483" si="507">IF(X483="err",W483-F483,"")</f>
        <v/>
      </c>
    </row>
    <row r="484" spans="1:25" ht="12" customHeight="1" x14ac:dyDescent="0.25">
      <c r="F484" s="33"/>
    </row>
    <row r="485" spans="1:25" ht="12" customHeight="1" x14ac:dyDescent="0.25">
      <c r="A485" s="4" t="s">
        <v>146</v>
      </c>
      <c r="F485" s="33"/>
    </row>
    <row r="486" spans="1:25" ht="12" customHeight="1" x14ac:dyDescent="0.25">
      <c r="A486" s="39" t="s">
        <v>767</v>
      </c>
      <c r="C486" s="29" t="s">
        <v>1651</v>
      </c>
      <c r="D486" s="29" t="s">
        <v>1692</v>
      </c>
      <c r="E486" s="29" t="s">
        <v>2129</v>
      </c>
      <c r="F486" s="32">
        <f>VLOOKUP(C486,'WSS-26'!$C$1:$AU$617,19,)</f>
        <v>0</v>
      </c>
      <c r="G486" s="32">
        <f t="shared" ref="G486:V490" si="508">IF(VLOOKUP($E486,$D$5:$V$970,3,)=0,0,(VLOOKUP($E486,$D$5:$V$970,G$1,)/VLOOKUP($E486,$D$5:$V$970,3,))*$F486)</f>
        <v>0</v>
      </c>
      <c r="H486" s="32">
        <f t="shared" si="508"/>
        <v>0</v>
      </c>
      <c r="I486" s="32">
        <f t="shared" si="508"/>
        <v>0</v>
      </c>
      <c r="J486" s="32">
        <f t="shared" si="508"/>
        <v>0</v>
      </c>
      <c r="K486" s="32">
        <f t="shared" si="508"/>
        <v>0</v>
      </c>
      <c r="L486" s="32">
        <f t="shared" si="508"/>
        <v>0</v>
      </c>
      <c r="M486" s="32">
        <f t="shared" si="508"/>
        <v>0</v>
      </c>
      <c r="N486" s="32">
        <f t="shared" si="508"/>
        <v>0</v>
      </c>
      <c r="O486" s="32">
        <f t="shared" si="508"/>
        <v>0</v>
      </c>
      <c r="P486" s="32">
        <f t="shared" si="508"/>
        <v>0</v>
      </c>
      <c r="Q486" s="32">
        <f t="shared" si="508"/>
        <v>0</v>
      </c>
      <c r="R486" s="32">
        <f t="shared" si="508"/>
        <v>0</v>
      </c>
      <c r="S486" s="32">
        <f t="shared" si="508"/>
        <v>0</v>
      </c>
      <c r="T486" s="32">
        <f t="shared" si="508"/>
        <v>0</v>
      </c>
      <c r="U486" s="32">
        <f t="shared" si="508"/>
        <v>0</v>
      </c>
      <c r="V486" s="32">
        <f t="shared" si="508"/>
        <v>0</v>
      </c>
      <c r="W486" s="34">
        <f t="shared" ref="W486:W490" si="509">SUM(G486:V486)</f>
        <v>0</v>
      </c>
      <c r="X486" s="30" t="str">
        <f t="shared" ref="X486:X490" si="510">IF(ABS(F486-W486)&lt;0.01,"ok","err")</f>
        <v>ok</v>
      </c>
      <c r="Y486" s="66" t="str">
        <f t="shared" ref="Y486:Y490" si="511">IF(X486="err",W486-F486,"")</f>
        <v/>
      </c>
    </row>
    <row r="487" spans="1:25" ht="12" customHeight="1" x14ac:dyDescent="0.25">
      <c r="A487" s="39" t="s">
        <v>768</v>
      </c>
      <c r="C487" s="29" t="s">
        <v>1651</v>
      </c>
      <c r="D487" s="29" t="s">
        <v>1693</v>
      </c>
      <c r="E487" s="29" t="s">
        <v>2129</v>
      </c>
      <c r="F487" s="33">
        <f>VLOOKUP(C487,'WSS-26'!$C$1:$AU$617,20,)</f>
        <v>413566.13682396268</v>
      </c>
      <c r="G487" s="32">
        <f t="shared" si="508"/>
        <v>193943.9749736028</v>
      </c>
      <c r="H487" s="32">
        <f t="shared" si="508"/>
        <v>57212.515358541554</v>
      </c>
      <c r="I487" s="32">
        <f t="shared" si="508"/>
        <v>5060.3894887729057</v>
      </c>
      <c r="J487" s="32">
        <f t="shared" si="508"/>
        <v>43164.089520231137</v>
      </c>
      <c r="K487" s="32">
        <f t="shared" si="508"/>
        <v>2859.9268602257457</v>
      </c>
      <c r="L487" s="32">
        <f t="shared" si="508"/>
        <v>34438.44954867287</v>
      </c>
      <c r="M487" s="32">
        <f t="shared" si="508"/>
        <v>73560.994596352204</v>
      </c>
      <c r="N487" s="32">
        <f t="shared" si="508"/>
        <v>0</v>
      </c>
      <c r="O487" s="32">
        <f t="shared" si="508"/>
        <v>0</v>
      </c>
      <c r="P487" s="32">
        <f t="shared" si="508"/>
        <v>3212.8728625826025</v>
      </c>
      <c r="Q487" s="32">
        <f t="shared" si="508"/>
        <v>37.910087043691647</v>
      </c>
      <c r="R487" s="32">
        <f t="shared" si="508"/>
        <v>20.859890679344836</v>
      </c>
      <c r="S487" s="32">
        <f t="shared" si="508"/>
        <v>54.153637257743533</v>
      </c>
      <c r="T487" s="32">
        <f t="shared" si="508"/>
        <v>0</v>
      </c>
      <c r="U487" s="32">
        <f t="shared" si="508"/>
        <v>0</v>
      </c>
      <c r="V487" s="32">
        <f t="shared" si="508"/>
        <v>0</v>
      </c>
      <c r="W487" s="34">
        <f t="shared" si="509"/>
        <v>413566.13682396268</v>
      </c>
      <c r="X487" s="30" t="str">
        <f t="shared" si="510"/>
        <v>ok</v>
      </c>
      <c r="Y487" s="66" t="str">
        <f t="shared" si="511"/>
        <v/>
      </c>
    </row>
    <row r="488" spans="1:25" ht="12" customHeight="1" x14ac:dyDescent="0.25">
      <c r="A488" s="39" t="s">
        <v>769</v>
      </c>
      <c r="C488" s="29" t="s">
        <v>1651</v>
      </c>
      <c r="D488" s="29" t="s">
        <v>1694</v>
      </c>
      <c r="E488" s="29" t="s">
        <v>872</v>
      </c>
      <c r="F488" s="33">
        <f>VLOOKUP(C488,'WSS-26'!$C$1:$AU$617,21,)</f>
        <v>778232.58642852062</v>
      </c>
      <c r="G488" s="32">
        <f t="shared" si="508"/>
        <v>621595.6135763569</v>
      </c>
      <c r="H488" s="32">
        <f t="shared" si="508"/>
        <v>120266.14549364721</v>
      </c>
      <c r="I488" s="32">
        <f t="shared" si="508"/>
        <v>794.7572707570572</v>
      </c>
      <c r="J488" s="32">
        <f t="shared" si="508"/>
        <v>6366.6039431613708</v>
      </c>
      <c r="K488" s="32">
        <f t="shared" si="508"/>
        <v>293.40501393540103</v>
      </c>
      <c r="L488" s="32">
        <f t="shared" si="508"/>
        <v>1053.9791762727998</v>
      </c>
      <c r="M488" s="32">
        <f t="shared" si="508"/>
        <v>368.89271169547993</v>
      </c>
      <c r="N488" s="32">
        <f t="shared" si="508"/>
        <v>0</v>
      </c>
      <c r="O488" s="32">
        <f t="shared" si="508"/>
        <v>0</v>
      </c>
      <c r="P488" s="32">
        <f t="shared" si="508"/>
        <v>27359.30540138407</v>
      </c>
      <c r="Q488" s="32">
        <f t="shared" si="508"/>
        <v>4.2728885524572959</v>
      </c>
      <c r="R488" s="32">
        <f t="shared" si="508"/>
        <v>121.06517565295674</v>
      </c>
      <c r="S488" s="32">
        <f t="shared" si="508"/>
        <v>8.5457771049145919</v>
      </c>
      <c r="T488" s="32">
        <f t="shared" si="508"/>
        <v>0</v>
      </c>
      <c r="U488" s="32">
        <f t="shared" si="508"/>
        <v>0</v>
      </c>
      <c r="V488" s="32">
        <f t="shared" si="508"/>
        <v>0</v>
      </c>
      <c r="W488" s="34">
        <f t="shared" si="509"/>
        <v>778232.58642852062</v>
      </c>
      <c r="X488" s="30" t="str">
        <f t="shared" si="510"/>
        <v>ok</v>
      </c>
      <c r="Y488" s="66" t="str">
        <f t="shared" si="511"/>
        <v/>
      </c>
    </row>
    <row r="489" spans="1:25" ht="12" customHeight="1" x14ac:dyDescent="0.25">
      <c r="A489" s="39" t="s">
        <v>770</v>
      </c>
      <c r="C489" s="29" t="s">
        <v>1651</v>
      </c>
      <c r="D489" s="29" t="s">
        <v>1695</v>
      </c>
      <c r="E489" s="29" t="s">
        <v>709</v>
      </c>
      <c r="F489" s="33">
        <f>VLOOKUP(C489,'WSS-26'!$C$1:$AU$617,22,)</f>
        <v>225276.20486774296</v>
      </c>
      <c r="G489" s="32">
        <f t="shared" si="508"/>
        <v>175154.06082877552</v>
      </c>
      <c r="H489" s="32">
        <f t="shared" si="508"/>
        <v>45897.465084949436</v>
      </c>
      <c r="I489" s="32">
        <f t="shared" si="508"/>
        <v>2742.2818506555905</v>
      </c>
      <c r="J489" s="32">
        <f t="shared" si="508"/>
        <v>0</v>
      </c>
      <c r="K489" s="32">
        <f t="shared" si="508"/>
        <v>0</v>
      </c>
      <c r="L489" s="32">
        <f t="shared" si="508"/>
        <v>0</v>
      </c>
      <c r="M489" s="32">
        <f t="shared" si="508"/>
        <v>0</v>
      </c>
      <c r="N489" s="32">
        <f t="shared" si="508"/>
        <v>0</v>
      </c>
      <c r="O489" s="32">
        <f t="shared" si="508"/>
        <v>0</v>
      </c>
      <c r="P489" s="32">
        <f t="shared" si="508"/>
        <v>1455.7681438476177</v>
      </c>
      <c r="Q489" s="32">
        <f t="shared" si="508"/>
        <v>17.177242738554749</v>
      </c>
      <c r="R489" s="32">
        <f t="shared" si="508"/>
        <v>9.4517167762200298</v>
      </c>
      <c r="S489" s="32">
        <f t="shared" si="508"/>
        <v>0</v>
      </c>
      <c r="T489" s="32">
        <f t="shared" si="508"/>
        <v>0</v>
      </c>
      <c r="U489" s="32">
        <f t="shared" si="508"/>
        <v>0</v>
      </c>
      <c r="V489" s="32">
        <f t="shared" si="508"/>
        <v>0</v>
      </c>
      <c r="W489" s="34">
        <f t="shared" si="509"/>
        <v>225276.20486774293</v>
      </c>
      <c r="X489" s="30" t="str">
        <f t="shared" si="510"/>
        <v>ok</v>
      </c>
      <c r="Y489" s="66" t="str">
        <f t="shared" si="511"/>
        <v/>
      </c>
    </row>
    <row r="490" spans="1:25" ht="12" customHeight="1" x14ac:dyDescent="0.25">
      <c r="A490" s="39" t="s">
        <v>771</v>
      </c>
      <c r="C490" s="29" t="s">
        <v>1651</v>
      </c>
      <c r="D490" s="29" t="s">
        <v>1696</v>
      </c>
      <c r="E490" s="29" t="s">
        <v>871</v>
      </c>
      <c r="F490" s="33">
        <f>VLOOKUP(C490,'WSS-26'!$C$1:$AU$617,23,)</f>
        <v>417319.17751761683</v>
      </c>
      <c r="G490" s="32">
        <f t="shared" si="508"/>
        <v>333608.13031960127</v>
      </c>
      <c r="H490" s="32">
        <f t="shared" si="508"/>
        <v>64546.407765073825</v>
      </c>
      <c r="I490" s="32">
        <f t="shared" si="508"/>
        <v>426.54336897536911</v>
      </c>
      <c r="J490" s="32">
        <f t="shared" si="508"/>
        <v>3416.9334396413974</v>
      </c>
      <c r="K490" s="32">
        <f t="shared" si="508"/>
        <v>0</v>
      </c>
      <c r="L490" s="32">
        <f t="shared" si="508"/>
        <v>565.66683340819554</v>
      </c>
      <c r="M490" s="32">
        <f t="shared" si="508"/>
        <v>0</v>
      </c>
      <c r="N490" s="32">
        <f t="shared" si="508"/>
        <v>0</v>
      </c>
      <c r="O490" s="32">
        <f t="shared" si="508"/>
        <v>0</v>
      </c>
      <c r="P490" s="32">
        <f t="shared" si="508"/>
        <v>14683.640814781122</v>
      </c>
      <c r="Q490" s="32">
        <f t="shared" si="508"/>
        <v>2.2932439192224146</v>
      </c>
      <c r="R490" s="32">
        <f t="shared" si="508"/>
        <v>64.975244377968409</v>
      </c>
      <c r="S490" s="32">
        <f t="shared" si="508"/>
        <v>4.5864878384448291</v>
      </c>
      <c r="T490" s="32">
        <f t="shared" si="508"/>
        <v>0</v>
      </c>
      <c r="U490" s="32">
        <f t="shared" si="508"/>
        <v>0</v>
      </c>
      <c r="V490" s="32">
        <f t="shared" si="508"/>
        <v>0</v>
      </c>
      <c r="W490" s="34">
        <f t="shared" si="509"/>
        <v>417319.17751761671</v>
      </c>
      <c r="X490" s="30" t="str">
        <f t="shared" si="510"/>
        <v>ok</v>
      </c>
      <c r="Y490" s="66" t="str">
        <f t="shared" si="511"/>
        <v/>
      </c>
    </row>
    <row r="491" spans="1:25" ht="12" customHeight="1" x14ac:dyDescent="0.25">
      <c r="A491" s="29" t="s">
        <v>151</v>
      </c>
      <c r="D491" s="29" t="s">
        <v>1697</v>
      </c>
      <c r="F491" s="32">
        <f>SUM(F486:F490)</f>
        <v>1834394.105637843</v>
      </c>
      <c r="G491" s="32">
        <f t="shared" ref="G491:T491" si="512">SUM(G486:G490)</f>
        <v>1324301.7796983365</v>
      </c>
      <c r="H491" s="32">
        <f t="shared" si="512"/>
        <v>287922.53370221204</v>
      </c>
      <c r="I491" s="32">
        <f>SUM(I486:I490)</f>
        <v>9023.9719791609241</v>
      </c>
      <c r="J491" s="32">
        <f>SUM(J486:J490)</f>
        <v>52947.626903033903</v>
      </c>
      <c r="K491" s="32">
        <f>SUM(K486:K490)</f>
        <v>3153.3318741611465</v>
      </c>
      <c r="L491" s="32">
        <f t="shared" si="512"/>
        <v>36058.095558353867</v>
      </c>
      <c r="M491" s="32">
        <f t="shared" si="512"/>
        <v>73929.887308047677</v>
      </c>
      <c r="N491" s="32">
        <f t="shared" si="512"/>
        <v>0</v>
      </c>
      <c r="O491" s="32">
        <f t="shared" si="512"/>
        <v>0</v>
      </c>
      <c r="P491" s="32">
        <f>SUM(P486:P490)</f>
        <v>46711.587222595408</v>
      </c>
      <c r="Q491" s="32">
        <f t="shared" si="512"/>
        <v>61.653462253926101</v>
      </c>
      <c r="R491" s="32">
        <f t="shared" si="512"/>
        <v>216.35202748649002</v>
      </c>
      <c r="S491" s="32">
        <f t="shared" si="512"/>
        <v>67.285902201102957</v>
      </c>
      <c r="T491" s="32">
        <f t="shared" si="512"/>
        <v>0</v>
      </c>
      <c r="U491" s="32">
        <f t="shared" ref="U491:V491" si="513">SUM(U486:U490)</f>
        <v>0</v>
      </c>
      <c r="V491" s="32">
        <f t="shared" si="513"/>
        <v>0</v>
      </c>
      <c r="W491" s="34">
        <f t="shared" ref="W491" si="514">SUM(G491:V491)</f>
        <v>1834394.1056378433</v>
      </c>
      <c r="X491" s="30" t="str">
        <f t="shared" ref="X491" si="515">IF(ABS(F491-W491)&lt;0.01,"ok","err")</f>
        <v>ok</v>
      </c>
      <c r="Y491" s="34" t="str">
        <f t="shared" ref="Y491" si="516">IF(X491="err",W491-F491,"")</f>
        <v/>
      </c>
    </row>
    <row r="492" spans="1:25" ht="12" customHeight="1" x14ac:dyDescent="0.25">
      <c r="F492" s="33"/>
    </row>
    <row r="493" spans="1:25" ht="12" customHeight="1" x14ac:dyDescent="0.25">
      <c r="A493" s="4" t="s">
        <v>766</v>
      </c>
      <c r="F493" s="33"/>
    </row>
    <row r="494" spans="1:25" ht="12" customHeight="1" x14ac:dyDescent="0.25">
      <c r="A494" s="39" t="s">
        <v>375</v>
      </c>
      <c r="C494" s="29" t="s">
        <v>1651</v>
      </c>
      <c r="D494" s="29" t="s">
        <v>1698</v>
      </c>
      <c r="E494" s="29" t="s">
        <v>2058</v>
      </c>
      <c r="F494" s="32">
        <f>VLOOKUP(C494,'WSS-26'!$C$1:$AU$617,24,)</f>
        <v>305163.40147668857</v>
      </c>
      <c r="G494" s="32">
        <f t="shared" ref="G494:V495" si="517">IF(VLOOKUP($E494,$D$5:$V$970,3,)=0,0,(VLOOKUP($E494,$D$5:$V$970,G$1,)/VLOOKUP($E494,$D$5:$V$970,3,))*$F494)</f>
        <v>194546.23844331896</v>
      </c>
      <c r="H494" s="32">
        <f t="shared" si="517"/>
        <v>50979.00182336814</v>
      </c>
      <c r="I494" s="32">
        <f t="shared" si="517"/>
        <v>3045.8935195225649</v>
      </c>
      <c r="J494" s="32">
        <f t="shared" si="517"/>
        <v>32389.40027885044</v>
      </c>
      <c r="K494" s="32">
        <f t="shared" si="517"/>
        <v>0</v>
      </c>
      <c r="L494" s="32">
        <f t="shared" si="517"/>
        <v>22514.491292029812</v>
      </c>
      <c r="M494" s="32">
        <f t="shared" si="517"/>
        <v>0</v>
      </c>
      <c r="N494" s="32">
        <f t="shared" si="517"/>
        <v>0</v>
      </c>
      <c r="O494" s="32">
        <f t="shared" si="517"/>
        <v>0</v>
      </c>
      <c r="P494" s="32">
        <f t="shared" si="517"/>
        <v>1616.9434787357104</v>
      </c>
      <c r="Q494" s="32">
        <f t="shared" si="517"/>
        <v>19.079020753509319</v>
      </c>
      <c r="R494" s="32">
        <f t="shared" si="517"/>
        <v>10.498163370832508</v>
      </c>
      <c r="S494" s="32">
        <f t="shared" si="517"/>
        <v>41.85545673856091</v>
      </c>
      <c r="T494" s="32">
        <f t="shared" si="517"/>
        <v>0</v>
      </c>
      <c r="U494" s="32">
        <f t="shared" si="517"/>
        <v>0</v>
      </c>
      <c r="V494" s="32">
        <f t="shared" si="517"/>
        <v>0</v>
      </c>
      <c r="W494" s="34">
        <f t="shared" ref="W494:W495" si="518">SUM(G494:V494)</f>
        <v>305163.40147668845</v>
      </c>
      <c r="X494" s="30" t="str">
        <f t="shared" ref="X494:X495" si="519">IF(ABS(F494-W494)&lt;0.01,"ok","err")</f>
        <v>ok</v>
      </c>
      <c r="Y494" s="66" t="str">
        <f t="shared" ref="Y494:Y495" si="520">IF(X494="err",W494-F494,"")</f>
        <v/>
      </c>
    </row>
    <row r="495" spans="1:25" ht="12" customHeight="1" x14ac:dyDescent="0.25">
      <c r="A495" s="39" t="s">
        <v>378</v>
      </c>
      <c r="C495" s="29" t="s">
        <v>1651</v>
      </c>
      <c r="D495" s="29" t="s">
        <v>1699</v>
      </c>
      <c r="E495" s="29" t="s">
        <v>2057</v>
      </c>
      <c r="F495" s="33">
        <f>VLOOKUP(C495,'WSS-26'!$C$1:$AU$617,25,)</f>
        <v>264653.55240440159</v>
      </c>
      <c r="G495" s="32">
        <f t="shared" si="517"/>
        <v>211566.06635060741</v>
      </c>
      <c r="H495" s="32">
        <f t="shared" si="517"/>
        <v>40933.743355824372</v>
      </c>
      <c r="I495" s="32">
        <f t="shared" si="517"/>
        <v>270.50330762503103</v>
      </c>
      <c r="J495" s="32">
        <f t="shared" si="517"/>
        <v>2166.9350987166467</v>
      </c>
      <c r="K495" s="32">
        <f t="shared" si="517"/>
        <v>0</v>
      </c>
      <c r="L495" s="32">
        <f t="shared" si="517"/>
        <v>358.73198502244264</v>
      </c>
      <c r="M495" s="32">
        <f t="shared" si="517"/>
        <v>0</v>
      </c>
      <c r="N495" s="32">
        <f t="shared" si="517"/>
        <v>0</v>
      </c>
      <c r="O495" s="32">
        <f t="shared" si="517"/>
        <v>0</v>
      </c>
      <c r="P495" s="32">
        <f t="shared" si="517"/>
        <v>9312.0036490487855</v>
      </c>
      <c r="Q495" s="32">
        <f t="shared" si="517"/>
        <v>1.4543188581990918</v>
      </c>
      <c r="R495" s="32">
        <f t="shared" si="517"/>
        <v>41.205700982307597</v>
      </c>
      <c r="S495" s="32">
        <f t="shared" si="517"/>
        <v>2.9086377163981836</v>
      </c>
      <c r="T495" s="32">
        <f t="shared" si="517"/>
        <v>0</v>
      </c>
      <c r="U495" s="32">
        <f t="shared" si="517"/>
        <v>0</v>
      </c>
      <c r="V495" s="32">
        <f t="shared" si="517"/>
        <v>0</v>
      </c>
      <c r="W495" s="34">
        <f t="shared" si="518"/>
        <v>264653.55240440159</v>
      </c>
      <c r="X495" s="30" t="str">
        <f t="shared" si="519"/>
        <v>ok</v>
      </c>
      <c r="Y495" s="66" t="str">
        <f t="shared" si="520"/>
        <v/>
      </c>
    </row>
    <row r="496" spans="1:25" ht="12" customHeight="1" x14ac:dyDescent="0.25">
      <c r="A496" s="29" t="s">
        <v>1434</v>
      </c>
      <c r="D496" s="29" t="s">
        <v>1700</v>
      </c>
      <c r="F496" s="32">
        <f t="shared" ref="F496:T496" si="521">F494+F495</f>
        <v>569816.95388109016</v>
      </c>
      <c r="G496" s="32">
        <f t="shared" si="521"/>
        <v>406112.30479392636</v>
      </c>
      <c r="H496" s="32">
        <f t="shared" si="521"/>
        <v>91912.745179192512</v>
      </c>
      <c r="I496" s="32">
        <f>I494+I495</f>
        <v>3316.396827147596</v>
      </c>
      <c r="J496" s="32">
        <f>J494+J495</f>
        <v>34556.335377567084</v>
      </c>
      <c r="K496" s="32">
        <f>K494+K495</f>
        <v>0</v>
      </c>
      <c r="L496" s="32">
        <f t="shared" si="521"/>
        <v>22873.223277052253</v>
      </c>
      <c r="M496" s="32">
        <f t="shared" si="521"/>
        <v>0</v>
      </c>
      <c r="N496" s="32">
        <f t="shared" si="521"/>
        <v>0</v>
      </c>
      <c r="O496" s="32">
        <f t="shared" si="521"/>
        <v>0</v>
      </c>
      <c r="P496" s="32">
        <f>P494+P495</f>
        <v>10928.947127784497</v>
      </c>
      <c r="Q496" s="32">
        <f t="shared" si="521"/>
        <v>20.53333961170841</v>
      </c>
      <c r="R496" s="32">
        <f t="shared" si="521"/>
        <v>51.703864353140105</v>
      </c>
      <c r="S496" s="32">
        <f t="shared" si="521"/>
        <v>44.764094454959093</v>
      </c>
      <c r="T496" s="32">
        <f t="shared" si="521"/>
        <v>0</v>
      </c>
      <c r="U496" s="32">
        <f t="shared" ref="U496:V496" si="522">U494+U495</f>
        <v>0</v>
      </c>
      <c r="V496" s="32">
        <f t="shared" si="522"/>
        <v>0</v>
      </c>
      <c r="W496" s="34">
        <f>SUM(G496:V496)</f>
        <v>569816.95388109004</v>
      </c>
      <c r="X496" s="30" t="str">
        <f>IF(ABS(F496-W496)&lt;0.01,"ok","err")</f>
        <v>ok</v>
      </c>
      <c r="Y496" s="34" t="str">
        <f>IF(X496="err",W496-F496,"")</f>
        <v/>
      </c>
    </row>
    <row r="497" spans="1:25" ht="12" customHeight="1" x14ac:dyDescent="0.25">
      <c r="F497" s="33"/>
    </row>
    <row r="498" spans="1:25" ht="12" customHeight="1" x14ac:dyDescent="0.25">
      <c r="A498" s="4" t="s">
        <v>128</v>
      </c>
      <c r="F498" s="33"/>
    </row>
    <row r="499" spans="1:25" ht="12" customHeight="1" x14ac:dyDescent="0.25">
      <c r="A499" s="39" t="s">
        <v>378</v>
      </c>
      <c r="C499" s="29" t="s">
        <v>1651</v>
      </c>
      <c r="D499" s="29" t="s">
        <v>1701</v>
      </c>
      <c r="E499" s="29" t="s">
        <v>379</v>
      </c>
      <c r="F499" s="32">
        <f>VLOOKUP(C499,'WSS-26'!$C$1:$AU$617,26,)</f>
        <v>195975.41541435203</v>
      </c>
      <c r="G499" s="32">
        <f t="shared" ref="G499:V499" si="523">IF(VLOOKUP($E499,$D$5:$V$970,3,)=0,0,(VLOOKUP($E499,$D$5:$V$970,G$1,)/VLOOKUP($E499,$D$5:$V$970,3,))*$F499)</f>
        <v>137514.52365372621</v>
      </c>
      <c r="H499" s="32">
        <f t="shared" si="523"/>
        <v>53929.808106170269</v>
      </c>
      <c r="I499" s="32">
        <f t="shared" si="523"/>
        <v>462.76735831792399</v>
      </c>
      <c r="J499" s="32">
        <f t="shared" si="523"/>
        <v>3449.8412536760793</v>
      </c>
      <c r="K499" s="32">
        <f t="shared" si="523"/>
        <v>0</v>
      </c>
      <c r="L499" s="32">
        <f t="shared" si="523"/>
        <v>613.84403772099779</v>
      </c>
      <c r="M499" s="32">
        <f t="shared" si="523"/>
        <v>0</v>
      </c>
      <c r="N499" s="32">
        <f t="shared" si="523"/>
        <v>0</v>
      </c>
      <c r="O499" s="32">
        <f t="shared" si="523"/>
        <v>0</v>
      </c>
      <c r="P499" s="32">
        <f t="shared" si="523"/>
        <v>0</v>
      </c>
      <c r="Q499" s="32">
        <f t="shared" si="523"/>
        <v>0</v>
      </c>
      <c r="R499" s="32">
        <f t="shared" si="523"/>
        <v>0</v>
      </c>
      <c r="S499" s="32">
        <f t="shared" si="523"/>
        <v>4.6310047405600283</v>
      </c>
      <c r="T499" s="32">
        <f t="shared" si="523"/>
        <v>0</v>
      </c>
      <c r="U499" s="32">
        <f t="shared" si="523"/>
        <v>0</v>
      </c>
      <c r="V499" s="32">
        <f t="shared" si="523"/>
        <v>0</v>
      </c>
      <c r="W499" s="34">
        <f t="shared" ref="W499" si="524">SUM(G499:V499)</f>
        <v>195975.41541435203</v>
      </c>
      <c r="X499" s="30" t="str">
        <f t="shared" ref="X499" si="525">IF(ABS(F499-W499)&lt;0.01,"ok","err")</f>
        <v>ok</v>
      </c>
      <c r="Y499" s="66" t="str">
        <f t="shared" ref="Y499" si="526">IF(X499="err",W499-F499,"")</f>
        <v/>
      </c>
    </row>
    <row r="500" spans="1:25" ht="12" customHeight="1" x14ac:dyDescent="0.25">
      <c r="F500" s="33"/>
    </row>
    <row r="501" spans="1:25" ht="12" customHeight="1" x14ac:dyDescent="0.25">
      <c r="A501" s="4" t="s">
        <v>127</v>
      </c>
      <c r="F501" s="33"/>
    </row>
    <row r="502" spans="1:25" ht="12" customHeight="1" x14ac:dyDescent="0.25">
      <c r="A502" s="39" t="s">
        <v>378</v>
      </c>
      <c r="C502" s="29" t="s">
        <v>1651</v>
      </c>
      <c r="D502" s="29" t="s">
        <v>1702</v>
      </c>
      <c r="E502" s="29" t="s">
        <v>380</v>
      </c>
      <c r="F502" s="32">
        <f>VLOOKUP(C502,'WSS-26'!$C$1:$AU$617,27,)</f>
        <v>140030.9231933743</v>
      </c>
      <c r="G502" s="32">
        <f t="shared" ref="G502:V502" si="527">IF(VLOOKUP($E502,$D$5:$V$970,3,)=0,0,(VLOOKUP($E502,$D$5:$V$970,G$1,)/VLOOKUP($E502,$D$5:$V$970,3,))*$F502)</f>
        <v>86230.142782707117</v>
      </c>
      <c r="H502" s="32">
        <f t="shared" si="527"/>
        <v>33172.414985700925</v>
      </c>
      <c r="I502" s="32">
        <f t="shared" si="527"/>
        <v>728.68030513537485</v>
      </c>
      <c r="J502" s="32">
        <f t="shared" si="527"/>
        <v>9358.5825177939369</v>
      </c>
      <c r="K502" s="32">
        <f t="shared" si="527"/>
        <v>2200.9599688138692</v>
      </c>
      <c r="L502" s="32">
        <f t="shared" si="527"/>
        <v>1818.2396053601035</v>
      </c>
      <c r="M502" s="32">
        <f t="shared" si="527"/>
        <v>3914.1297051572433</v>
      </c>
      <c r="N502" s="32">
        <f t="shared" si="527"/>
        <v>2320.6515324944653</v>
      </c>
      <c r="O502" s="32">
        <f t="shared" si="527"/>
        <v>117.28227175725708</v>
      </c>
      <c r="P502" s="32">
        <f t="shared" si="527"/>
        <v>0</v>
      </c>
      <c r="Q502" s="32">
        <f t="shared" si="527"/>
        <v>6.1250986218394434</v>
      </c>
      <c r="R502" s="32">
        <f t="shared" si="527"/>
        <v>151.1516272808766</v>
      </c>
      <c r="S502" s="32">
        <f t="shared" si="527"/>
        <v>12.562792551293226</v>
      </c>
      <c r="T502" s="32">
        <f t="shared" si="527"/>
        <v>0</v>
      </c>
      <c r="U502" s="32">
        <f t="shared" si="527"/>
        <v>0</v>
      </c>
      <c r="V502" s="32">
        <f t="shared" si="527"/>
        <v>0</v>
      </c>
      <c r="W502" s="34">
        <f t="shared" ref="W502" si="528">SUM(G502:V502)</f>
        <v>140030.9231933743</v>
      </c>
      <c r="X502" s="30" t="str">
        <f t="shared" ref="X502" si="529">IF(ABS(F502-W502)&lt;0.01,"ok","err")</f>
        <v>ok</v>
      </c>
      <c r="Y502" s="66" t="str">
        <f t="shared" ref="Y502" si="530">IF(X502="err",W502-F502,"")</f>
        <v/>
      </c>
    </row>
    <row r="503" spans="1:25" ht="12" customHeight="1" x14ac:dyDescent="0.25">
      <c r="F503" s="33"/>
    </row>
    <row r="504" spans="1:25" ht="12" customHeight="1" x14ac:dyDescent="0.25">
      <c r="A504" s="4" t="s">
        <v>144</v>
      </c>
      <c r="F504" s="33"/>
    </row>
    <row r="505" spans="1:25" ht="12" customHeight="1" x14ac:dyDescent="0.25">
      <c r="A505" s="39" t="s">
        <v>378</v>
      </c>
      <c r="C505" s="29" t="s">
        <v>1651</v>
      </c>
      <c r="D505" s="29" t="s">
        <v>1703</v>
      </c>
      <c r="E505" s="29" t="s">
        <v>381</v>
      </c>
      <c r="F505" s="32">
        <f>VLOOKUP(C505,'WSS-26'!$C$1:$AU$617,28,)</f>
        <v>229461.76262414351</v>
      </c>
      <c r="G505" s="32">
        <f t="shared" ref="G505:V505" si="531">IF(VLOOKUP($E505,$D$5:$V$970,3,)=0,0,(VLOOKUP($E505,$D$5:$V$970,G$1,)/VLOOKUP($E505,$D$5:$V$970,3,))*$F505)</f>
        <v>0</v>
      </c>
      <c r="H505" s="32">
        <f t="shared" si="531"/>
        <v>0</v>
      </c>
      <c r="I505" s="32">
        <f t="shared" si="531"/>
        <v>0</v>
      </c>
      <c r="J505" s="32">
        <f t="shared" si="531"/>
        <v>0</v>
      </c>
      <c r="K505" s="32">
        <f t="shared" si="531"/>
        <v>0</v>
      </c>
      <c r="L505" s="32">
        <f t="shared" si="531"/>
        <v>0</v>
      </c>
      <c r="M505" s="32">
        <f t="shared" si="531"/>
        <v>0</v>
      </c>
      <c r="N505" s="32">
        <f t="shared" si="531"/>
        <v>0</v>
      </c>
      <c r="O505" s="32">
        <f t="shared" si="531"/>
        <v>0</v>
      </c>
      <c r="P505" s="32">
        <f t="shared" si="531"/>
        <v>229461.76262414351</v>
      </c>
      <c r="Q505" s="32">
        <f t="shared" si="531"/>
        <v>0</v>
      </c>
      <c r="R505" s="32">
        <f t="shared" si="531"/>
        <v>0</v>
      </c>
      <c r="S505" s="32">
        <f t="shared" si="531"/>
        <v>0</v>
      </c>
      <c r="T505" s="32">
        <f t="shared" si="531"/>
        <v>0</v>
      </c>
      <c r="U505" s="32">
        <f t="shared" si="531"/>
        <v>0</v>
      </c>
      <c r="V505" s="32">
        <f t="shared" si="531"/>
        <v>0</v>
      </c>
      <c r="W505" s="34">
        <f t="shared" ref="W505" si="532">SUM(G505:V505)</f>
        <v>229461.76262414351</v>
      </c>
      <c r="X505" s="30" t="str">
        <f t="shared" ref="X505" si="533">IF(ABS(F505-W505)&lt;0.01,"ok","err")</f>
        <v>ok</v>
      </c>
      <c r="Y505" s="66" t="str">
        <f t="shared" ref="Y505" si="534">IF(X505="err",W505-F505,"")</f>
        <v/>
      </c>
    </row>
    <row r="506" spans="1:25" ht="12" customHeight="1" x14ac:dyDescent="0.25">
      <c r="F506" s="33"/>
    </row>
    <row r="507" spans="1:25" ht="12" customHeight="1" x14ac:dyDescent="0.25">
      <c r="A507" s="4" t="s">
        <v>279</v>
      </c>
      <c r="F507" s="33"/>
    </row>
    <row r="508" spans="1:25" ht="12" customHeight="1" x14ac:dyDescent="0.25">
      <c r="A508" s="39" t="s">
        <v>378</v>
      </c>
      <c r="C508" s="29" t="s">
        <v>1651</v>
      </c>
      <c r="D508" s="29" t="s">
        <v>1704</v>
      </c>
      <c r="E508" s="29" t="s">
        <v>382</v>
      </c>
      <c r="F508" s="32">
        <f>VLOOKUP(C508,'WSS-26'!$C$1:$AU$617,30,)</f>
        <v>0</v>
      </c>
      <c r="G508" s="32">
        <f t="shared" ref="G508:V508" si="535">IF(VLOOKUP($E508,$D$5:$V$970,3,)=0,0,(VLOOKUP($E508,$D$5:$V$970,G$1,)/VLOOKUP($E508,$D$5:$V$970,3,))*$F508)</f>
        <v>0</v>
      </c>
      <c r="H508" s="32">
        <f t="shared" si="535"/>
        <v>0</v>
      </c>
      <c r="I508" s="32">
        <f t="shared" si="535"/>
        <v>0</v>
      </c>
      <c r="J508" s="32">
        <f t="shared" si="535"/>
        <v>0</v>
      </c>
      <c r="K508" s="32">
        <f t="shared" si="535"/>
        <v>0</v>
      </c>
      <c r="L508" s="32">
        <f t="shared" si="535"/>
        <v>0</v>
      </c>
      <c r="M508" s="32">
        <f t="shared" si="535"/>
        <v>0</v>
      </c>
      <c r="N508" s="32">
        <f t="shared" si="535"/>
        <v>0</v>
      </c>
      <c r="O508" s="32">
        <f t="shared" si="535"/>
        <v>0</v>
      </c>
      <c r="P508" s="32">
        <f t="shared" si="535"/>
        <v>0</v>
      </c>
      <c r="Q508" s="32">
        <f t="shared" si="535"/>
        <v>0</v>
      </c>
      <c r="R508" s="32">
        <f t="shared" si="535"/>
        <v>0</v>
      </c>
      <c r="S508" s="32">
        <f t="shared" si="535"/>
        <v>0</v>
      </c>
      <c r="T508" s="32">
        <f t="shared" si="535"/>
        <v>0</v>
      </c>
      <c r="U508" s="32">
        <f t="shared" si="535"/>
        <v>0</v>
      </c>
      <c r="V508" s="32">
        <f t="shared" si="535"/>
        <v>0</v>
      </c>
      <c r="W508" s="34">
        <f t="shared" ref="W508" si="536">SUM(G508:V508)</f>
        <v>0</v>
      </c>
      <c r="X508" s="30" t="str">
        <f t="shared" ref="X508" si="537">IF(ABS(F508-W508)&lt;0.01,"ok","err")</f>
        <v>ok</v>
      </c>
      <c r="Y508" s="66" t="str">
        <f t="shared" ref="Y508" si="538">IF(X508="err",W508-F508,"")</f>
        <v/>
      </c>
    </row>
    <row r="509" spans="1:25" ht="12" customHeight="1" x14ac:dyDescent="0.25">
      <c r="F509" s="33"/>
    </row>
    <row r="510" spans="1:25" ht="12" customHeight="1" x14ac:dyDescent="0.25">
      <c r="A510" s="4" t="s">
        <v>1596</v>
      </c>
      <c r="F510" s="33"/>
    </row>
    <row r="511" spans="1:25" ht="12" customHeight="1" x14ac:dyDescent="0.25">
      <c r="A511" s="39" t="s">
        <v>378</v>
      </c>
      <c r="C511" s="29" t="s">
        <v>1651</v>
      </c>
      <c r="D511" s="29" t="s">
        <v>1705</v>
      </c>
      <c r="E511" s="29" t="s">
        <v>382</v>
      </c>
      <c r="F511" s="32">
        <f>VLOOKUP(C511,'WSS-26'!$C$1:$AU$617,32,)</f>
        <v>0</v>
      </c>
      <c r="G511" s="32">
        <f t="shared" ref="G511:V511" si="539">IF(VLOOKUP($E511,$D$5:$V$970,3,)=0,0,(VLOOKUP($E511,$D$5:$V$970,G$1,)/VLOOKUP($E511,$D$5:$V$970,3,))*$F511)</f>
        <v>0</v>
      </c>
      <c r="H511" s="32">
        <f t="shared" si="539"/>
        <v>0</v>
      </c>
      <c r="I511" s="32">
        <f t="shared" si="539"/>
        <v>0</v>
      </c>
      <c r="J511" s="32">
        <f t="shared" si="539"/>
        <v>0</v>
      </c>
      <c r="K511" s="32">
        <f t="shared" si="539"/>
        <v>0</v>
      </c>
      <c r="L511" s="32">
        <f t="shared" si="539"/>
        <v>0</v>
      </c>
      <c r="M511" s="32">
        <f t="shared" si="539"/>
        <v>0</v>
      </c>
      <c r="N511" s="32">
        <f t="shared" si="539"/>
        <v>0</v>
      </c>
      <c r="O511" s="32">
        <f t="shared" si="539"/>
        <v>0</v>
      </c>
      <c r="P511" s="32">
        <f t="shared" si="539"/>
        <v>0</v>
      </c>
      <c r="Q511" s="32">
        <f t="shared" si="539"/>
        <v>0</v>
      </c>
      <c r="R511" s="32">
        <f t="shared" si="539"/>
        <v>0</v>
      </c>
      <c r="S511" s="32">
        <f t="shared" si="539"/>
        <v>0</v>
      </c>
      <c r="T511" s="32">
        <f t="shared" si="539"/>
        <v>0</v>
      </c>
      <c r="U511" s="32">
        <f t="shared" si="539"/>
        <v>0</v>
      </c>
      <c r="V511" s="32">
        <f t="shared" si="539"/>
        <v>0</v>
      </c>
      <c r="W511" s="34">
        <f t="shared" ref="W511" si="540">SUM(G511:V511)</f>
        <v>0</v>
      </c>
      <c r="X511" s="30" t="str">
        <f t="shared" ref="X511" si="541">IF(ABS(F511-W511)&lt;0.01,"ok","err")</f>
        <v>ok</v>
      </c>
      <c r="Y511" s="66" t="str">
        <f t="shared" ref="Y511" si="542">IF(X511="err",W511-F511,"")</f>
        <v/>
      </c>
    </row>
    <row r="512" spans="1:25" ht="12" customHeight="1" x14ac:dyDescent="0.25">
      <c r="F512" s="33"/>
    </row>
    <row r="513" spans="1:25" ht="12" customHeight="1" x14ac:dyDescent="0.25">
      <c r="A513" s="4" t="s">
        <v>1595</v>
      </c>
      <c r="F513" s="33"/>
    </row>
    <row r="514" spans="1:25" ht="12" customHeight="1" x14ac:dyDescent="0.25">
      <c r="A514" s="39" t="s">
        <v>378</v>
      </c>
      <c r="C514" s="29" t="s">
        <v>1651</v>
      </c>
      <c r="D514" s="29" t="s">
        <v>1706</v>
      </c>
      <c r="E514" s="29" t="s">
        <v>383</v>
      </c>
      <c r="F514" s="32">
        <f>VLOOKUP(C514,'WSS-26'!$C$1:$AU$617,34,)</f>
        <v>0</v>
      </c>
      <c r="G514" s="32">
        <f t="shared" ref="G514:V514" si="543">IF(VLOOKUP($E514,$D$5:$V$970,3,)=0,0,(VLOOKUP($E514,$D$5:$V$970,G$1,)/VLOOKUP($E514,$D$5:$V$970,3,))*$F514)</f>
        <v>0</v>
      </c>
      <c r="H514" s="32">
        <f t="shared" si="543"/>
        <v>0</v>
      </c>
      <c r="I514" s="32">
        <f t="shared" si="543"/>
        <v>0</v>
      </c>
      <c r="J514" s="32">
        <f t="shared" si="543"/>
        <v>0</v>
      </c>
      <c r="K514" s="32">
        <f t="shared" si="543"/>
        <v>0</v>
      </c>
      <c r="L514" s="32">
        <f t="shared" si="543"/>
        <v>0</v>
      </c>
      <c r="M514" s="32">
        <f t="shared" si="543"/>
        <v>0</v>
      </c>
      <c r="N514" s="32">
        <f t="shared" si="543"/>
        <v>0</v>
      </c>
      <c r="O514" s="32">
        <f t="shared" si="543"/>
        <v>0</v>
      </c>
      <c r="P514" s="32">
        <f t="shared" si="543"/>
        <v>0</v>
      </c>
      <c r="Q514" s="32">
        <f t="shared" si="543"/>
        <v>0</v>
      </c>
      <c r="R514" s="32">
        <f t="shared" si="543"/>
        <v>0</v>
      </c>
      <c r="S514" s="32">
        <f t="shared" si="543"/>
        <v>0</v>
      </c>
      <c r="T514" s="32">
        <f t="shared" si="543"/>
        <v>0</v>
      </c>
      <c r="U514" s="32">
        <f t="shared" si="543"/>
        <v>0</v>
      </c>
      <c r="V514" s="32">
        <f t="shared" si="543"/>
        <v>0</v>
      </c>
      <c r="W514" s="34">
        <f t="shared" ref="W514" si="544">SUM(G514:V514)</f>
        <v>0</v>
      </c>
      <c r="X514" s="30" t="str">
        <f t="shared" ref="X514" si="545">IF(ABS(F514-W514)&lt;0.01,"ok","err")</f>
        <v>ok</v>
      </c>
      <c r="Y514" s="66" t="str">
        <f t="shared" ref="Y514" si="546">IF(X514="err",W514-F514,"")</f>
        <v/>
      </c>
    </row>
    <row r="515" spans="1:25" ht="12" customHeight="1" x14ac:dyDescent="0.25">
      <c r="F515" s="33"/>
    </row>
    <row r="516" spans="1:25" ht="12" customHeight="1" x14ac:dyDescent="0.25">
      <c r="A516" s="29" t="s">
        <v>62</v>
      </c>
      <c r="D516" s="29" t="s">
        <v>396</v>
      </c>
      <c r="F516" s="32">
        <f>F471+F477+F480+F483+F491+F496+F499+F502+F505+F508+F511+F514</f>
        <v>13428960.159154363</v>
      </c>
      <c r="G516" s="32">
        <f t="shared" ref="G516:T516" si="547">G471+G477+G480+G483+G491+G496+G499+G502+G505+G508+G511+G514</f>
        <v>6340457.1310382057</v>
      </c>
      <c r="H516" s="32">
        <f t="shared" si="547"/>
        <v>1534924.9425914476</v>
      </c>
      <c r="I516" s="32">
        <f>I471+I477+I480+I483+I491+I496+I499+I502+I505+I508+I511+I514</f>
        <v>92313.122700969456</v>
      </c>
      <c r="J516" s="32">
        <f>J471+J477+J480+J483+J491+J496+J499+J502+J505+J508+J511+J514</f>
        <v>1171323.2369121783</v>
      </c>
      <c r="K516" s="32">
        <f>K471+K477+K480+K483+K491+K496+K499+K502+K505+K508+K511+K514</f>
        <v>78656.518330944164</v>
      </c>
      <c r="L516" s="32">
        <f t="shared" si="547"/>
        <v>1028315.9944839411</v>
      </c>
      <c r="M516" s="32">
        <f t="shared" si="547"/>
        <v>2001311.7461681338</v>
      </c>
      <c r="N516" s="32">
        <f t="shared" si="547"/>
        <v>600393.55444905825</v>
      </c>
      <c r="O516" s="32">
        <f>O471+O477+O480+O483+O491+O496+O499+O502+O505+O508+O511+O514</f>
        <v>271578.62785239698</v>
      </c>
      <c r="P516" s="32">
        <f>P471+P477+P480+P483+P491+P496+P499+P502+P505+P508+P511+P514</f>
        <v>307901.93733436504</v>
      </c>
      <c r="Q516" s="32">
        <f t="shared" si="547"/>
        <v>332.53628080083257</v>
      </c>
      <c r="R516" s="32">
        <f t="shared" si="547"/>
        <v>951.94100888343155</v>
      </c>
      <c r="S516" s="32">
        <f t="shared" si="547"/>
        <v>498.87000303630566</v>
      </c>
      <c r="T516" s="32">
        <f t="shared" si="547"/>
        <v>0</v>
      </c>
      <c r="U516" s="32">
        <f t="shared" ref="U516:V516" si="548">U471+U477+U480+U483+U491+U496+U499+U502+U505+U508+U511+U514</f>
        <v>0</v>
      </c>
      <c r="V516" s="32">
        <f t="shared" si="548"/>
        <v>0</v>
      </c>
      <c r="W516" s="34">
        <f>SUM(G516:V516)</f>
        <v>13428960.159154363</v>
      </c>
      <c r="X516" s="30" t="str">
        <f>IF(ABS(F516-W516)&lt;0.01,"ok","err")</f>
        <v>ok</v>
      </c>
      <c r="Y516" s="34" t="str">
        <f>IF(X516="err",W516-F516,"")</f>
        <v/>
      </c>
    </row>
    <row r="517" spans="1:25" ht="12" customHeight="1" x14ac:dyDescent="0.25">
      <c r="F517" s="32"/>
      <c r="G517" s="32"/>
      <c r="H517" s="32"/>
      <c r="I517" s="32"/>
      <c r="J517" s="32"/>
      <c r="K517" s="32"/>
      <c r="L517" s="32"/>
      <c r="M517" s="32"/>
      <c r="N517" s="32"/>
      <c r="O517" s="32"/>
      <c r="P517" s="32"/>
      <c r="Q517" s="32"/>
      <c r="R517" s="32"/>
      <c r="S517" s="32"/>
      <c r="T517" s="32"/>
      <c r="U517" s="32"/>
      <c r="V517" s="32"/>
      <c r="W517" s="34"/>
      <c r="X517" s="30"/>
    </row>
    <row r="518" spans="1:25" ht="12" customHeight="1" x14ac:dyDescent="0.25">
      <c r="F518" s="32"/>
      <c r="G518" s="32"/>
      <c r="H518" s="32"/>
      <c r="I518" s="32"/>
      <c r="J518" s="32"/>
      <c r="K518" s="32"/>
      <c r="L518" s="32"/>
      <c r="M518" s="32"/>
      <c r="N518" s="32"/>
      <c r="O518" s="32"/>
      <c r="P518" s="32"/>
      <c r="Q518" s="32"/>
      <c r="R518" s="32"/>
      <c r="S518" s="32"/>
      <c r="T518" s="32"/>
      <c r="U518" s="32"/>
      <c r="V518" s="32"/>
      <c r="W518" s="34"/>
      <c r="X518" s="30"/>
    </row>
    <row r="519" spans="1:25" ht="12" customHeight="1" x14ac:dyDescent="0.25">
      <c r="F519" s="32"/>
      <c r="G519" s="32"/>
      <c r="H519" s="32"/>
      <c r="I519" s="32"/>
      <c r="J519" s="32"/>
      <c r="K519" s="32"/>
      <c r="L519" s="32"/>
      <c r="M519" s="32"/>
      <c r="N519" s="32"/>
      <c r="O519" s="32"/>
      <c r="P519" s="32"/>
      <c r="Q519" s="32"/>
      <c r="R519" s="32"/>
      <c r="S519" s="32"/>
      <c r="T519" s="32"/>
      <c r="U519" s="32"/>
      <c r="V519" s="32"/>
      <c r="W519" s="34"/>
      <c r="X519" s="30"/>
    </row>
    <row r="520" spans="1:25" ht="12" customHeight="1" x14ac:dyDescent="0.25">
      <c r="A520" s="3" t="s">
        <v>681</v>
      </c>
    </row>
    <row r="522" spans="1:25" ht="12" customHeight="1" x14ac:dyDescent="0.25">
      <c r="A522" s="4" t="s">
        <v>137</v>
      </c>
    </row>
    <row r="523" spans="1:25" ht="12" customHeight="1" x14ac:dyDescent="0.25">
      <c r="A523" s="39" t="s">
        <v>2133</v>
      </c>
      <c r="C523" s="29" t="s">
        <v>867</v>
      </c>
      <c r="D523" s="29" t="s">
        <v>1680</v>
      </c>
      <c r="E523" s="29" t="s">
        <v>2132</v>
      </c>
      <c r="F523" s="32">
        <f>VLOOKUP(C523,'WSS-26'!$C$1:$AU$617,6,)</f>
        <v>0</v>
      </c>
      <c r="G523" s="32">
        <f t="shared" ref="G523:V528" si="549">IF(VLOOKUP($E523,$D$5:$V$970,3,)=0,0,(VLOOKUP($E523,$D$5:$V$970,G$1,)/VLOOKUP($E523,$D$5:$V$970,3,))*$F523)</f>
        <v>0</v>
      </c>
      <c r="H523" s="32">
        <f t="shared" si="549"/>
        <v>0</v>
      </c>
      <c r="I523" s="32">
        <f t="shared" si="549"/>
        <v>0</v>
      </c>
      <c r="J523" s="32">
        <f t="shared" si="549"/>
        <v>0</v>
      </c>
      <c r="K523" s="32">
        <f t="shared" si="549"/>
        <v>0</v>
      </c>
      <c r="L523" s="32">
        <f t="shared" si="549"/>
        <v>0</v>
      </c>
      <c r="M523" s="32">
        <f t="shared" si="549"/>
        <v>0</v>
      </c>
      <c r="N523" s="32">
        <f t="shared" si="549"/>
        <v>0</v>
      </c>
      <c r="O523" s="32">
        <f t="shared" si="549"/>
        <v>0</v>
      </c>
      <c r="P523" s="32">
        <f t="shared" si="549"/>
        <v>0</v>
      </c>
      <c r="Q523" s="32">
        <f t="shared" si="549"/>
        <v>0</v>
      </c>
      <c r="R523" s="32">
        <f t="shared" si="549"/>
        <v>0</v>
      </c>
      <c r="S523" s="32">
        <f t="shared" si="549"/>
        <v>0</v>
      </c>
      <c r="T523" s="32">
        <f t="shared" si="549"/>
        <v>0</v>
      </c>
      <c r="U523" s="32">
        <f t="shared" si="549"/>
        <v>0</v>
      </c>
      <c r="V523" s="32">
        <f t="shared" si="549"/>
        <v>0</v>
      </c>
      <c r="W523" s="34">
        <f t="shared" ref="W523:W528" si="550">SUM(G523:V523)</f>
        <v>0</v>
      </c>
      <c r="X523" s="30" t="str">
        <f t="shared" ref="X523:X528" si="551">IF(ABS(F523-W523)&lt;0.01,"ok","err")</f>
        <v>ok</v>
      </c>
      <c r="Y523" s="66" t="str">
        <f t="shared" ref="Y523:Y528" si="552">IF(X523="err",W523-F523,"")</f>
        <v/>
      </c>
    </row>
    <row r="524" spans="1:25" ht="12" hidden="1" customHeight="1" x14ac:dyDescent="0.25">
      <c r="A524" s="39" t="s">
        <v>2134</v>
      </c>
      <c r="C524" s="29" t="s">
        <v>867</v>
      </c>
      <c r="D524" s="29" t="s">
        <v>1681</v>
      </c>
      <c r="E524" s="29" t="s">
        <v>2132</v>
      </c>
      <c r="F524" s="33">
        <f>VLOOKUP(C524,'WSS-26'!$C$1:$AU$617,7,)</f>
        <v>0</v>
      </c>
      <c r="G524" s="32">
        <f t="shared" si="549"/>
        <v>0</v>
      </c>
      <c r="H524" s="32">
        <f t="shared" si="549"/>
        <v>0</v>
      </c>
      <c r="I524" s="32">
        <f t="shared" si="549"/>
        <v>0</v>
      </c>
      <c r="J524" s="32">
        <f t="shared" si="549"/>
        <v>0</v>
      </c>
      <c r="K524" s="32">
        <f t="shared" si="549"/>
        <v>0</v>
      </c>
      <c r="L524" s="32">
        <f t="shared" si="549"/>
        <v>0</v>
      </c>
      <c r="M524" s="32">
        <f t="shared" si="549"/>
        <v>0</v>
      </c>
      <c r="N524" s="32">
        <f t="shared" si="549"/>
        <v>0</v>
      </c>
      <c r="O524" s="32">
        <f t="shared" si="549"/>
        <v>0</v>
      </c>
      <c r="P524" s="32">
        <f t="shared" si="549"/>
        <v>0</v>
      </c>
      <c r="Q524" s="32">
        <f t="shared" si="549"/>
        <v>0</v>
      </c>
      <c r="R524" s="32">
        <f t="shared" si="549"/>
        <v>0</v>
      </c>
      <c r="S524" s="32">
        <f t="shared" si="549"/>
        <v>0</v>
      </c>
      <c r="T524" s="32">
        <f t="shared" si="549"/>
        <v>0</v>
      </c>
      <c r="U524" s="32">
        <f t="shared" si="549"/>
        <v>0</v>
      </c>
      <c r="V524" s="32">
        <f t="shared" si="549"/>
        <v>0</v>
      </c>
      <c r="W524" s="34">
        <f t="shared" si="550"/>
        <v>0</v>
      </c>
      <c r="X524" s="30" t="str">
        <f t="shared" si="551"/>
        <v>ok</v>
      </c>
      <c r="Y524" s="66" t="str">
        <f t="shared" si="552"/>
        <v/>
      </c>
    </row>
    <row r="525" spans="1:25" ht="12" hidden="1" customHeight="1" x14ac:dyDescent="0.25">
      <c r="A525" s="39" t="s">
        <v>2134</v>
      </c>
      <c r="C525" s="29" t="s">
        <v>867</v>
      </c>
      <c r="D525" s="29" t="s">
        <v>1682</v>
      </c>
      <c r="E525" s="29" t="s">
        <v>2132</v>
      </c>
      <c r="F525" s="33">
        <f>VLOOKUP(C525,'WSS-26'!$C$1:$AU$617,8,)</f>
        <v>0</v>
      </c>
      <c r="G525" s="32">
        <f t="shared" si="549"/>
        <v>0</v>
      </c>
      <c r="H525" s="32">
        <f t="shared" si="549"/>
        <v>0</v>
      </c>
      <c r="I525" s="32">
        <f t="shared" si="549"/>
        <v>0</v>
      </c>
      <c r="J525" s="32">
        <f t="shared" si="549"/>
        <v>0</v>
      </c>
      <c r="K525" s="32">
        <f t="shared" si="549"/>
        <v>0</v>
      </c>
      <c r="L525" s="32">
        <f t="shared" si="549"/>
        <v>0</v>
      </c>
      <c r="M525" s="32">
        <f t="shared" si="549"/>
        <v>0</v>
      </c>
      <c r="N525" s="32">
        <f t="shared" si="549"/>
        <v>0</v>
      </c>
      <c r="O525" s="32">
        <f t="shared" si="549"/>
        <v>0</v>
      </c>
      <c r="P525" s="32">
        <f t="shared" si="549"/>
        <v>0</v>
      </c>
      <c r="Q525" s="32">
        <f t="shared" si="549"/>
        <v>0</v>
      </c>
      <c r="R525" s="32">
        <f t="shared" si="549"/>
        <v>0</v>
      </c>
      <c r="S525" s="32">
        <f t="shared" si="549"/>
        <v>0</v>
      </c>
      <c r="T525" s="32">
        <f t="shared" si="549"/>
        <v>0</v>
      </c>
      <c r="U525" s="32">
        <f t="shared" si="549"/>
        <v>0</v>
      </c>
      <c r="V525" s="32">
        <f t="shared" si="549"/>
        <v>0</v>
      </c>
      <c r="W525" s="34">
        <f t="shared" si="550"/>
        <v>0</v>
      </c>
      <c r="X525" s="30" t="str">
        <f t="shared" si="551"/>
        <v>ok</v>
      </c>
      <c r="Y525" s="66" t="str">
        <f t="shared" si="552"/>
        <v/>
      </c>
    </row>
    <row r="526" spans="1:25" ht="12" customHeight="1" x14ac:dyDescent="0.25">
      <c r="A526" s="39" t="s">
        <v>2136</v>
      </c>
      <c r="C526" s="29" t="s">
        <v>867</v>
      </c>
      <c r="D526" s="29" t="s">
        <v>1683</v>
      </c>
      <c r="E526" s="29" t="s">
        <v>376</v>
      </c>
      <c r="F526" s="33">
        <f>VLOOKUP(C526,'WSS-26'!$C$1:$AU$617,9,)</f>
        <v>0</v>
      </c>
      <c r="G526" s="32">
        <f t="shared" si="549"/>
        <v>0</v>
      </c>
      <c r="H526" s="32">
        <f t="shared" si="549"/>
        <v>0</v>
      </c>
      <c r="I526" s="32">
        <f t="shared" si="549"/>
        <v>0</v>
      </c>
      <c r="J526" s="32">
        <f t="shared" si="549"/>
        <v>0</v>
      </c>
      <c r="K526" s="32">
        <f t="shared" si="549"/>
        <v>0</v>
      </c>
      <c r="L526" s="32">
        <f t="shared" si="549"/>
        <v>0</v>
      </c>
      <c r="M526" s="32">
        <f t="shared" si="549"/>
        <v>0</v>
      </c>
      <c r="N526" s="32">
        <f t="shared" si="549"/>
        <v>0</v>
      </c>
      <c r="O526" s="32">
        <f t="shared" si="549"/>
        <v>0</v>
      </c>
      <c r="P526" s="32">
        <f t="shared" si="549"/>
        <v>0</v>
      </c>
      <c r="Q526" s="32">
        <f t="shared" si="549"/>
        <v>0</v>
      </c>
      <c r="R526" s="32">
        <f t="shared" si="549"/>
        <v>0</v>
      </c>
      <c r="S526" s="32">
        <f t="shared" si="549"/>
        <v>0</v>
      </c>
      <c r="T526" s="32">
        <f t="shared" si="549"/>
        <v>0</v>
      </c>
      <c r="U526" s="32">
        <f t="shared" si="549"/>
        <v>0</v>
      </c>
      <c r="V526" s="32">
        <f t="shared" si="549"/>
        <v>0</v>
      </c>
      <c r="W526" s="34">
        <f t="shared" si="550"/>
        <v>0</v>
      </c>
      <c r="X526" s="30" t="str">
        <f t="shared" si="551"/>
        <v>ok</v>
      </c>
      <c r="Y526" s="66" t="str">
        <f t="shared" si="552"/>
        <v/>
      </c>
    </row>
    <row r="527" spans="1:25" ht="12" hidden="1" customHeight="1" x14ac:dyDescent="0.25">
      <c r="A527" s="39" t="s">
        <v>2135</v>
      </c>
      <c r="C527" s="29" t="s">
        <v>867</v>
      </c>
      <c r="D527" s="29" t="s">
        <v>1684</v>
      </c>
      <c r="E527" s="29" t="s">
        <v>376</v>
      </c>
      <c r="F527" s="33">
        <f>VLOOKUP(C527,'WSS-26'!$C$1:$AU$617,10,)</f>
        <v>0</v>
      </c>
      <c r="G527" s="32">
        <f t="shared" si="549"/>
        <v>0</v>
      </c>
      <c r="H527" s="32">
        <f t="shared" si="549"/>
        <v>0</v>
      </c>
      <c r="I527" s="32">
        <f t="shared" si="549"/>
        <v>0</v>
      </c>
      <c r="J527" s="32">
        <f t="shared" si="549"/>
        <v>0</v>
      </c>
      <c r="K527" s="32">
        <f t="shared" si="549"/>
        <v>0</v>
      </c>
      <c r="L527" s="32">
        <f t="shared" si="549"/>
        <v>0</v>
      </c>
      <c r="M527" s="32">
        <f t="shared" si="549"/>
        <v>0</v>
      </c>
      <c r="N527" s="32">
        <f t="shared" si="549"/>
        <v>0</v>
      </c>
      <c r="O527" s="32">
        <f t="shared" si="549"/>
        <v>0</v>
      </c>
      <c r="P527" s="32">
        <f t="shared" si="549"/>
        <v>0</v>
      </c>
      <c r="Q527" s="32">
        <f t="shared" si="549"/>
        <v>0</v>
      </c>
      <c r="R527" s="32">
        <f t="shared" si="549"/>
        <v>0</v>
      </c>
      <c r="S527" s="32">
        <f t="shared" si="549"/>
        <v>0</v>
      </c>
      <c r="T527" s="32">
        <f t="shared" si="549"/>
        <v>0</v>
      </c>
      <c r="U527" s="32">
        <f t="shared" si="549"/>
        <v>0</v>
      </c>
      <c r="V527" s="32">
        <f t="shared" si="549"/>
        <v>0</v>
      </c>
      <c r="W527" s="34">
        <f t="shared" si="550"/>
        <v>0</v>
      </c>
      <c r="X527" s="30" t="str">
        <f t="shared" si="551"/>
        <v>ok</v>
      </c>
      <c r="Y527" s="66" t="str">
        <f t="shared" si="552"/>
        <v/>
      </c>
    </row>
    <row r="528" spans="1:25" ht="12" hidden="1" customHeight="1" x14ac:dyDescent="0.25">
      <c r="A528" s="39" t="s">
        <v>2135</v>
      </c>
      <c r="C528" s="29" t="s">
        <v>867</v>
      </c>
      <c r="D528" s="29" t="s">
        <v>1685</v>
      </c>
      <c r="E528" s="29" t="s">
        <v>376</v>
      </c>
      <c r="F528" s="33">
        <f>VLOOKUP(C528,'WSS-26'!$C$1:$AU$617,11,)</f>
        <v>0</v>
      </c>
      <c r="G528" s="32">
        <f t="shared" si="549"/>
        <v>0</v>
      </c>
      <c r="H528" s="32">
        <f t="shared" si="549"/>
        <v>0</v>
      </c>
      <c r="I528" s="32">
        <f t="shared" si="549"/>
        <v>0</v>
      </c>
      <c r="J528" s="32">
        <f t="shared" si="549"/>
        <v>0</v>
      </c>
      <c r="K528" s="32">
        <f t="shared" si="549"/>
        <v>0</v>
      </c>
      <c r="L528" s="32">
        <f t="shared" si="549"/>
        <v>0</v>
      </c>
      <c r="M528" s="32">
        <f t="shared" si="549"/>
        <v>0</v>
      </c>
      <c r="N528" s="32">
        <f t="shared" si="549"/>
        <v>0</v>
      </c>
      <c r="O528" s="32">
        <f t="shared" si="549"/>
        <v>0</v>
      </c>
      <c r="P528" s="32">
        <f t="shared" si="549"/>
        <v>0</v>
      </c>
      <c r="Q528" s="32">
        <f t="shared" si="549"/>
        <v>0</v>
      </c>
      <c r="R528" s="32">
        <f t="shared" si="549"/>
        <v>0</v>
      </c>
      <c r="S528" s="32">
        <f t="shared" si="549"/>
        <v>0</v>
      </c>
      <c r="T528" s="32">
        <f t="shared" si="549"/>
        <v>0</v>
      </c>
      <c r="U528" s="32">
        <f t="shared" si="549"/>
        <v>0</v>
      </c>
      <c r="V528" s="32">
        <f t="shared" si="549"/>
        <v>0</v>
      </c>
      <c r="W528" s="34">
        <f t="shared" si="550"/>
        <v>0</v>
      </c>
      <c r="X528" s="30" t="str">
        <f t="shared" si="551"/>
        <v>ok</v>
      </c>
      <c r="Y528" s="66" t="str">
        <f t="shared" si="552"/>
        <v/>
      </c>
    </row>
    <row r="529" spans="1:25" ht="12" customHeight="1" x14ac:dyDescent="0.25">
      <c r="A529" s="29" t="s">
        <v>160</v>
      </c>
      <c r="D529" s="29" t="s">
        <v>395</v>
      </c>
      <c r="F529" s="32">
        <f t="shared" ref="F529:T529" si="553">SUM(F523:F528)</f>
        <v>0</v>
      </c>
      <c r="G529" s="32">
        <f t="shared" si="553"/>
        <v>0</v>
      </c>
      <c r="H529" s="32">
        <f t="shared" si="553"/>
        <v>0</v>
      </c>
      <c r="I529" s="32">
        <f>SUM(I523:I528)</f>
        <v>0</v>
      </c>
      <c r="J529" s="32">
        <f>SUM(J523:J528)</f>
        <v>0</v>
      </c>
      <c r="K529" s="32">
        <f>SUM(K523:K528)</f>
        <v>0</v>
      </c>
      <c r="L529" s="32">
        <f t="shared" si="553"/>
        <v>0</v>
      </c>
      <c r="M529" s="32">
        <f t="shared" si="553"/>
        <v>0</v>
      </c>
      <c r="N529" s="32">
        <f t="shared" si="553"/>
        <v>0</v>
      </c>
      <c r="O529" s="32">
        <f t="shared" si="553"/>
        <v>0</v>
      </c>
      <c r="P529" s="32">
        <f>SUM(P523:P528)</f>
        <v>0</v>
      </c>
      <c r="Q529" s="32">
        <f t="shared" si="553"/>
        <v>0</v>
      </c>
      <c r="R529" s="32">
        <f t="shared" si="553"/>
        <v>0</v>
      </c>
      <c r="S529" s="32">
        <f t="shared" si="553"/>
        <v>0</v>
      </c>
      <c r="T529" s="32">
        <f t="shared" si="553"/>
        <v>0</v>
      </c>
      <c r="U529" s="32">
        <f t="shared" ref="U529:V529" si="554">SUM(U523:U528)</f>
        <v>0</v>
      </c>
      <c r="V529" s="32">
        <f t="shared" si="554"/>
        <v>0</v>
      </c>
      <c r="W529" s="34">
        <f t="shared" ref="W529" si="555">SUM(G529:V529)</f>
        <v>0</v>
      </c>
      <c r="X529" s="30" t="str">
        <f t="shared" ref="X529" si="556">IF(ABS(F529-W529)&lt;0.01,"ok","err")</f>
        <v>ok</v>
      </c>
      <c r="Y529" s="34" t="str">
        <f t="shared" ref="Y529" si="557">IF(X529="err",W529-F529,"")</f>
        <v/>
      </c>
    </row>
    <row r="530" spans="1:25" ht="12" customHeight="1" x14ac:dyDescent="0.25">
      <c r="F530" s="33"/>
      <c r="G530" s="33"/>
    </row>
    <row r="531" spans="1:25" ht="12" customHeight="1" x14ac:dyDescent="0.25">
      <c r="A531" s="4" t="s">
        <v>426</v>
      </c>
      <c r="F531" s="33"/>
      <c r="G531" s="33"/>
    </row>
    <row r="532" spans="1:25" ht="12" customHeight="1" x14ac:dyDescent="0.25">
      <c r="A532" s="39" t="s">
        <v>2124</v>
      </c>
      <c r="C532" s="29" t="s">
        <v>867</v>
      </c>
      <c r="D532" s="29" t="s">
        <v>1686</v>
      </c>
      <c r="E532" s="29" t="s">
        <v>2125</v>
      </c>
      <c r="F532" s="32">
        <f>VLOOKUP(C532,'WSS-26'!$C$1:$AU$617,13,)</f>
        <v>0</v>
      </c>
      <c r="G532" s="32">
        <f t="shared" ref="G532:V534" si="558">IF(VLOOKUP($E532,$D$5:$V$970,3,)=0,0,(VLOOKUP($E532,$D$5:$V$970,G$1,)/VLOOKUP($E532,$D$5:$V$970,3,))*$F532)</f>
        <v>0</v>
      </c>
      <c r="H532" s="32">
        <f t="shared" si="558"/>
        <v>0</v>
      </c>
      <c r="I532" s="32">
        <f t="shared" si="558"/>
        <v>0</v>
      </c>
      <c r="J532" s="32">
        <f t="shared" si="558"/>
        <v>0</v>
      </c>
      <c r="K532" s="32">
        <f t="shared" si="558"/>
        <v>0</v>
      </c>
      <c r="L532" s="32">
        <f t="shared" si="558"/>
        <v>0</v>
      </c>
      <c r="M532" s="32">
        <f t="shared" si="558"/>
        <v>0</v>
      </c>
      <c r="N532" s="32">
        <f t="shared" si="558"/>
        <v>0</v>
      </c>
      <c r="O532" s="32">
        <f t="shared" si="558"/>
        <v>0</v>
      </c>
      <c r="P532" s="32">
        <f t="shared" si="558"/>
        <v>0</v>
      </c>
      <c r="Q532" s="32">
        <f t="shared" si="558"/>
        <v>0</v>
      </c>
      <c r="R532" s="32">
        <f t="shared" si="558"/>
        <v>0</v>
      </c>
      <c r="S532" s="32">
        <f t="shared" si="558"/>
        <v>0</v>
      </c>
      <c r="T532" s="32">
        <f t="shared" si="558"/>
        <v>0</v>
      </c>
      <c r="U532" s="32">
        <f t="shared" si="558"/>
        <v>0</v>
      </c>
      <c r="V532" s="32">
        <f t="shared" si="558"/>
        <v>0</v>
      </c>
      <c r="W532" s="34">
        <f t="shared" ref="W532" si="559">SUM(G532:V532)</f>
        <v>0</v>
      </c>
      <c r="X532" s="30" t="str">
        <f t="shared" ref="X532" si="560">IF(ABS(F532-W532)&lt;0.01,"ok","err")</f>
        <v>ok</v>
      </c>
      <c r="Y532" s="66" t="str">
        <f t="shared" ref="Y532" si="561">IF(X532="err",W532-F532,"")</f>
        <v/>
      </c>
    </row>
    <row r="533" spans="1:25" ht="12" hidden="1" customHeight="1" x14ac:dyDescent="0.25">
      <c r="A533" s="39" t="s">
        <v>2123</v>
      </c>
      <c r="C533" s="29" t="s">
        <v>867</v>
      </c>
      <c r="D533" s="29" t="s">
        <v>1687</v>
      </c>
      <c r="E533" s="29" t="s">
        <v>2125</v>
      </c>
      <c r="F533" s="33">
        <f>VLOOKUP(C533,'WSS-26'!$C$1:$AU$617,14,)</f>
        <v>0</v>
      </c>
      <c r="G533" s="32">
        <f t="shared" si="558"/>
        <v>0</v>
      </c>
      <c r="H533" s="32">
        <f t="shared" si="558"/>
        <v>0</v>
      </c>
      <c r="I533" s="32">
        <f t="shared" si="558"/>
        <v>0</v>
      </c>
      <c r="J533" s="32">
        <f t="shared" si="558"/>
        <v>0</v>
      </c>
      <c r="K533" s="32">
        <f t="shared" si="558"/>
        <v>0</v>
      </c>
      <c r="L533" s="32">
        <f t="shared" si="558"/>
        <v>0</v>
      </c>
      <c r="M533" s="32">
        <f t="shared" si="558"/>
        <v>0</v>
      </c>
      <c r="N533" s="32">
        <f t="shared" si="558"/>
        <v>0</v>
      </c>
      <c r="O533" s="32">
        <f t="shared" si="558"/>
        <v>0</v>
      </c>
      <c r="P533" s="32">
        <f t="shared" si="558"/>
        <v>0</v>
      </c>
      <c r="Q533" s="32">
        <f t="shared" si="558"/>
        <v>0</v>
      </c>
      <c r="R533" s="32">
        <f t="shared" si="558"/>
        <v>0</v>
      </c>
      <c r="S533" s="32">
        <f t="shared" si="558"/>
        <v>0</v>
      </c>
      <c r="T533" s="32">
        <f t="shared" si="558"/>
        <v>0</v>
      </c>
      <c r="U533" s="32">
        <f t="shared" si="558"/>
        <v>0</v>
      </c>
      <c r="V533" s="32">
        <f t="shared" si="558"/>
        <v>0</v>
      </c>
      <c r="W533" s="34">
        <f>SUM(G533:V533)</f>
        <v>0</v>
      </c>
      <c r="X533" s="30" t="str">
        <f t="shared" ref="X533:X534" si="562">IF(ABS(F533-W533)&lt;0.01,"ok","err")</f>
        <v>ok</v>
      </c>
      <c r="Y533" s="66" t="str">
        <f t="shared" ref="Y533:Y534" si="563">IF(X533="err",W533-F533,"")</f>
        <v/>
      </c>
    </row>
    <row r="534" spans="1:25" ht="12" hidden="1" customHeight="1" x14ac:dyDescent="0.25">
      <c r="A534" s="39" t="s">
        <v>2123</v>
      </c>
      <c r="C534" s="29" t="s">
        <v>867</v>
      </c>
      <c r="D534" s="29" t="s">
        <v>1688</v>
      </c>
      <c r="E534" s="29" t="s">
        <v>2125</v>
      </c>
      <c r="F534" s="33">
        <f>VLOOKUP(C534,'WSS-26'!$C$1:$AU$617,15,)</f>
        <v>0</v>
      </c>
      <c r="G534" s="32">
        <f t="shared" si="558"/>
        <v>0</v>
      </c>
      <c r="H534" s="32">
        <f t="shared" si="558"/>
        <v>0</v>
      </c>
      <c r="I534" s="32">
        <f t="shared" si="558"/>
        <v>0</v>
      </c>
      <c r="J534" s="32">
        <f t="shared" si="558"/>
        <v>0</v>
      </c>
      <c r="K534" s="32">
        <f t="shared" si="558"/>
        <v>0</v>
      </c>
      <c r="L534" s="32">
        <f t="shared" si="558"/>
        <v>0</v>
      </c>
      <c r="M534" s="32">
        <f t="shared" si="558"/>
        <v>0</v>
      </c>
      <c r="N534" s="32">
        <f t="shared" si="558"/>
        <v>0</v>
      </c>
      <c r="O534" s="32">
        <f t="shared" si="558"/>
        <v>0</v>
      </c>
      <c r="P534" s="32">
        <f t="shared" si="558"/>
        <v>0</v>
      </c>
      <c r="Q534" s="32">
        <f t="shared" si="558"/>
        <v>0</v>
      </c>
      <c r="R534" s="32">
        <f t="shared" si="558"/>
        <v>0</v>
      </c>
      <c r="S534" s="32">
        <f t="shared" si="558"/>
        <v>0</v>
      </c>
      <c r="T534" s="32">
        <f t="shared" si="558"/>
        <v>0</v>
      </c>
      <c r="U534" s="32">
        <f t="shared" si="558"/>
        <v>0</v>
      </c>
      <c r="V534" s="32">
        <f t="shared" si="558"/>
        <v>0</v>
      </c>
      <c r="W534" s="34">
        <f>SUM(G534:V534)</f>
        <v>0</v>
      </c>
      <c r="X534" s="30" t="str">
        <f t="shared" si="562"/>
        <v>ok</v>
      </c>
      <c r="Y534" s="66" t="str">
        <f t="shared" si="563"/>
        <v/>
      </c>
    </row>
    <row r="535" spans="1:25" ht="12" hidden="1" customHeight="1" x14ac:dyDescent="0.25">
      <c r="A535" s="29" t="s">
        <v>428</v>
      </c>
      <c r="D535" s="29" t="s">
        <v>1689</v>
      </c>
      <c r="F535" s="32">
        <f t="shared" ref="F535:T535" si="564">SUM(F532:F534)</f>
        <v>0</v>
      </c>
      <c r="G535" s="32">
        <f t="shared" si="564"/>
        <v>0</v>
      </c>
      <c r="H535" s="32">
        <f t="shared" si="564"/>
        <v>0</v>
      </c>
      <c r="I535" s="32">
        <f>SUM(I532:I534)</f>
        <v>0</v>
      </c>
      <c r="J535" s="32">
        <f>SUM(J532:J534)</f>
        <v>0</v>
      </c>
      <c r="K535" s="32">
        <f>SUM(K532:K534)</f>
        <v>0</v>
      </c>
      <c r="L535" s="32">
        <f t="shared" si="564"/>
        <v>0</v>
      </c>
      <c r="M535" s="32">
        <f t="shared" si="564"/>
        <v>0</v>
      </c>
      <c r="N535" s="32">
        <f t="shared" si="564"/>
        <v>0</v>
      </c>
      <c r="O535" s="32">
        <f t="shared" si="564"/>
        <v>0</v>
      </c>
      <c r="P535" s="32">
        <f>SUM(P532:P534)</f>
        <v>0</v>
      </c>
      <c r="Q535" s="32">
        <f t="shared" si="564"/>
        <v>0</v>
      </c>
      <c r="R535" s="32">
        <f t="shared" si="564"/>
        <v>0</v>
      </c>
      <c r="S535" s="32">
        <f t="shared" si="564"/>
        <v>0</v>
      </c>
      <c r="T535" s="32">
        <f t="shared" si="564"/>
        <v>0</v>
      </c>
      <c r="U535" s="32">
        <f t="shared" ref="U535:V535" si="565">SUM(U532:U534)</f>
        <v>0</v>
      </c>
      <c r="V535" s="32">
        <f t="shared" si="565"/>
        <v>0</v>
      </c>
      <c r="W535" s="34">
        <f>SUM(G535:V535)</f>
        <v>0</v>
      </c>
      <c r="X535" s="30" t="str">
        <f>IF(ABS(F535-W535)&lt;0.01,"ok","err")</f>
        <v>ok</v>
      </c>
      <c r="Y535" s="34" t="str">
        <f>IF(X535="err",W535-F535,"")</f>
        <v/>
      </c>
    </row>
    <row r="536" spans="1:25" ht="12" customHeight="1" x14ac:dyDescent="0.25">
      <c r="F536" s="33"/>
      <c r="G536" s="33"/>
    </row>
    <row r="537" spans="1:25" ht="12" customHeight="1" x14ac:dyDescent="0.25">
      <c r="A537" s="4" t="s">
        <v>1593</v>
      </c>
      <c r="F537" s="33"/>
      <c r="G537" s="33"/>
    </row>
    <row r="538" spans="1:25" ht="12" customHeight="1" x14ac:dyDescent="0.25">
      <c r="A538" s="39" t="s">
        <v>145</v>
      </c>
      <c r="C538" s="29" t="s">
        <v>867</v>
      </c>
      <c r="D538" s="29" t="s">
        <v>1690</v>
      </c>
      <c r="E538" s="29" t="s">
        <v>2129</v>
      </c>
      <c r="F538" s="32">
        <f>VLOOKUP(C538,'WSS-26'!$C$1:$AU$617,17,)</f>
        <v>0</v>
      </c>
      <c r="G538" s="32">
        <f t="shared" ref="G538:V538" si="566">IF(VLOOKUP($E538,$D$5:$V$970,3,)=0,0,(VLOOKUP($E538,$D$5:$V$970,G$1,)/VLOOKUP($E538,$D$5:$V$970,3,))*$F538)</f>
        <v>0</v>
      </c>
      <c r="H538" s="32">
        <f t="shared" si="566"/>
        <v>0</v>
      </c>
      <c r="I538" s="32">
        <f t="shared" si="566"/>
        <v>0</v>
      </c>
      <c r="J538" s="32">
        <f t="shared" si="566"/>
        <v>0</v>
      </c>
      <c r="K538" s="32">
        <f t="shared" si="566"/>
        <v>0</v>
      </c>
      <c r="L538" s="32">
        <f t="shared" si="566"/>
        <v>0</v>
      </c>
      <c r="M538" s="32">
        <f t="shared" si="566"/>
        <v>0</v>
      </c>
      <c r="N538" s="32">
        <f t="shared" si="566"/>
        <v>0</v>
      </c>
      <c r="O538" s="32">
        <f t="shared" si="566"/>
        <v>0</v>
      </c>
      <c r="P538" s="32">
        <f t="shared" si="566"/>
        <v>0</v>
      </c>
      <c r="Q538" s="32">
        <f t="shared" si="566"/>
        <v>0</v>
      </c>
      <c r="R538" s="32">
        <f t="shared" si="566"/>
        <v>0</v>
      </c>
      <c r="S538" s="32">
        <f t="shared" si="566"/>
        <v>0</v>
      </c>
      <c r="T538" s="32">
        <f t="shared" si="566"/>
        <v>0</v>
      </c>
      <c r="U538" s="32">
        <f t="shared" si="566"/>
        <v>0</v>
      </c>
      <c r="V538" s="32">
        <f t="shared" si="566"/>
        <v>0</v>
      </c>
      <c r="W538" s="34">
        <f t="shared" ref="W538" si="567">SUM(G538:V538)</f>
        <v>0</v>
      </c>
      <c r="X538" s="30" t="str">
        <f t="shared" ref="X538" si="568">IF(ABS(F538-W538)&lt;0.01,"ok","err")</f>
        <v>ok</v>
      </c>
      <c r="Y538" s="66" t="str">
        <f t="shared" ref="Y538" si="569">IF(X538="err",W538-F538,"")</f>
        <v/>
      </c>
    </row>
    <row r="539" spans="1:25" ht="12" customHeight="1" x14ac:dyDescent="0.25">
      <c r="F539" s="33"/>
    </row>
    <row r="540" spans="1:25" ht="12" customHeight="1" x14ac:dyDescent="0.25">
      <c r="A540" s="4" t="s">
        <v>1594</v>
      </c>
      <c r="F540" s="33"/>
      <c r="G540" s="33"/>
    </row>
    <row r="541" spans="1:25" ht="12" customHeight="1" x14ac:dyDescent="0.25">
      <c r="A541" s="39" t="s">
        <v>147</v>
      </c>
      <c r="C541" s="29" t="s">
        <v>867</v>
      </c>
      <c r="D541" s="29" t="s">
        <v>1691</v>
      </c>
      <c r="E541" s="29" t="s">
        <v>2129</v>
      </c>
      <c r="F541" s="32">
        <f>VLOOKUP(C541,'WSS-26'!$C$1:$AU$617,18,)</f>
        <v>0</v>
      </c>
      <c r="G541" s="32">
        <f t="shared" ref="G541:V541" si="570">IF(VLOOKUP($E541,$D$5:$V$970,3,)=0,0,(VLOOKUP($E541,$D$5:$V$970,G$1,)/VLOOKUP($E541,$D$5:$V$970,3,))*$F541)</f>
        <v>0</v>
      </c>
      <c r="H541" s="32">
        <f t="shared" si="570"/>
        <v>0</v>
      </c>
      <c r="I541" s="32">
        <f t="shared" si="570"/>
        <v>0</v>
      </c>
      <c r="J541" s="32">
        <f t="shared" si="570"/>
        <v>0</v>
      </c>
      <c r="K541" s="32">
        <f t="shared" si="570"/>
        <v>0</v>
      </c>
      <c r="L541" s="32">
        <f t="shared" si="570"/>
        <v>0</v>
      </c>
      <c r="M541" s="32">
        <f t="shared" si="570"/>
        <v>0</v>
      </c>
      <c r="N541" s="32">
        <f t="shared" si="570"/>
        <v>0</v>
      </c>
      <c r="O541" s="32">
        <f t="shared" si="570"/>
        <v>0</v>
      </c>
      <c r="P541" s="32">
        <f t="shared" si="570"/>
        <v>0</v>
      </c>
      <c r="Q541" s="32">
        <f t="shared" si="570"/>
        <v>0</v>
      </c>
      <c r="R541" s="32">
        <f t="shared" si="570"/>
        <v>0</v>
      </c>
      <c r="S541" s="32">
        <f t="shared" si="570"/>
        <v>0</v>
      </c>
      <c r="T541" s="32">
        <f t="shared" si="570"/>
        <v>0</v>
      </c>
      <c r="U541" s="32">
        <f t="shared" si="570"/>
        <v>0</v>
      </c>
      <c r="V541" s="32">
        <f t="shared" si="570"/>
        <v>0</v>
      </c>
      <c r="W541" s="34">
        <f t="shared" ref="W541" si="571">SUM(G541:V541)</f>
        <v>0</v>
      </c>
      <c r="X541" s="30" t="str">
        <f t="shared" ref="X541" si="572">IF(ABS(F541-W541)&lt;0.01,"ok","err")</f>
        <v>ok</v>
      </c>
      <c r="Y541" s="66" t="str">
        <f t="shared" ref="Y541" si="573">IF(X541="err",W541-F541,"")</f>
        <v/>
      </c>
    </row>
    <row r="542" spans="1:25" ht="12" customHeight="1" x14ac:dyDescent="0.25">
      <c r="F542" s="33"/>
    </row>
    <row r="543" spans="1:25" ht="12" customHeight="1" x14ac:dyDescent="0.25">
      <c r="A543" s="4" t="s">
        <v>146</v>
      </c>
      <c r="F543" s="33"/>
    </row>
    <row r="544" spans="1:25" ht="12" customHeight="1" x14ac:dyDescent="0.25">
      <c r="A544" s="39" t="s">
        <v>767</v>
      </c>
      <c r="C544" s="29" t="s">
        <v>867</v>
      </c>
      <c r="D544" s="29" t="s">
        <v>1692</v>
      </c>
      <c r="E544" s="29" t="s">
        <v>2129</v>
      </c>
      <c r="F544" s="32">
        <f>VLOOKUP(C544,'WSS-26'!$C$1:$AU$617,19,)</f>
        <v>0</v>
      </c>
      <c r="G544" s="32">
        <f t="shared" ref="G544:V548" si="574">IF(VLOOKUP($E544,$D$5:$V$970,3,)=0,0,(VLOOKUP($E544,$D$5:$V$970,G$1,)/VLOOKUP($E544,$D$5:$V$970,3,))*$F544)</f>
        <v>0</v>
      </c>
      <c r="H544" s="32">
        <f t="shared" si="574"/>
        <v>0</v>
      </c>
      <c r="I544" s="32">
        <f t="shared" si="574"/>
        <v>0</v>
      </c>
      <c r="J544" s="32">
        <f t="shared" si="574"/>
        <v>0</v>
      </c>
      <c r="K544" s="32">
        <f t="shared" si="574"/>
        <v>0</v>
      </c>
      <c r="L544" s="32">
        <f t="shared" si="574"/>
        <v>0</v>
      </c>
      <c r="M544" s="32">
        <f t="shared" si="574"/>
        <v>0</v>
      </c>
      <c r="N544" s="32">
        <f t="shared" si="574"/>
        <v>0</v>
      </c>
      <c r="O544" s="32">
        <f t="shared" si="574"/>
        <v>0</v>
      </c>
      <c r="P544" s="32">
        <f t="shared" si="574"/>
        <v>0</v>
      </c>
      <c r="Q544" s="32">
        <f t="shared" si="574"/>
        <v>0</v>
      </c>
      <c r="R544" s="32">
        <f t="shared" si="574"/>
        <v>0</v>
      </c>
      <c r="S544" s="32">
        <f t="shared" si="574"/>
        <v>0</v>
      </c>
      <c r="T544" s="32">
        <f t="shared" si="574"/>
        <v>0</v>
      </c>
      <c r="U544" s="32">
        <f t="shared" si="574"/>
        <v>0</v>
      </c>
      <c r="V544" s="32">
        <f t="shared" si="574"/>
        <v>0</v>
      </c>
      <c r="W544" s="34">
        <f t="shared" ref="W544:W548" si="575">SUM(G544:V544)</f>
        <v>0</v>
      </c>
      <c r="X544" s="30" t="str">
        <f t="shared" ref="X544:X548" si="576">IF(ABS(F544-W544)&lt;0.01,"ok","err")</f>
        <v>ok</v>
      </c>
      <c r="Y544" s="66" t="str">
        <f t="shared" ref="Y544:Y548" si="577">IF(X544="err",W544-F544,"")</f>
        <v/>
      </c>
    </row>
    <row r="545" spans="1:25" ht="12" customHeight="1" x14ac:dyDescent="0.25">
      <c r="A545" s="39" t="s">
        <v>768</v>
      </c>
      <c r="C545" s="29" t="s">
        <v>867</v>
      </c>
      <c r="D545" s="29" t="s">
        <v>1693</v>
      </c>
      <c r="E545" s="29" t="s">
        <v>2129</v>
      </c>
      <c r="F545" s="33">
        <f>VLOOKUP(C545,'WSS-26'!$C$1:$AU$617,20,)</f>
        <v>0</v>
      </c>
      <c r="G545" s="32">
        <f t="shared" si="574"/>
        <v>0</v>
      </c>
      <c r="H545" s="32">
        <f t="shared" si="574"/>
        <v>0</v>
      </c>
      <c r="I545" s="32">
        <f t="shared" si="574"/>
        <v>0</v>
      </c>
      <c r="J545" s="32">
        <f t="shared" si="574"/>
        <v>0</v>
      </c>
      <c r="K545" s="32">
        <f t="shared" si="574"/>
        <v>0</v>
      </c>
      <c r="L545" s="32">
        <f t="shared" si="574"/>
        <v>0</v>
      </c>
      <c r="M545" s="32">
        <f t="shared" si="574"/>
        <v>0</v>
      </c>
      <c r="N545" s="32">
        <f t="shared" si="574"/>
        <v>0</v>
      </c>
      <c r="O545" s="32">
        <f t="shared" si="574"/>
        <v>0</v>
      </c>
      <c r="P545" s="32">
        <f t="shared" si="574"/>
        <v>0</v>
      </c>
      <c r="Q545" s="32">
        <f t="shared" si="574"/>
        <v>0</v>
      </c>
      <c r="R545" s="32">
        <f t="shared" si="574"/>
        <v>0</v>
      </c>
      <c r="S545" s="32">
        <f t="shared" si="574"/>
        <v>0</v>
      </c>
      <c r="T545" s="32">
        <f t="shared" si="574"/>
        <v>0</v>
      </c>
      <c r="U545" s="32">
        <f t="shared" si="574"/>
        <v>0</v>
      </c>
      <c r="V545" s="32">
        <f t="shared" si="574"/>
        <v>0</v>
      </c>
      <c r="W545" s="34">
        <f t="shared" si="575"/>
        <v>0</v>
      </c>
      <c r="X545" s="30" t="str">
        <f t="shared" si="576"/>
        <v>ok</v>
      </c>
      <c r="Y545" s="66" t="str">
        <f t="shared" si="577"/>
        <v/>
      </c>
    </row>
    <row r="546" spans="1:25" ht="12" customHeight="1" x14ac:dyDescent="0.25">
      <c r="A546" s="39" t="s">
        <v>769</v>
      </c>
      <c r="C546" s="29" t="s">
        <v>867</v>
      </c>
      <c r="D546" s="29" t="s">
        <v>1694</v>
      </c>
      <c r="E546" s="29" t="s">
        <v>872</v>
      </c>
      <c r="F546" s="33">
        <f>VLOOKUP(C546,'WSS-26'!$C$1:$AU$617,21,)</f>
        <v>0</v>
      </c>
      <c r="G546" s="32">
        <f t="shared" si="574"/>
        <v>0</v>
      </c>
      <c r="H546" s="32">
        <f t="shared" si="574"/>
        <v>0</v>
      </c>
      <c r="I546" s="32">
        <f t="shared" si="574"/>
        <v>0</v>
      </c>
      <c r="J546" s="32">
        <f t="shared" si="574"/>
        <v>0</v>
      </c>
      <c r="K546" s="32">
        <f t="shared" si="574"/>
        <v>0</v>
      </c>
      <c r="L546" s="32">
        <f t="shared" si="574"/>
        <v>0</v>
      </c>
      <c r="M546" s="32">
        <f t="shared" si="574"/>
        <v>0</v>
      </c>
      <c r="N546" s="32">
        <f t="shared" si="574"/>
        <v>0</v>
      </c>
      <c r="O546" s="32">
        <f t="shared" si="574"/>
        <v>0</v>
      </c>
      <c r="P546" s="32">
        <f t="shared" si="574"/>
        <v>0</v>
      </c>
      <c r="Q546" s="32">
        <f t="shared" si="574"/>
        <v>0</v>
      </c>
      <c r="R546" s="32">
        <f t="shared" si="574"/>
        <v>0</v>
      </c>
      <c r="S546" s="32">
        <f t="shared" si="574"/>
        <v>0</v>
      </c>
      <c r="T546" s="32">
        <f t="shared" si="574"/>
        <v>0</v>
      </c>
      <c r="U546" s="32">
        <f t="shared" si="574"/>
        <v>0</v>
      </c>
      <c r="V546" s="32">
        <f t="shared" si="574"/>
        <v>0</v>
      </c>
      <c r="W546" s="34">
        <f t="shared" si="575"/>
        <v>0</v>
      </c>
      <c r="X546" s="30" t="str">
        <f t="shared" si="576"/>
        <v>ok</v>
      </c>
      <c r="Y546" s="66" t="str">
        <f t="shared" si="577"/>
        <v/>
      </c>
    </row>
    <row r="547" spans="1:25" ht="12" customHeight="1" x14ac:dyDescent="0.25">
      <c r="A547" s="39" t="s">
        <v>770</v>
      </c>
      <c r="C547" s="29" t="s">
        <v>867</v>
      </c>
      <c r="D547" s="29" t="s">
        <v>1695</v>
      </c>
      <c r="E547" s="29" t="s">
        <v>709</v>
      </c>
      <c r="F547" s="33">
        <f>VLOOKUP(C547,'WSS-26'!$C$1:$AU$617,22,)</f>
        <v>0</v>
      </c>
      <c r="G547" s="32">
        <f t="shared" si="574"/>
        <v>0</v>
      </c>
      <c r="H547" s="32">
        <f t="shared" si="574"/>
        <v>0</v>
      </c>
      <c r="I547" s="32">
        <f t="shared" si="574"/>
        <v>0</v>
      </c>
      <c r="J547" s="32">
        <f t="shared" si="574"/>
        <v>0</v>
      </c>
      <c r="K547" s="32">
        <f t="shared" si="574"/>
        <v>0</v>
      </c>
      <c r="L547" s="32">
        <f t="shared" si="574"/>
        <v>0</v>
      </c>
      <c r="M547" s="32">
        <f t="shared" si="574"/>
        <v>0</v>
      </c>
      <c r="N547" s="32">
        <f t="shared" si="574"/>
        <v>0</v>
      </c>
      <c r="O547" s="32">
        <f t="shared" si="574"/>
        <v>0</v>
      </c>
      <c r="P547" s="32">
        <f t="shared" si="574"/>
        <v>0</v>
      </c>
      <c r="Q547" s="32">
        <f t="shared" si="574"/>
        <v>0</v>
      </c>
      <c r="R547" s="32">
        <f t="shared" si="574"/>
        <v>0</v>
      </c>
      <c r="S547" s="32">
        <f t="shared" si="574"/>
        <v>0</v>
      </c>
      <c r="T547" s="32">
        <f t="shared" si="574"/>
        <v>0</v>
      </c>
      <c r="U547" s="32">
        <f t="shared" si="574"/>
        <v>0</v>
      </c>
      <c r="V547" s="32">
        <f t="shared" si="574"/>
        <v>0</v>
      </c>
      <c r="W547" s="34">
        <f t="shared" si="575"/>
        <v>0</v>
      </c>
      <c r="X547" s="30" t="str">
        <f t="shared" si="576"/>
        <v>ok</v>
      </c>
      <c r="Y547" s="66" t="str">
        <f t="shared" si="577"/>
        <v/>
      </c>
    </row>
    <row r="548" spans="1:25" ht="12" customHeight="1" x14ac:dyDescent="0.25">
      <c r="A548" s="39" t="s">
        <v>771</v>
      </c>
      <c r="C548" s="29" t="s">
        <v>867</v>
      </c>
      <c r="D548" s="29" t="s">
        <v>1696</v>
      </c>
      <c r="E548" s="29" t="s">
        <v>871</v>
      </c>
      <c r="F548" s="33">
        <f>VLOOKUP(C548,'WSS-26'!$C$1:$AU$617,23,)</f>
        <v>0</v>
      </c>
      <c r="G548" s="32">
        <f t="shared" si="574"/>
        <v>0</v>
      </c>
      <c r="H548" s="32">
        <f t="shared" si="574"/>
        <v>0</v>
      </c>
      <c r="I548" s="32">
        <f t="shared" si="574"/>
        <v>0</v>
      </c>
      <c r="J548" s="32">
        <f t="shared" si="574"/>
        <v>0</v>
      </c>
      <c r="K548" s="32">
        <f t="shared" si="574"/>
        <v>0</v>
      </c>
      <c r="L548" s="32">
        <f t="shared" si="574"/>
        <v>0</v>
      </c>
      <c r="M548" s="32">
        <f t="shared" si="574"/>
        <v>0</v>
      </c>
      <c r="N548" s="32">
        <f t="shared" si="574"/>
        <v>0</v>
      </c>
      <c r="O548" s="32">
        <f t="shared" si="574"/>
        <v>0</v>
      </c>
      <c r="P548" s="32">
        <f t="shared" si="574"/>
        <v>0</v>
      </c>
      <c r="Q548" s="32">
        <f t="shared" si="574"/>
        <v>0</v>
      </c>
      <c r="R548" s="32">
        <f t="shared" si="574"/>
        <v>0</v>
      </c>
      <c r="S548" s="32">
        <f t="shared" si="574"/>
        <v>0</v>
      </c>
      <c r="T548" s="32">
        <f t="shared" si="574"/>
        <v>0</v>
      </c>
      <c r="U548" s="32">
        <f t="shared" si="574"/>
        <v>0</v>
      </c>
      <c r="V548" s="32">
        <f t="shared" si="574"/>
        <v>0</v>
      </c>
      <c r="W548" s="34">
        <f t="shared" si="575"/>
        <v>0</v>
      </c>
      <c r="X548" s="30" t="str">
        <f t="shared" si="576"/>
        <v>ok</v>
      </c>
      <c r="Y548" s="66" t="str">
        <f t="shared" si="577"/>
        <v/>
      </c>
    </row>
    <row r="549" spans="1:25" ht="12" customHeight="1" x14ac:dyDescent="0.25">
      <c r="A549" s="29" t="s">
        <v>151</v>
      </c>
      <c r="D549" s="29" t="s">
        <v>1697</v>
      </c>
      <c r="F549" s="32">
        <f t="shared" ref="F549:T549" si="578">SUM(F544:F548)</f>
        <v>0</v>
      </c>
      <c r="G549" s="32">
        <f t="shared" si="578"/>
        <v>0</v>
      </c>
      <c r="H549" s="32">
        <f t="shared" si="578"/>
        <v>0</v>
      </c>
      <c r="I549" s="32">
        <f>SUM(I544:I548)</f>
        <v>0</v>
      </c>
      <c r="J549" s="32">
        <f>SUM(J544:J548)</f>
        <v>0</v>
      </c>
      <c r="K549" s="32">
        <f>SUM(K544:K548)</f>
        <v>0</v>
      </c>
      <c r="L549" s="32">
        <f t="shared" si="578"/>
        <v>0</v>
      </c>
      <c r="M549" s="32">
        <f t="shared" si="578"/>
        <v>0</v>
      </c>
      <c r="N549" s="32">
        <f t="shared" si="578"/>
        <v>0</v>
      </c>
      <c r="O549" s="32">
        <f t="shared" si="578"/>
        <v>0</v>
      </c>
      <c r="P549" s="32">
        <f>SUM(P544:P548)</f>
        <v>0</v>
      </c>
      <c r="Q549" s="32">
        <f t="shared" si="578"/>
        <v>0</v>
      </c>
      <c r="R549" s="32">
        <f t="shared" si="578"/>
        <v>0</v>
      </c>
      <c r="S549" s="32">
        <f t="shared" si="578"/>
        <v>0</v>
      </c>
      <c r="T549" s="32">
        <f t="shared" si="578"/>
        <v>0</v>
      </c>
      <c r="U549" s="32">
        <f t="shared" ref="U549:V549" si="579">SUM(U544:U548)</f>
        <v>0</v>
      </c>
      <c r="V549" s="32">
        <f t="shared" si="579"/>
        <v>0</v>
      </c>
      <c r="W549" s="34">
        <f t="shared" ref="W549" si="580">SUM(G549:V549)</f>
        <v>0</v>
      </c>
      <c r="X549" s="30" t="str">
        <f t="shared" ref="X549" si="581">IF(ABS(F549-W549)&lt;0.01,"ok","err")</f>
        <v>ok</v>
      </c>
      <c r="Y549" s="34" t="str">
        <f t="shared" ref="Y549" si="582">IF(X549="err",W549-F549,"")</f>
        <v/>
      </c>
    </row>
    <row r="550" spans="1:25" ht="12" customHeight="1" x14ac:dyDescent="0.25">
      <c r="F550" s="33"/>
    </row>
    <row r="551" spans="1:25" ht="12" customHeight="1" x14ac:dyDescent="0.25">
      <c r="A551" s="4" t="s">
        <v>766</v>
      </c>
      <c r="F551" s="33"/>
    </row>
    <row r="552" spans="1:25" ht="12" customHeight="1" x14ac:dyDescent="0.25">
      <c r="A552" s="39" t="s">
        <v>375</v>
      </c>
      <c r="C552" s="29" t="s">
        <v>867</v>
      </c>
      <c r="D552" s="29" t="s">
        <v>1698</v>
      </c>
      <c r="E552" s="29" t="s">
        <v>2058</v>
      </c>
      <c r="F552" s="32">
        <f>VLOOKUP(C552,'WSS-26'!$C$1:$AU$617,24,)</f>
        <v>0</v>
      </c>
      <c r="G552" s="32">
        <f t="shared" ref="G552:V553" si="583">IF(VLOOKUP($E552,$D$5:$V$970,3,)=0,0,(VLOOKUP($E552,$D$5:$V$970,G$1,)/VLOOKUP($E552,$D$5:$V$970,3,))*$F552)</f>
        <v>0</v>
      </c>
      <c r="H552" s="32">
        <f t="shared" si="583"/>
        <v>0</v>
      </c>
      <c r="I552" s="32">
        <f t="shared" si="583"/>
        <v>0</v>
      </c>
      <c r="J552" s="32">
        <f t="shared" si="583"/>
        <v>0</v>
      </c>
      <c r="K552" s="32">
        <f t="shared" si="583"/>
        <v>0</v>
      </c>
      <c r="L552" s="32">
        <f t="shared" si="583"/>
        <v>0</v>
      </c>
      <c r="M552" s="32">
        <f t="shared" si="583"/>
        <v>0</v>
      </c>
      <c r="N552" s="32">
        <f t="shared" si="583"/>
        <v>0</v>
      </c>
      <c r="O552" s="32">
        <f t="shared" si="583"/>
        <v>0</v>
      </c>
      <c r="P552" s="32">
        <f t="shared" si="583"/>
        <v>0</v>
      </c>
      <c r="Q552" s="32">
        <f t="shared" si="583"/>
        <v>0</v>
      </c>
      <c r="R552" s="32">
        <f t="shared" si="583"/>
        <v>0</v>
      </c>
      <c r="S552" s="32">
        <f t="shared" si="583"/>
        <v>0</v>
      </c>
      <c r="T552" s="32">
        <f t="shared" si="583"/>
        <v>0</v>
      </c>
      <c r="U552" s="32">
        <f t="shared" si="583"/>
        <v>0</v>
      </c>
      <c r="V552" s="32">
        <f t="shared" si="583"/>
        <v>0</v>
      </c>
      <c r="W552" s="34">
        <f t="shared" ref="W552:W553" si="584">SUM(G552:V552)</f>
        <v>0</v>
      </c>
      <c r="X552" s="30" t="str">
        <f t="shared" ref="X552:X553" si="585">IF(ABS(F552-W552)&lt;0.01,"ok","err")</f>
        <v>ok</v>
      </c>
      <c r="Y552" s="66" t="str">
        <f t="shared" ref="Y552:Y553" si="586">IF(X552="err",W552-F552,"")</f>
        <v/>
      </c>
    </row>
    <row r="553" spans="1:25" ht="12" customHeight="1" x14ac:dyDescent="0.25">
      <c r="A553" s="39" t="s">
        <v>378</v>
      </c>
      <c r="C553" s="29" t="s">
        <v>867</v>
      </c>
      <c r="D553" s="29" t="s">
        <v>1699</v>
      </c>
      <c r="E553" s="29" t="s">
        <v>2057</v>
      </c>
      <c r="F553" s="33">
        <f>VLOOKUP(C553,'WSS-26'!$C$1:$AU$617,25,)</f>
        <v>0</v>
      </c>
      <c r="G553" s="32">
        <f t="shared" si="583"/>
        <v>0</v>
      </c>
      <c r="H553" s="32">
        <f t="shared" si="583"/>
        <v>0</v>
      </c>
      <c r="I553" s="32">
        <f t="shared" si="583"/>
        <v>0</v>
      </c>
      <c r="J553" s="32">
        <f t="shared" si="583"/>
        <v>0</v>
      </c>
      <c r="K553" s="32">
        <f t="shared" si="583"/>
        <v>0</v>
      </c>
      <c r="L553" s="32">
        <f t="shared" si="583"/>
        <v>0</v>
      </c>
      <c r="M553" s="32">
        <f t="shared" si="583"/>
        <v>0</v>
      </c>
      <c r="N553" s="32">
        <f t="shared" si="583"/>
        <v>0</v>
      </c>
      <c r="O553" s="32">
        <f t="shared" si="583"/>
        <v>0</v>
      </c>
      <c r="P553" s="32">
        <f t="shared" si="583"/>
        <v>0</v>
      </c>
      <c r="Q553" s="32">
        <f t="shared" si="583"/>
        <v>0</v>
      </c>
      <c r="R553" s="32">
        <f t="shared" si="583"/>
        <v>0</v>
      </c>
      <c r="S553" s="32">
        <f t="shared" si="583"/>
        <v>0</v>
      </c>
      <c r="T553" s="32">
        <f t="shared" si="583"/>
        <v>0</v>
      </c>
      <c r="U553" s="32">
        <f t="shared" si="583"/>
        <v>0</v>
      </c>
      <c r="V553" s="32">
        <f t="shared" si="583"/>
        <v>0</v>
      </c>
      <c r="W553" s="34">
        <f t="shared" si="584"/>
        <v>0</v>
      </c>
      <c r="X553" s="30" t="str">
        <f t="shared" si="585"/>
        <v>ok</v>
      </c>
      <c r="Y553" s="66" t="str">
        <f t="shared" si="586"/>
        <v/>
      </c>
    </row>
    <row r="554" spans="1:25" ht="12" customHeight="1" x14ac:dyDescent="0.25">
      <c r="A554" s="29" t="s">
        <v>1434</v>
      </c>
      <c r="D554" s="29" t="s">
        <v>1700</v>
      </c>
      <c r="F554" s="32">
        <f t="shared" ref="F554:T554" si="587">F552+F553</f>
        <v>0</v>
      </c>
      <c r="G554" s="32">
        <f t="shared" si="587"/>
        <v>0</v>
      </c>
      <c r="H554" s="32">
        <f t="shared" si="587"/>
        <v>0</v>
      </c>
      <c r="I554" s="32">
        <f>I552+I553</f>
        <v>0</v>
      </c>
      <c r="J554" s="32">
        <f>J552+J553</f>
        <v>0</v>
      </c>
      <c r="K554" s="32">
        <f>K552+K553</f>
        <v>0</v>
      </c>
      <c r="L554" s="32">
        <f t="shared" si="587"/>
        <v>0</v>
      </c>
      <c r="M554" s="32">
        <f t="shared" si="587"/>
        <v>0</v>
      </c>
      <c r="N554" s="32">
        <f t="shared" si="587"/>
        <v>0</v>
      </c>
      <c r="O554" s="32">
        <f t="shared" si="587"/>
        <v>0</v>
      </c>
      <c r="P554" s="32">
        <f>P552+P553</f>
        <v>0</v>
      </c>
      <c r="Q554" s="32">
        <f t="shared" si="587"/>
        <v>0</v>
      </c>
      <c r="R554" s="32">
        <f t="shared" si="587"/>
        <v>0</v>
      </c>
      <c r="S554" s="32">
        <f t="shared" si="587"/>
        <v>0</v>
      </c>
      <c r="T554" s="32">
        <f t="shared" si="587"/>
        <v>0</v>
      </c>
      <c r="U554" s="32">
        <f t="shared" ref="U554:V554" si="588">U552+U553</f>
        <v>0</v>
      </c>
      <c r="V554" s="32">
        <f t="shared" si="588"/>
        <v>0</v>
      </c>
      <c r="W554" s="34">
        <f>SUM(G554:V554)</f>
        <v>0</v>
      </c>
      <c r="X554" s="30" t="str">
        <f>IF(ABS(F554-W554)&lt;0.01,"ok","err")</f>
        <v>ok</v>
      </c>
      <c r="Y554" s="34" t="str">
        <f>IF(X554="err",W554-F554,"")</f>
        <v/>
      </c>
    </row>
    <row r="555" spans="1:25" ht="12" customHeight="1" x14ac:dyDescent="0.25">
      <c r="F555" s="33"/>
    </row>
    <row r="556" spans="1:25" ht="12" customHeight="1" x14ac:dyDescent="0.25">
      <c r="A556" s="4" t="s">
        <v>128</v>
      </c>
      <c r="F556" s="33"/>
    </row>
    <row r="557" spans="1:25" ht="12" customHeight="1" x14ac:dyDescent="0.25">
      <c r="A557" s="39" t="s">
        <v>378</v>
      </c>
      <c r="C557" s="29" t="s">
        <v>867</v>
      </c>
      <c r="D557" s="29" t="s">
        <v>1701</v>
      </c>
      <c r="E557" s="29" t="s">
        <v>379</v>
      </c>
      <c r="F557" s="32">
        <f>VLOOKUP(C557,'WSS-26'!$C$1:$AU$617,26,)</f>
        <v>0</v>
      </c>
      <c r="G557" s="32">
        <f t="shared" ref="G557:V557" si="589">IF(VLOOKUP($E557,$D$5:$V$970,3,)=0,0,(VLOOKUP($E557,$D$5:$V$970,G$1,)/VLOOKUP($E557,$D$5:$V$970,3,))*$F557)</f>
        <v>0</v>
      </c>
      <c r="H557" s="32">
        <f t="shared" si="589"/>
        <v>0</v>
      </c>
      <c r="I557" s="32">
        <f t="shared" si="589"/>
        <v>0</v>
      </c>
      <c r="J557" s="32">
        <f t="shared" si="589"/>
        <v>0</v>
      </c>
      <c r="K557" s="32">
        <f t="shared" si="589"/>
        <v>0</v>
      </c>
      <c r="L557" s="32">
        <f t="shared" si="589"/>
        <v>0</v>
      </c>
      <c r="M557" s="32">
        <f t="shared" si="589"/>
        <v>0</v>
      </c>
      <c r="N557" s="32">
        <f t="shared" si="589"/>
        <v>0</v>
      </c>
      <c r="O557" s="32">
        <f t="shared" si="589"/>
        <v>0</v>
      </c>
      <c r="P557" s="32">
        <f t="shared" si="589"/>
        <v>0</v>
      </c>
      <c r="Q557" s="32">
        <f t="shared" si="589"/>
        <v>0</v>
      </c>
      <c r="R557" s="32">
        <f t="shared" si="589"/>
        <v>0</v>
      </c>
      <c r="S557" s="32">
        <f t="shared" si="589"/>
        <v>0</v>
      </c>
      <c r="T557" s="32">
        <f t="shared" si="589"/>
        <v>0</v>
      </c>
      <c r="U557" s="32">
        <f t="shared" si="589"/>
        <v>0</v>
      </c>
      <c r="V557" s="32">
        <f t="shared" si="589"/>
        <v>0</v>
      </c>
      <c r="W557" s="34">
        <f t="shared" ref="W557" si="590">SUM(G557:V557)</f>
        <v>0</v>
      </c>
      <c r="X557" s="30" t="str">
        <f t="shared" ref="X557" si="591">IF(ABS(F557-W557)&lt;0.01,"ok","err")</f>
        <v>ok</v>
      </c>
      <c r="Y557" s="66" t="str">
        <f t="shared" ref="Y557" si="592">IF(X557="err",W557-F557,"")</f>
        <v/>
      </c>
    </row>
    <row r="558" spans="1:25" ht="12" customHeight="1" x14ac:dyDescent="0.25">
      <c r="F558" s="33"/>
    </row>
    <row r="559" spans="1:25" ht="12" customHeight="1" x14ac:dyDescent="0.25">
      <c r="A559" s="4" t="s">
        <v>127</v>
      </c>
      <c r="F559" s="33"/>
    </row>
    <row r="560" spans="1:25" ht="12" customHeight="1" x14ac:dyDescent="0.25">
      <c r="A560" s="39" t="s">
        <v>378</v>
      </c>
      <c r="C560" s="29" t="s">
        <v>867</v>
      </c>
      <c r="D560" s="29" t="s">
        <v>1702</v>
      </c>
      <c r="E560" s="29" t="s">
        <v>380</v>
      </c>
      <c r="F560" s="32">
        <f>VLOOKUP(C560,'WSS-26'!$C$1:$AU$617,27,)</f>
        <v>0</v>
      </c>
      <c r="G560" s="32">
        <f t="shared" ref="G560:V560" si="593">IF(VLOOKUP($E560,$D$5:$V$970,3,)=0,0,(VLOOKUP($E560,$D$5:$V$970,G$1,)/VLOOKUP($E560,$D$5:$V$970,3,))*$F560)</f>
        <v>0</v>
      </c>
      <c r="H560" s="32">
        <f t="shared" si="593"/>
        <v>0</v>
      </c>
      <c r="I560" s="32">
        <f t="shared" si="593"/>
        <v>0</v>
      </c>
      <c r="J560" s="32">
        <f t="shared" si="593"/>
        <v>0</v>
      </c>
      <c r="K560" s="32">
        <f t="shared" si="593"/>
        <v>0</v>
      </c>
      <c r="L560" s="32">
        <f t="shared" si="593"/>
        <v>0</v>
      </c>
      <c r="M560" s="32">
        <f t="shared" si="593"/>
        <v>0</v>
      </c>
      <c r="N560" s="32">
        <f t="shared" si="593"/>
        <v>0</v>
      </c>
      <c r="O560" s="32">
        <f t="shared" si="593"/>
        <v>0</v>
      </c>
      <c r="P560" s="32">
        <f t="shared" si="593"/>
        <v>0</v>
      </c>
      <c r="Q560" s="32">
        <f t="shared" si="593"/>
        <v>0</v>
      </c>
      <c r="R560" s="32">
        <f t="shared" si="593"/>
        <v>0</v>
      </c>
      <c r="S560" s="32">
        <f t="shared" si="593"/>
        <v>0</v>
      </c>
      <c r="T560" s="32">
        <f t="shared" si="593"/>
        <v>0</v>
      </c>
      <c r="U560" s="32">
        <f t="shared" si="593"/>
        <v>0</v>
      </c>
      <c r="V560" s="32">
        <f t="shared" si="593"/>
        <v>0</v>
      </c>
      <c r="W560" s="34">
        <f t="shared" ref="W560" si="594">SUM(G560:V560)</f>
        <v>0</v>
      </c>
      <c r="X560" s="30" t="str">
        <f t="shared" ref="X560" si="595">IF(ABS(F560-W560)&lt;0.01,"ok","err")</f>
        <v>ok</v>
      </c>
      <c r="Y560" s="66" t="str">
        <f t="shared" ref="Y560" si="596">IF(X560="err",W560-F560,"")</f>
        <v/>
      </c>
    </row>
    <row r="561" spans="1:25" ht="12" customHeight="1" x14ac:dyDescent="0.25">
      <c r="F561" s="33"/>
    </row>
    <row r="562" spans="1:25" ht="12" customHeight="1" x14ac:dyDescent="0.25">
      <c r="A562" s="4" t="s">
        <v>144</v>
      </c>
      <c r="F562" s="33"/>
    </row>
    <row r="563" spans="1:25" ht="12" customHeight="1" x14ac:dyDescent="0.25">
      <c r="A563" s="39" t="s">
        <v>378</v>
      </c>
      <c r="C563" s="29" t="s">
        <v>867</v>
      </c>
      <c r="D563" s="29" t="s">
        <v>1703</v>
      </c>
      <c r="E563" s="29" t="s">
        <v>381</v>
      </c>
      <c r="F563" s="32">
        <f>VLOOKUP(C563,'WSS-26'!$C$1:$AU$617,28,)</f>
        <v>0</v>
      </c>
      <c r="G563" s="32">
        <f t="shared" ref="G563:V563" si="597">IF(VLOOKUP($E563,$D$5:$V$970,3,)=0,0,(VLOOKUP($E563,$D$5:$V$970,G$1,)/VLOOKUP($E563,$D$5:$V$970,3,))*$F563)</f>
        <v>0</v>
      </c>
      <c r="H563" s="32">
        <f t="shared" si="597"/>
        <v>0</v>
      </c>
      <c r="I563" s="32">
        <f t="shared" si="597"/>
        <v>0</v>
      </c>
      <c r="J563" s="32">
        <f t="shared" si="597"/>
        <v>0</v>
      </c>
      <c r="K563" s="32">
        <f t="shared" si="597"/>
        <v>0</v>
      </c>
      <c r="L563" s="32">
        <f t="shared" si="597"/>
        <v>0</v>
      </c>
      <c r="M563" s="32">
        <f t="shared" si="597"/>
        <v>0</v>
      </c>
      <c r="N563" s="32">
        <f t="shared" si="597"/>
        <v>0</v>
      </c>
      <c r="O563" s="32">
        <f t="shared" si="597"/>
        <v>0</v>
      </c>
      <c r="P563" s="32">
        <f t="shared" si="597"/>
        <v>0</v>
      </c>
      <c r="Q563" s="32">
        <f t="shared" si="597"/>
        <v>0</v>
      </c>
      <c r="R563" s="32">
        <f t="shared" si="597"/>
        <v>0</v>
      </c>
      <c r="S563" s="32">
        <f t="shared" si="597"/>
        <v>0</v>
      </c>
      <c r="T563" s="32">
        <f t="shared" si="597"/>
        <v>0</v>
      </c>
      <c r="U563" s="32">
        <f t="shared" si="597"/>
        <v>0</v>
      </c>
      <c r="V563" s="32">
        <f t="shared" si="597"/>
        <v>0</v>
      </c>
      <c r="W563" s="34">
        <f t="shared" ref="W563" si="598">SUM(G563:V563)</f>
        <v>0</v>
      </c>
      <c r="X563" s="30" t="str">
        <f t="shared" ref="X563" si="599">IF(ABS(F563-W563)&lt;0.01,"ok","err")</f>
        <v>ok</v>
      </c>
      <c r="Y563" s="66" t="str">
        <f t="shared" ref="Y563" si="600">IF(X563="err",W563-F563,"")</f>
        <v/>
      </c>
    </row>
    <row r="564" spans="1:25" ht="12" customHeight="1" x14ac:dyDescent="0.25">
      <c r="F564" s="33"/>
    </row>
    <row r="565" spans="1:25" ht="12" customHeight="1" x14ac:dyDescent="0.25">
      <c r="A565" s="4" t="s">
        <v>279</v>
      </c>
      <c r="F565" s="33"/>
    </row>
    <row r="566" spans="1:25" ht="12" customHeight="1" x14ac:dyDescent="0.25">
      <c r="A566" s="39" t="s">
        <v>378</v>
      </c>
      <c r="C566" s="29" t="s">
        <v>867</v>
      </c>
      <c r="D566" s="29" t="s">
        <v>1704</v>
      </c>
      <c r="E566" s="29" t="s">
        <v>382</v>
      </c>
      <c r="F566" s="32">
        <f>VLOOKUP(C566,'WSS-26'!$C$1:$AU$617,30,)</f>
        <v>0</v>
      </c>
      <c r="G566" s="32">
        <f t="shared" ref="G566:V566" si="601">IF(VLOOKUP($E566,$D$5:$V$970,3,)=0,0,(VLOOKUP($E566,$D$5:$V$970,G$1,)/VLOOKUP($E566,$D$5:$V$970,3,))*$F566)</f>
        <v>0</v>
      </c>
      <c r="H566" s="32">
        <f t="shared" si="601"/>
        <v>0</v>
      </c>
      <c r="I566" s="32">
        <f t="shared" si="601"/>
        <v>0</v>
      </c>
      <c r="J566" s="32">
        <f t="shared" si="601"/>
        <v>0</v>
      </c>
      <c r="K566" s="32">
        <f t="shared" si="601"/>
        <v>0</v>
      </c>
      <c r="L566" s="32">
        <f t="shared" si="601"/>
        <v>0</v>
      </c>
      <c r="M566" s="32">
        <f t="shared" si="601"/>
        <v>0</v>
      </c>
      <c r="N566" s="32">
        <f t="shared" si="601"/>
        <v>0</v>
      </c>
      <c r="O566" s="32">
        <f t="shared" si="601"/>
        <v>0</v>
      </c>
      <c r="P566" s="32">
        <f t="shared" si="601"/>
        <v>0</v>
      </c>
      <c r="Q566" s="32">
        <f t="shared" si="601"/>
        <v>0</v>
      </c>
      <c r="R566" s="32">
        <f t="shared" si="601"/>
        <v>0</v>
      </c>
      <c r="S566" s="32">
        <f t="shared" si="601"/>
        <v>0</v>
      </c>
      <c r="T566" s="32">
        <f t="shared" si="601"/>
        <v>0</v>
      </c>
      <c r="U566" s="32">
        <f t="shared" si="601"/>
        <v>0</v>
      </c>
      <c r="V566" s="32">
        <f t="shared" si="601"/>
        <v>0</v>
      </c>
      <c r="W566" s="34">
        <f t="shared" ref="W566" si="602">SUM(G566:V566)</f>
        <v>0</v>
      </c>
      <c r="X566" s="30" t="str">
        <f t="shared" ref="X566" si="603">IF(ABS(F566-W566)&lt;0.01,"ok","err")</f>
        <v>ok</v>
      </c>
      <c r="Y566" s="66" t="str">
        <f t="shared" ref="Y566" si="604">IF(X566="err",W566-F566,"")</f>
        <v/>
      </c>
    </row>
    <row r="567" spans="1:25" ht="12" customHeight="1" x14ac:dyDescent="0.25">
      <c r="F567" s="33"/>
    </row>
    <row r="568" spans="1:25" ht="12" customHeight="1" x14ac:dyDescent="0.25">
      <c r="A568" s="4" t="s">
        <v>1596</v>
      </c>
      <c r="F568" s="33"/>
    </row>
    <row r="569" spans="1:25" ht="12" customHeight="1" x14ac:dyDescent="0.25">
      <c r="A569" s="39" t="s">
        <v>378</v>
      </c>
      <c r="C569" s="29" t="s">
        <v>867</v>
      </c>
      <c r="D569" s="29" t="s">
        <v>1705</v>
      </c>
      <c r="E569" s="29" t="s">
        <v>382</v>
      </c>
      <c r="F569" s="32">
        <f>VLOOKUP(C569,'WSS-26'!$C$1:$AU$617,32,)</f>
        <v>0</v>
      </c>
      <c r="G569" s="32">
        <f t="shared" ref="G569:V569" si="605">IF(VLOOKUP($E569,$D$5:$V$970,3,)=0,0,(VLOOKUP($E569,$D$5:$V$970,G$1,)/VLOOKUP($E569,$D$5:$V$970,3,))*$F569)</f>
        <v>0</v>
      </c>
      <c r="H569" s="32">
        <f t="shared" si="605"/>
        <v>0</v>
      </c>
      <c r="I569" s="32">
        <f t="shared" si="605"/>
        <v>0</v>
      </c>
      <c r="J569" s="32">
        <f t="shared" si="605"/>
        <v>0</v>
      </c>
      <c r="K569" s="32">
        <f t="shared" si="605"/>
        <v>0</v>
      </c>
      <c r="L569" s="32">
        <f t="shared" si="605"/>
        <v>0</v>
      </c>
      <c r="M569" s="32">
        <f t="shared" si="605"/>
        <v>0</v>
      </c>
      <c r="N569" s="32">
        <f t="shared" si="605"/>
        <v>0</v>
      </c>
      <c r="O569" s="32">
        <f t="shared" si="605"/>
        <v>0</v>
      </c>
      <c r="P569" s="32">
        <f t="shared" si="605"/>
        <v>0</v>
      </c>
      <c r="Q569" s="32">
        <f t="shared" si="605"/>
        <v>0</v>
      </c>
      <c r="R569" s="32">
        <f t="shared" si="605"/>
        <v>0</v>
      </c>
      <c r="S569" s="32">
        <f t="shared" si="605"/>
        <v>0</v>
      </c>
      <c r="T569" s="32">
        <f t="shared" si="605"/>
        <v>0</v>
      </c>
      <c r="U569" s="32">
        <f t="shared" si="605"/>
        <v>0</v>
      </c>
      <c r="V569" s="32">
        <f t="shared" si="605"/>
        <v>0</v>
      </c>
      <c r="W569" s="34">
        <f t="shared" ref="W569" si="606">SUM(G569:V569)</f>
        <v>0</v>
      </c>
      <c r="X569" s="30" t="str">
        <f t="shared" ref="X569" si="607">IF(ABS(F569-W569)&lt;0.01,"ok","err")</f>
        <v>ok</v>
      </c>
      <c r="Y569" s="66" t="str">
        <f t="shared" ref="Y569" si="608">IF(X569="err",W569-F569,"")</f>
        <v/>
      </c>
    </row>
    <row r="570" spans="1:25" ht="12" customHeight="1" x14ac:dyDescent="0.25">
      <c r="F570" s="33"/>
    </row>
    <row r="571" spans="1:25" ht="12" customHeight="1" x14ac:dyDescent="0.25">
      <c r="A571" s="4" t="s">
        <v>1595</v>
      </c>
      <c r="F571" s="33"/>
    </row>
    <row r="572" spans="1:25" ht="12" customHeight="1" x14ac:dyDescent="0.25">
      <c r="A572" s="39" t="s">
        <v>378</v>
      </c>
      <c r="C572" s="29" t="s">
        <v>867</v>
      </c>
      <c r="D572" s="29" t="s">
        <v>1706</v>
      </c>
      <c r="E572" s="29" t="s">
        <v>383</v>
      </c>
      <c r="F572" s="32">
        <f>VLOOKUP(C572,'WSS-26'!$C$1:$AU$617,34,)</f>
        <v>0</v>
      </c>
      <c r="G572" s="32">
        <f t="shared" ref="G572:V572" si="609">IF(VLOOKUP($E572,$D$5:$V$970,3,)=0,0,(VLOOKUP($E572,$D$5:$V$970,G$1,)/VLOOKUP($E572,$D$5:$V$970,3,))*$F572)</f>
        <v>0</v>
      </c>
      <c r="H572" s="32">
        <f t="shared" si="609"/>
        <v>0</v>
      </c>
      <c r="I572" s="32">
        <f t="shared" si="609"/>
        <v>0</v>
      </c>
      <c r="J572" s="32">
        <f t="shared" si="609"/>
        <v>0</v>
      </c>
      <c r="K572" s="32">
        <f t="shared" si="609"/>
        <v>0</v>
      </c>
      <c r="L572" s="32">
        <f t="shared" si="609"/>
        <v>0</v>
      </c>
      <c r="M572" s="32">
        <f t="shared" si="609"/>
        <v>0</v>
      </c>
      <c r="N572" s="32">
        <f t="shared" si="609"/>
        <v>0</v>
      </c>
      <c r="O572" s="32">
        <f t="shared" si="609"/>
        <v>0</v>
      </c>
      <c r="P572" s="32">
        <f t="shared" si="609"/>
        <v>0</v>
      </c>
      <c r="Q572" s="32">
        <f t="shared" si="609"/>
        <v>0</v>
      </c>
      <c r="R572" s="32">
        <f t="shared" si="609"/>
        <v>0</v>
      </c>
      <c r="S572" s="32">
        <f t="shared" si="609"/>
        <v>0</v>
      </c>
      <c r="T572" s="32">
        <f t="shared" si="609"/>
        <v>0</v>
      </c>
      <c r="U572" s="32">
        <f t="shared" si="609"/>
        <v>0</v>
      </c>
      <c r="V572" s="32">
        <f t="shared" si="609"/>
        <v>0</v>
      </c>
      <c r="W572" s="34">
        <f t="shared" ref="W572" si="610">SUM(G572:V572)</f>
        <v>0</v>
      </c>
      <c r="X572" s="30" t="str">
        <f t="shared" ref="X572" si="611">IF(ABS(F572-W572)&lt;0.01,"ok","err")</f>
        <v>ok</v>
      </c>
      <c r="Y572" s="66" t="str">
        <f t="shared" ref="Y572" si="612">IF(X572="err",W572-F572,"")</f>
        <v/>
      </c>
    </row>
    <row r="573" spans="1:25" ht="12" customHeight="1" x14ac:dyDescent="0.25">
      <c r="F573" s="33"/>
    </row>
    <row r="574" spans="1:25" ht="12" customHeight="1" x14ac:dyDescent="0.25">
      <c r="A574" s="29" t="s">
        <v>62</v>
      </c>
      <c r="D574" s="29" t="s">
        <v>396</v>
      </c>
      <c r="F574" s="32">
        <f>F529+F535+F538+F541+F549+F554+F557+F560+F563+F566+F569+F572</f>
        <v>0</v>
      </c>
      <c r="G574" s="32">
        <f t="shared" ref="G574:T574" si="613">G529+G535+G538+G541+G549+G554+G557+G560+G563+G566+G569+G572</f>
        <v>0</v>
      </c>
      <c r="H574" s="32">
        <f t="shared" si="613"/>
        <v>0</v>
      </c>
      <c r="I574" s="32">
        <f>I529+I535+I538+I541+I549+I554+I557+I560+I563+I566+I569+I572</f>
        <v>0</v>
      </c>
      <c r="J574" s="32">
        <f>J529+J535+J538+J541+J549+J554+J557+J560+J563+J566+J569+J572</f>
        <v>0</v>
      </c>
      <c r="K574" s="32">
        <f>K529+K535+K538+K541+K549+K554+K557+K560+K563+K566+K569+K572</f>
        <v>0</v>
      </c>
      <c r="L574" s="32">
        <f t="shared" si="613"/>
        <v>0</v>
      </c>
      <c r="M574" s="32">
        <f t="shared" si="613"/>
        <v>0</v>
      </c>
      <c r="N574" s="32">
        <f t="shared" si="613"/>
        <v>0</v>
      </c>
      <c r="O574" s="32">
        <f>O529+O535+O538+O541+O549+O554+O557+O560+O563+O566+O569+O572</f>
        <v>0</v>
      </c>
      <c r="P574" s="32">
        <f>P529+P535+P538+P541+P549+P554+P557+P560+P563+P566+P569+P572</f>
        <v>0</v>
      </c>
      <c r="Q574" s="32">
        <f t="shared" si="613"/>
        <v>0</v>
      </c>
      <c r="R574" s="32">
        <f t="shared" si="613"/>
        <v>0</v>
      </c>
      <c r="S574" s="32">
        <f t="shared" si="613"/>
        <v>0</v>
      </c>
      <c r="T574" s="32">
        <f t="shared" si="613"/>
        <v>0</v>
      </c>
      <c r="U574" s="32">
        <f t="shared" ref="U574:V574" si="614">U529+U535+U538+U541+U549+U554+U557+U560+U563+U566+U569+U572</f>
        <v>0</v>
      </c>
      <c r="V574" s="32">
        <f t="shared" si="614"/>
        <v>0</v>
      </c>
      <c r="W574" s="34">
        <f>SUM(G574:V574)</f>
        <v>0</v>
      </c>
      <c r="X574" s="30" t="str">
        <f>IF(ABS(F574-W574)&lt;0.01,"ok","err")</f>
        <v>ok</v>
      </c>
      <c r="Y574" s="34" t="str">
        <f>IF(X574="err",W574-F574,"")</f>
        <v/>
      </c>
    </row>
    <row r="575" spans="1:25" ht="12" customHeight="1" x14ac:dyDescent="0.25">
      <c r="F575" s="32"/>
      <c r="G575" s="32"/>
      <c r="H575" s="32"/>
      <c r="I575" s="32"/>
      <c r="J575" s="32"/>
      <c r="K575" s="32"/>
      <c r="L575" s="32"/>
      <c r="M575" s="32"/>
      <c r="N575" s="32"/>
      <c r="O575" s="32"/>
      <c r="P575" s="32"/>
      <c r="Q575" s="32"/>
      <c r="R575" s="32"/>
      <c r="S575" s="32"/>
      <c r="T575" s="32"/>
      <c r="U575" s="32"/>
      <c r="V575" s="32"/>
      <c r="W575" s="34"/>
      <c r="X575" s="30"/>
    </row>
    <row r="576" spans="1:25" ht="12" customHeight="1" x14ac:dyDescent="0.25">
      <c r="F576" s="32"/>
      <c r="G576" s="32"/>
      <c r="H576" s="32"/>
      <c r="I576" s="32"/>
      <c r="J576" s="32"/>
      <c r="K576" s="32"/>
      <c r="L576" s="32"/>
      <c r="M576" s="32"/>
      <c r="N576" s="32"/>
      <c r="O576" s="32"/>
      <c r="P576" s="32"/>
      <c r="Q576" s="32"/>
      <c r="R576" s="32"/>
      <c r="S576" s="32"/>
      <c r="T576" s="32"/>
      <c r="U576" s="32"/>
      <c r="V576" s="32"/>
      <c r="W576" s="34"/>
      <c r="X576" s="30"/>
    </row>
    <row r="577" spans="1:25" ht="12" customHeight="1" x14ac:dyDescent="0.25">
      <c r="F577" s="32"/>
      <c r="G577" s="32"/>
      <c r="H577" s="32"/>
      <c r="I577" s="32"/>
      <c r="J577" s="32"/>
      <c r="K577" s="32"/>
      <c r="L577" s="32"/>
      <c r="M577" s="32"/>
      <c r="N577" s="32"/>
      <c r="O577" s="32"/>
      <c r="P577" s="32"/>
      <c r="Q577" s="32"/>
      <c r="R577" s="32"/>
      <c r="S577" s="32"/>
      <c r="T577" s="32"/>
      <c r="U577" s="32"/>
      <c r="V577" s="32"/>
      <c r="W577" s="34"/>
      <c r="X577" s="30"/>
    </row>
    <row r="578" spans="1:25" ht="12" customHeight="1" x14ac:dyDescent="0.25">
      <c r="F578" s="32"/>
      <c r="G578" s="32"/>
      <c r="H578" s="32"/>
      <c r="I578" s="32"/>
      <c r="J578" s="32"/>
      <c r="K578" s="32"/>
      <c r="L578" s="32"/>
      <c r="M578" s="32"/>
      <c r="N578" s="32"/>
      <c r="O578" s="32"/>
      <c r="P578" s="32"/>
      <c r="Q578" s="32"/>
      <c r="R578" s="32"/>
      <c r="S578" s="32"/>
      <c r="T578" s="32"/>
      <c r="U578" s="32"/>
      <c r="V578" s="32"/>
      <c r="W578" s="34"/>
      <c r="X578" s="30"/>
    </row>
    <row r="579" spans="1:25" ht="12" customHeight="1" x14ac:dyDescent="0.25">
      <c r="F579" s="32"/>
      <c r="G579" s="32"/>
      <c r="H579" s="32"/>
      <c r="I579" s="32"/>
      <c r="J579" s="32"/>
      <c r="K579" s="32"/>
      <c r="L579" s="32"/>
      <c r="M579" s="32"/>
      <c r="N579" s="32"/>
      <c r="O579" s="32"/>
      <c r="P579" s="32"/>
      <c r="Q579" s="32"/>
      <c r="R579" s="32"/>
      <c r="S579" s="32"/>
      <c r="T579" s="32"/>
      <c r="U579" s="32"/>
      <c r="V579" s="32"/>
      <c r="W579" s="34"/>
      <c r="X579" s="30"/>
    </row>
    <row r="580" spans="1:25" ht="12" customHeight="1" x14ac:dyDescent="0.25">
      <c r="F580" s="32"/>
      <c r="G580" s="32"/>
      <c r="H580" s="32"/>
      <c r="I580" s="32"/>
      <c r="J580" s="32"/>
      <c r="K580" s="32"/>
      <c r="L580" s="32"/>
      <c r="M580" s="32"/>
      <c r="N580" s="32"/>
      <c r="O580" s="32"/>
      <c r="P580" s="32"/>
      <c r="Q580" s="32"/>
      <c r="R580" s="32"/>
      <c r="S580" s="32"/>
      <c r="T580" s="32"/>
      <c r="U580" s="32"/>
      <c r="V580" s="32"/>
      <c r="W580" s="34"/>
      <c r="X580" s="30"/>
    </row>
    <row r="581" spans="1:25" ht="12" customHeight="1" x14ac:dyDescent="0.25">
      <c r="F581" s="32"/>
      <c r="G581" s="32"/>
      <c r="H581" s="32"/>
      <c r="I581" s="32"/>
      <c r="J581" s="32"/>
      <c r="K581" s="32"/>
      <c r="L581" s="32"/>
      <c r="M581" s="32"/>
      <c r="N581" s="32"/>
      <c r="O581" s="32"/>
      <c r="P581" s="32"/>
      <c r="Q581" s="32"/>
      <c r="R581" s="32"/>
      <c r="S581" s="32"/>
      <c r="T581" s="32"/>
      <c r="U581" s="32"/>
      <c r="V581" s="32"/>
      <c r="W581" s="34"/>
      <c r="X581" s="30"/>
    </row>
    <row r="582" spans="1:25" ht="12" customHeight="1" x14ac:dyDescent="0.25">
      <c r="A582" s="3" t="s">
        <v>1098</v>
      </c>
    </row>
    <row r="584" spans="1:25" ht="12" customHeight="1" x14ac:dyDescent="0.25">
      <c r="A584" s="4" t="s">
        <v>137</v>
      </c>
    </row>
    <row r="585" spans="1:25" ht="12" customHeight="1" x14ac:dyDescent="0.25">
      <c r="A585" s="39" t="s">
        <v>2133</v>
      </c>
      <c r="C585" s="29" t="s">
        <v>362</v>
      </c>
      <c r="D585" s="29" t="s">
        <v>1099</v>
      </c>
      <c r="E585" s="29" t="s">
        <v>2132</v>
      </c>
      <c r="F585" s="32">
        <f>VLOOKUP(C585,'WSS-26'!$C$1:$AU$617,6,)</f>
        <v>65140685.345224604</v>
      </c>
      <c r="G585" s="32">
        <f t="shared" ref="G585:V590" si="615">IF(VLOOKUP($E585,$D$5:$V$970,3,)=0,0,(VLOOKUP($E585,$D$5:$V$970,G$1,)/VLOOKUP($E585,$D$5:$V$970,3,))*$F585)</f>
        <v>26953226.399415955</v>
      </c>
      <c r="H585" s="32">
        <f t="shared" si="615"/>
        <v>6113721.6326255295</v>
      </c>
      <c r="I585" s="32">
        <f t="shared" si="615"/>
        <v>413238.58079356118</v>
      </c>
      <c r="J585" s="32">
        <f t="shared" si="615"/>
        <v>6769567.910803766</v>
      </c>
      <c r="K585" s="32">
        <f t="shared" si="615"/>
        <v>467561.36909822229</v>
      </c>
      <c r="L585" s="32">
        <f t="shared" si="615"/>
        <v>6315481.6162193455</v>
      </c>
      <c r="M585" s="32">
        <f t="shared" si="615"/>
        <v>12335610.959454644</v>
      </c>
      <c r="N585" s="32">
        <f t="shared" si="615"/>
        <v>4039603.7684114571</v>
      </c>
      <c r="O585" s="32">
        <f t="shared" si="615"/>
        <v>1703656.6097186727</v>
      </c>
      <c r="P585" s="32">
        <f t="shared" si="615"/>
        <v>24767.011122616215</v>
      </c>
      <c r="Q585" s="32">
        <f t="shared" si="615"/>
        <v>282.48164983829355</v>
      </c>
      <c r="R585" s="32">
        <f t="shared" si="615"/>
        <v>3394.6931557810767</v>
      </c>
      <c r="S585" s="32">
        <f t="shared" si="615"/>
        <v>572.31275521224995</v>
      </c>
      <c r="T585" s="32">
        <f t="shared" si="615"/>
        <v>0</v>
      </c>
      <c r="U585" s="32">
        <f t="shared" si="615"/>
        <v>0</v>
      </c>
      <c r="V585" s="32">
        <f t="shared" si="615"/>
        <v>0</v>
      </c>
      <c r="W585" s="34">
        <f t="shared" ref="W585:W590" si="616">SUM(G585:V585)</f>
        <v>65140685.345224589</v>
      </c>
      <c r="X585" s="30" t="str">
        <f t="shared" ref="X585:X590" si="617">IF(ABS(F585-W585)&lt;0.01,"ok","err")</f>
        <v>ok</v>
      </c>
      <c r="Y585" s="66" t="str">
        <f t="shared" ref="Y585:Y590" si="618">IF(X585="err",W585-F585,"")</f>
        <v/>
      </c>
    </row>
    <row r="586" spans="1:25" ht="12" hidden="1" customHeight="1" x14ac:dyDescent="0.25">
      <c r="A586" s="39" t="s">
        <v>2134</v>
      </c>
      <c r="C586" s="29" t="s">
        <v>362</v>
      </c>
      <c r="D586" s="29" t="s">
        <v>1100</v>
      </c>
      <c r="E586" s="29" t="s">
        <v>2132</v>
      </c>
      <c r="F586" s="33">
        <f>VLOOKUP(C586,'WSS-26'!$C$1:$AU$617,7,)</f>
        <v>0</v>
      </c>
      <c r="G586" s="32">
        <f t="shared" si="615"/>
        <v>0</v>
      </c>
      <c r="H586" s="32">
        <f t="shared" si="615"/>
        <v>0</v>
      </c>
      <c r="I586" s="32">
        <f t="shared" si="615"/>
        <v>0</v>
      </c>
      <c r="J586" s="32">
        <f t="shared" si="615"/>
        <v>0</v>
      </c>
      <c r="K586" s="32">
        <f t="shared" si="615"/>
        <v>0</v>
      </c>
      <c r="L586" s="32">
        <f t="shared" si="615"/>
        <v>0</v>
      </c>
      <c r="M586" s="32">
        <f t="shared" si="615"/>
        <v>0</v>
      </c>
      <c r="N586" s="32">
        <f t="shared" si="615"/>
        <v>0</v>
      </c>
      <c r="O586" s="32">
        <f t="shared" si="615"/>
        <v>0</v>
      </c>
      <c r="P586" s="32">
        <f t="shared" si="615"/>
        <v>0</v>
      </c>
      <c r="Q586" s="32">
        <f t="shared" si="615"/>
        <v>0</v>
      </c>
      <c r="R586" s="32">
        <f t="shared" si="615"/>
        <v>0</v>
      </c>
      <c r="S586" s="32">
        <f t="shared" si="615"/>
        <v>0</v>
      </c>
      <c r="T586" s="32">
        <f t="shared" si="615"/>
        <v>0</v>
      </c>
      <c r="U586" s="32">
        <f t="shared" si="615"/>
        <v>0</v>
      </c>
      <c r="V586" s="32">
        <f t="shared" si="615"/>
        <v>0</v>
      </c>
      <c r="W586" s="34">
        <f t="shared" si="616"/>
        <v>0</v>
      </c>
      <c r="X586" s="30" t="str">
        <f t="shared" si="617"/>
        <v>ok</v>
      </c>
      <c r="Y586" s="66" t="str">
        <f t="shared" si="618"/>
        <v/>
      </c>
    </row>
    <row r="587" spans="1:25" ht="12" hidden="1" customHeight="1" x14ac:dyDescent="0.25">
      <c r="A587" s="39" t="s">
        <v>2134</v>
      </c>
      <c r="C587" s="29" t="s">
        <v>362</v>
      </c>
      <c r="D587" s="29" t="s">
        <v>1101</v>
      </c>
      <c r="E587" s="29" t="s">
        <v>2132</v>
      </c>
      <c r="F587" s="33">
        <f>VLOOKUP(C587,'WSS-26'!$C$1:$AU$617,8,)</f>
        <v>0</v>
      </c>
      <c r="G587" s="32">
        <f t="shared" si="615"/>
        <v>0</v>
      </c>
      <c r="H587" s="32">
        <f t="shared" si="615"/>
        <v>0</v>
      </c>
      <c r="I587" s="32">
        <f t="shared" si="615"/>
        <v>0</v>
      </c>
      <c r="J587" s="32">
        <f t="shared" si="615"/>
        <v>0</v>
      </c>
      <c r="K587" s="32">
        <f t="shared" si="615"/>
        <v>0</v>
      </c>
      <c r="L587" s="32">
        <f t="shared" si="615"/>
        <v>0</v>
      </c>
      <c r="M587" s="32">
        <f t="shared" si="615"/>
        <v>0</v>
      </c>
      <c r="N587" s="32">
        <f t="shared" si="615"/>
        <v>0</v>
      </c>
      <c r="O587" s="32">
        <f t="shared" si="615"/>
        <v>0</v>
      </c>
      <c r="P587" s="32">
        <f t="shared" si="615"/>
        <v>0</v>
      </c>
      <c r="Q587" s="32">
        <f t="shared" si="615"/>
        <v>0</v>
      </c>
      <c r="R587" s="32">
        <f t="shared" si="615"/>
        <v>0</v>
      </c>
      <c r="S587" s="32">
        <f t="shared" si="615"/>
        <v>0</v>
      </c>
      <c r="T587" s="32">
        <f t="shared" si="615"/>
        <v>0</v>
      </c>
      <c r="U587" s="32">
        <f t="shared" si="615"/>
        <v>0</v>
      </c>
      <c r="V587" s="32">
        <f t="shared" si="615"/>
        <v>0</v>
      </c>
      <c r="W587" s="34">
        <f t="shared" si="616"/>
        <v>0</v>
      </c>
      <c r="X587" s="30" t="str">
        <f t="shared" si="617"/>
        <v>ok</v>
      </c>
      <c r="Y587" s="66" t="str">
        <f t="shared" si="618"/>
        <v/>
      </c>
    </row>
    <row r="588" spans="1:25" ht="12" customHeight="1" x14ac:dyDescent="0.25">
      <c r="A588" s="39" t="s">
        <v>2136</v>
      </c>
      <c r="C588" s="29" t="s">
        <v>362</v>
      </c>
      <c r="D588" s="29" t="s">
        <v>1102</v>
      </c>
      <c r="E588" s="29" t="s">
        <v>376</v>
      </c>
      <c r="F588" s="33">
        <f>VLOOKUP(C588,'WSS-26'!$C$1:$AU$617,9,)</f>
        <v>0</v>
      </c>
      <c r="G588" s="32">
        <f t="shared" si="615"/>
        <v>0</v>
      </c>
      <c r="H588" s="32">
        <f t="shared" si="615"/>
        <v>0</v>
      </c>
      <c r="I588" s="32">
        <f t="shared" si="615"/>
        <v>0</v>
      </c>
      <c r="J588" s="32">
        <f t="shared" si="615"/>
        <v>0</v>
      </c>
      <c r="K588" s="32">
        <f t="shared" si="615"/>
        <v>0</v>
      </c>
      <c r="L588" s="32">
        <f t="shared" si="615"/>
        <v>0</v>
      </c>
      <c r="M588" s="32">
        <f t="shared" si="615"/>
        <v>0</v>
      </c>
      <c r="N588" s="32">
        <f t="shared" si="615"/>
        <v>0</v>
      </c>
      <c r="O588" s="32">
        <f t="shared" si="615"/>
        <v>0</v>
      </c>
      <c r="P588" s="32">
        <f t="shared" si="615"/>
        <v>0</v>
      </c>
      <c r="Q588" s="32">
        <f t="shared" si="615"/>
        <v>0</v>
      </c>
      <c r="R588" s="32">
        <f t="shared" si="615"/>
        <v>0</v>
      </c>
      <c r="S588" s="32">
        <f t="shared" si="615"/>
        <v>0</v>
      </c>
      <c r="T588" s="32">
        <f t="shared" si="615"/>
        <v>0</v>
      </c>
      <c r="U588" s="32">
        <f t="shared" si="615"/>
        <v>0</v>
      </c>
      <c r="V588" s="32">
        <f t="shared" si="615"/>
        <v>0</v>
      </c>
      <c r="W588" s="34">
        <f t="shared" si="616"/>
        <v>0</v>
      </c>
      <c r="X588" s="30" t="str">
        <f t="shared" si="617"/>
        <v>ok</v>
      </c>
      <c r="Y588" s="66" t="str">
        <f t="shared" si="618"/>
        <v/>
      </c>
    </row>
    <row r="589" spans="1:25" ht="12" hidden="1" customHeight="1" x14ac:dyDescent="0.25">
      <c r="A589" s="39" t="s">
        <v>2135</v>
      </c>
      <c r="C589" s="29" t="s">
        <v>362</v>
      </c>
      <c r="D589" s="29" t="s">
        <v>1103</v>
      </c>
      <c r="E589" s="29" t="s">
        <v>376</v>
      </c>
      <c r="F589" s="33">
        <f>VLOOKUP(C589,'WSS-26'!$C$1:$AU$617,10,)</f>
        <v>0</v>
      </c>
      <c r="G589" s="32">
        <f t="shared" si="615"/>
        <v>0</v>
      </c>
      <c r="H589" s="32">
        <f t="shared" si="615"/>
        <v>0</v>
      </c>
      <c r="I589" s="32">
        <f t="shared" si="615"/>
        <v>0</v>
      </c>
      <c r="J589" s="32">
        <f t="shared" si="615"/>
        <v>0</v>
      </c>
      <c r="K589" s="32">
        <f t="shared" si="615"/>
        <v>0</v>
      </c>
      <c r="L589" s="32">
        <f t="shared" si="615"/>
        <v>0</v>
      </c>
      <c r="M589" s="32">
        <f t="shared" si="615"/>
        <v>0</v>
      </c>
      <c r="N589" s="32">
        <f t="shared" si="615"/>
        <v>0</v>
      </c>
      <c r="O589" s="32">
        <f t="shared" si="615"/>
        <v>0</v>
      </c>
      <c r="P589" s="32">
        <f t="shared" si="615"/>
        <v>0</v>
      </c>
      <c r="Q589" s="32">
        <f t="shared" si="615"/>
        <v>0</v>
      </c>
      <c r="R589" s="32">
        <f t="shared" si="615"/>
        <v>0</v>
      </c>
      <c r="S589" s="32">
        <f t="shared" si="615"/>
        <v>0</v>
      </c>
      <c r="T589" s="32">
        <f t="shared" si="615"/>
        <v>0</v>
      </c>
      <c r="U589" s="32">
        <f t="shared" si="615"/>
        <v>0</v>
      </c>
      <c r="V589" s="32">
        <f t="shared" si="615"/>
        <v>0</v>
      </c>
      <c r="W589" s="34">
        <f t="shared" si="616"/>
        <v>0</v>
      </c>
      <c r="X589" s="30" t="str">
        <f t="shared" si="617"/>
        <v>ok</v>
      </c>
      <c r="Y589" s="66" t="str">
        <f t="shared" si="618"/>
        <v/>
      </c>
    </row>
    <row r="590" spans="1:25" ht="12" hidden="1" customHeight="1" x14ac:dyDescent="0.25">
      <c r="A590" s="39" t="s">
        <v>2135</v>
      </c>
      <c r="C590" s="29" t="s">
        <v>362</v>
      </c>
      <c r="D590" s="29" t="s">
        <v>1104</v>
      </c>
      <c r="E590" s="29" t="s">
        <v>376</v>
      </c>
      <c r="F590" s="33">
        <f>VLOOKUP(C590,'WSS-26'!$C$1:$AU$617,11,)</f>
        <v>0</v>
      </c>
      <c r="G590" s="32">
        <f t="shared" si="615"/>
        <v>0</v>
      </c>
      <c r="H590" s="32">
        <f t="shared" si="615"/>
        <v>0</v>
      </c>
      <c r="I590" s="32">
        <f t="shared" si="615"/>
        <v>0</v>
      </c>
      <c r="J590" s="32">
        <f t="shared" si="615"/>
        <v>0</v>
      </c>
      <c r="K590" s="32">
        <f t="shared" si="615"/>
        <v>0</v>
      </c>
      <c r="L590" s="32">
        <f t="shared" si="615"/>
        <v>0</v>
      </c>
      <c r="M590" s="32">
        <f t="shared" si="615"/>
        <v>0</v>
      </c>
      <c r="N590" s="32">
        <f t="shared" si="615"/>
        <v>0</v>
      </c>
      <c r="O590" s="32">
        <f t="shared" si="615"/>
        <v>0</v>
      </c>
      <c r="P590" s="32">
        <f t="shared" si="615"/>
        <v>0</v>
      </c>
      <c r="Q590" s="32">
        <f t="shared" si="615"/>
        <v>0</v>
      </c>
      <c r="R590" s="32">
        <f t="shared" si="615"/>
        <v>0</v>
      </c>
      <c r="S590" s="32">
        <f t="shared" si="615"/>
        <v>0</v>
      </c>
      <c r="T590" s="32">
        <f t="shared" si="615"/>
        <v>0</v>
      </c>
      <c r="U590" s="32">
        <f t="shared" si="615"/>
        <v>0</v>
      </c>
      <c r="V590" s="32">
        <f t="shared" si="615"/>
        <v>0</v>
      </c>
      <c r="W590" s="34">
        <f t="shared" si="616"/>
        <v>0</v>
      </c>
      <c r="X590" s="30" t="str">
        <f t="shared" si="617"/>
        <v>ok</v>
      </c>
      <c r="Y590" s="66" t="str">
        <f t="shared" si="618"/>
        <v/>
      </c>
    </row>
    <row r="591" spans="1:25" ht="12" customHeight="1" x14ac:dyDescent="0.25">
      <c r="A591" s="29" t="s">
        <v>160</v>
      </c>
      <c r="D591" s="29" t="s">
        <v>1105</v>
      </c>
      <c r="F591" s="32">
        <f t="shared" ref="F591:T591" si="619">SUM(F585:F590)</f>
        <v>65140685.345224604</v>
      </c>
      <c r="G591" s="32">
        <f t="shared" si="619"/>
        <v>26953226.399415955</v>
      </c>
      <c r="H591" s="32">
        <f t="shared" si="619"/>
        <v>6113721.6326255295</v>
      </c>
      <c r="I591" s="32">
        <f>SUM(I585:I590)</f>
        <v>413238.58079356118</v>
      </c>
      <c r="J591" s="32">
        <f>SUM(J585:J590)</f>
        <v>6769567.910803766</v>
      </c>
      <c r="K591" s="32">
        <f>SUM(K585:K590)</f>
        <v>467561.36909822229</v>
      </c>
      <c r="L591" s="32">
        <f t="shared" si="619"/>
        <v>6315481.6162193455</v>
      </c>
      <c r="M591" s="32">
        <f t="shared" si="619"/>
        <v>12335610.959454644</v>
      </c>
      <c r="N591" s="32">
        <f t="shared" si="619"/>
        <v>4039603.7684114571</v>
      </c>
      <c r="O591" s="32">
        <f t="shared" si="619"/>
        <v>1703656.6097186727</v>
      </c>
      <c r="P591" s="32">
        <f>SUM(P585:P590)</f>
        <v>24767.011122616215</v>
      </c>
      <c r="Q591" s="32">
        <f t="shared" si="619"/>
        <v>282.48164983829355</v>
      </c>
      <c r="R591" s="32">
        <f t="shared" si="619"/>
        <v>3394.6931557810767</v>
      </c>
      <c r="S591" s="32">
        <f t="shared" si="619"/>
        <v>572.31275521224995</v>
      </c>
      <c r="T591" s="32">
        <f t="shared" si="619"/>
        <v>0</v>
      </c>
      <c r="U591" s="32">
        <f t="shared" ref="U591:V591" si="620">SUM(U585:U590)</f>
        <v>0</v>
      </c>
      <c r="V591" s="32">
        <f t="shared" si="620"/>
        <v>0</v>
      </c>
      <c r="W591" s="34">
        <f t="shared" ref="W591" si="621">SUM(G591:V591)</f>
        <v>65140685.345224589</v>
      </c>
      <c r="X591" s="30" t="str">
        <f t="shared" ref="X591" si="622">IF(ABS(F591-W591)&lt;0.01,"ok","err")</f>
        <v>ok</v>
      </c>
      <c r="Y591" s="66" t="str">
        <f t="shared" ref="Y591" si="623">IF(X591="err",W591-F591,"")</f>
        <v/>
      </c>
    </row>
    <row r="592" spans="1:25" ht="12" customHeight="1" x14ac:dyDescent="0.25">
      <c r="F592" s="33"/>
      <c r="G592" s="33"/>
    </row>
    <row r="593" spans="1:25" ht="12" customHeight="1" x14ac:dyDescent="0.25">
      <c r="A593" s="4" t="s">
        <v>426</v>
      </c>
      <c r="F593" s="33"/>
      <c r="G593" s="33"/>
    </row>
    <row r="594" spans="1:25" ht="12" customHeight="1" x14ac:dyDescent="0.25">
      <c r="A594" s="39" t="s">
        <v>2124</v>
      </c>
      <c r="C594" s="29" t="s">
        <v>362</v>
      </c>
      <c r="D594" s="29" t="s">
        <v>1106</v>
      </c>
      <c r="E594" s="29" t="s">
        <v>2125</v>
      </c>
      <c r="F594" s="32">
        <f>VLOOKUP(C594,'WSS-26'!$C$1:$AU$617,13,)</f>
        <v>15800399.550161783</v>
      </c>
      <c r="G594" s="32">
        <f t="shared" ref="G594:V596" si="624">IF(VLOOKUP($E594,$D$5:$V$970,3,)=0,0,(VLOOKUP($E594,$D$5:$V$970,G$1,)/VLOOKUP($E594,$D$5:$V$970,3,))*$F594)</f>
        <v>6787129.5619897433</v>
      </c>
      <c r="H594" s="32">
        <f t="shared" si="624"/>
        <v>2002169.7212228496</v>
      </c>
      <c r="I594" s="32">
        <f t="shared" si="624"/>
        <v>177089.89979764741</v>
      </c>
      <c r="J594" s="32">
        <f t="shared" si="624"/>
        <v>1510540.701452605</v>
      </c>
      <c r="K594" s="32">
        <f t="shared" si="624"/>
        <v>100084.02756934628</v>
      </c>
      <c r="L594" s="32">
        <f t="shared" si="624"/>
        <v>1205184.2241178334</v>
      </c>
      <c r="M594" s="32">
        <f t="shared" si="624"/>
        <v>2574289.8231420899</v>
      </c>
      <c r="N594" s="32">
        <f t="shared" si="624"/>
        <v>823740.86988906469</v>
      </c>
      <c r="O594" s="32">
        <f t="shared" si="624"/>
        <v>503783.44164849253</v>
      </c>
      <c r="P594" s="32">
        <f t="shared" si="624"/>
        <v>112435.48239906384</v>
      </c>
      <c r="Q594" s="32">
        <f t="shared" si="624"/>
        <v>1326.6752550929439</v>
      </c>
      <c r="R594" s="32">
        <f t="shared" si="624"/>
        <v>729.99834467106064</v>
      </c>
      <c r="S594" s="32">
        <f t="shared" si="624"/>
        <v>1895.1233332787281</v>
      </c>
      <c r="T594" s="32">
        <f t="shared" si="624"/>
        <v>0</v>
      </c>
      <c r="U594" s="32">
        <f t="shared" si="624"/>
        <v>0</v>
      </c>
      <c r="V594" s="32">
        <f t="shared" si="624"/>
        <v>0</v>
      </c>
      <c r="W594" s="34">
        <f>SUM(G594:V594)</f>
        <v>15800399.550161783</v>
      </c>
      <c r="X594" s="30" t="str">
        <f t="shared" ref="X594:X596" si="625">IF(ABS(F594-W594)&lt;0.01,"ok","err")</f>
        <v>ok</v>
      </c>
      <c r="Y594" s="66" t="str">
        <f t="shared" ref="Y594:Y596" si="626">IF(X594="err",W594-F594,"")</f>
        <v/>
      </c>
    </row>
    <row r="595" spans="1:25" ht="12" hidden="1" customHeight="1" x14ac:dyDescent="0.25">
      <c r="A595" s="39" t="s">
        <v>2123</v>
      </c>
      <c r="C595" s="29" t="s">
        <v>362</v>
      </c>
      <c r="D595" s="29" t="s">
        <v>1107</v>
      </c>
      <c r="E595" s="29" t="s">
        <v>2125</v>
      </c>
      <c r="F595" s="33">
        <f>VLOOKUP(C595,'WSS-26'!$C$1:$AU$617,14,)</f>
        <v>0</v>
      </c>
      <c r="G595" s="32">
        <f t="shared" si="624"/>
        <v>0</v>
      </c>
      <c r="H595" s="32">
        <f t="shared" si="624"/>
        <v>0</v>
      </c>
      <c r="I595" s="32">
        <f t="shared" si="624"/>
        <v>0</v>
      </c>
      <c r="J595" s="32">
        <f t="shared" si="624"/>
        <v>0</v>
      </c>
      <c r="K595" s="32">
        <f t="shared" si="624"/>
        <v>0</v>
      </c>
      <c r="L595" s="32">
        <f t="shared" si="624"/>
        <v>0</v>
      </c>
      <c r="M595" s="32">
        <f t="shared" si="624"/>
        <v>0</v>
      </c>
      <c r="N595" s="32">
        <f t="shared" si="624"/>
        <v>0</v>
      </c>
      <c r="O595" s="32">
        <f t="shared" si="624"/>
        <v>0</v>
      </c>
      <c r="P595" s="32">
        <f t="shared" si="624"/>
        <v>0</v>
      </c>
      <c r="Q595" s="32">
        <f t="shared" si="624"/>
        <v>0</v>
      </c>
      <c r="R595" s="32">
        <f t="shared" si="624"/>
        <v>0</v>
      </c>
      <c r="S595" s="32">
        <f t="shared" si="624"/>
        <v>0</v>
      </c>
      <c r="T595" s="32">
        <f t="shared" si="624"/>
        <v>0</v>
      </c>
      <c r="U595" s="32">
        <f t="shared" si="624"/>
        <v>0</v>
      </c>
      <c r="V595" s="32">
        <f t="shared" si="624"/>
        <v>0</v>
      </c>
      <c r="W595" s="34">
        <f>SUM(G595:V595)</f>
        <v>0</v>
      </c>
      <c r="X595" s="30" t="str">
        <f t="shared" si="625"/>
        <v>ok</v>
      </c>
      <c r="Y595" s="66" t="str">
        <f t="shared" si="626"/>
        <v/>
      </c>
    </row>
    <row r="596" spans="1:25" ht="12" hidden="1" customHeight="1" x14ac:dyDescent="0.25">
      <c r="A596" s="39" t="s">
        <v>2123</v>
      </c>
      <c r="C596" s="29" t="s">
        <v>362</v>
      </c>
      <c r="D596" s="29" t="s">
        <v>1108</v>
      </c>
      <c r="E596" s="29" t="s">
        <v>2125</v>
      </c>
      <c r="F596" s="33">
        <f>VLOOKUP(C596,'WSS-26'!$C$1:$AU$617,15,)</f>
        <v>0</v>
      </c>
      <c r="G596" s="32">
        <f t="shared" si="624"/>
        <v>0</v>
      </c>
      <c r="H596" s="32">
        <f t="shared" si="624"/>
        <v>0</v>
      </c>
      <c r="I596" s="32">
        <f t="shared" si="624"/>
        <v>0</v>
      </c>
      <c r="J596" s="32">
        <f t="shared" si="624"/>
        <v>0</v>
      </c>
      <c r="K596" s="32">
        <f t="shared" si="624"/>
        <v>0</v>
      </c>
      <c r="L596" s="32">
        <f t="shared" si="624"/>
        <v>0</v>
      </c>
      <c r="M596" s="32">
        <f t="shared" si="624"/>
        <v>0</v>
      </c>
      <c r="N596" s="32">
        <f t="shared" si="624"/>
        <v>0</v>
      </c>
      <c r="O596" s="32">
        <f t="shared" si="624"/>
        <v>0</v>
      </c>
      <c r="P596" s="32">
        <f t="shared" si="624"/>
        <v>0</v>
      </c>
      <c r="Q596" s="32">
        <f t="shared" si="624"/>
        <v>0</v>
      </c>
      <c r="R596" s="32">
        <f t="shared" si="624"/>
        <v>0</v>
      </c>
      <c r="S596" s="32">
        <f t="shared" si="624"/>
        <v>0</v>
      </c>
      <c r="T596" s="32">
        <f t="shared" si="624"/>
        <v>0</v>
      </c>
      <c r="U596" s="32">
        <f t="shared" si="624"/>
        <v>0</v>
      </c>
      <c r="V596" s="32">
        <f t="shared" si="624"/>
        <v>0</v>
      </c>
      <c r="W596" s="34">
        <f>SUM(G596:V596)</f>
        <v>0</v>
      </c>
      <c r="X596" s="30" t="str">
        <f t="shared" si="625"/>
        <v>ok</v>
      </c>
      <c r="Y596" s="66" t="str">
        <f t="shared" si="626"/>
        <v/>
      </c>
    </row>
    <row r="597" spans="1:25" ht="12" hidden="1" customHeight="1" x14ac:dyDescent="0.25">
      <c r="A597" s="29" t="s">
        <v>428</v>
      </c>
      <c r="D597" s="29" t="s">
        <v>1109</v>
      </c>
      <c r="F597" s="32">
        <f t="shared" ref="F597:T597" si="627">SUM(F594:F596)</f>
        <v>15800399.550161783</v>
      </c>
      <c r="G597" s="32">
        <f t="shared" si="627"/>
        <v>6787129.5619897433</v>
      </c>
      <c r="H597" s="32">
        <f t="shared" si="627"/>
        <v>2002169.7212228496</v>
      </c>
      <c r="I597" s="32">
        <f>SUM(I594:I596)</f>
        <v>177089.89979764741</v>
      </c>
      <c r="J597" s="32">
        <f>SUM(J594:J596)</f>
        <v>1510540.701452605</v>
      </c>
      <c r="K597" s="32">
        <f>SUM(K594:K596)</f>
        <v>100084.02756934628</v>
      </c>
      <c r="L597" s="32">
        <f t="shared" si="627"/>
        <v>1205184.2241178334</v>
      </c>
      <c r="M597" s="32">
        <f t="shared" si="627"/>
        <v>2574289.8231420899</v>
      </c>
      <c r="N597" s="32">
        <f t="shared" si="627"/>
        <v>823740.86988906469</v>
      </c>
      <c r="O597" s="32">
        <f t="shared" si="627"/>
        <v>503783.44164849253</v>
      </c>
      <c r="P597" s="32">
        <f>SUM(P594:P596)</f>
        <v>112435.48239906384</v>
      </c>
      <c r="Q597" s="32">
        <f t="shared" si="627"/>
        <v>1326.6752550929439</v>
      </c>
      <c r="R597" s="32">
        <f t="shared" si="627"/>
        <v>729.99834467106064</v>
      </c>
      <c r="S597" s="32">
        <f t="shared" si="627"/>
        <v>1895.1233332787281</v>
      </c>
      <c r="T597" s="32">
        <f t="shared" si="627"/>
        <v>0</v>
      </c>
      <c r="U597" s="32">
        <f t="shared" ref="U597:V597" si="628">SUM(U594:U596)</f>
        <v>0</v>
      </c>
      <c r="V597" s="32">
        <f t="shared" si="628"/>
        <v>0</v>
      </c>
      <c r="W597" s="34">
        <f>SUM(G597:V597)</f>
        <v>15800399.550161783</v>
      </c>
      <c r="X597" s="30" t="str">
        <f>IF(ABS(F597-W597)&lt;0.01,"ok","err")</f>
        <v>ok</v>
      </c>
      <c r="Y597" s="34" t="str">
        <f>IF(X597="err",W597-F597,"")</f>
        <v/>
      </c>
    </row>
    <row r="598" spans="1:25" ht="12" customHeight="1" x14ac:dyDescent="0.25">
      <c r="F598" s="33"/>
      <c r="G598" s="33"/>
    </row>
    <row r="599" spans="1:25" ht="12" customHeight="1" x14ac:dyDescent="0.25">
      <c r="A599" s="4" t="s">
        <v>1593</v>
      </c>
      <c r="F599" s="33"/>
      <c r="G599" s="33"/>
    </row>
    <row r="600" spans="1:25" ht="12" customHeight="1" x14ac:dyDescent="0.25">
      <c r="A600" s="39" t="s">
        <v>145</v>
      </c>
      <c r="C600" s="29" t="s">
        <v>362</v>
      </c>
      <c r="D600" s="29" t="s">
        <v>1110</v>
      </c>
      <c r="E600" s="29" t="s">
        <v>2129</v>
      </c>
      <c r="F600" s="32">
        <f>VLOOKUP(C600,'WSS-26'!$C$1:$AU$617,17,)</f>
        <v>0</v>
      </c>
      <c r="G600" s="32">
        <f t="shared" ref="G600:V600" si="629">IF(VLOOKUP($E600,$D$5:$V$970,3,)=0,0,(VLOOKUP($E600,$D$5:$V$970,G$1,)/VLOOKUP($E600,$D$5:$V$970,3,))*$F600)</f>
        <v>0</v>
      </c>
      <c r="H600" s="32">
        <f t="shared" si="629"/>
        <v>0</v>
      </c>
      <c r="I600" s="32">
        <f t="shared" si="629"/>
        <v>0</v>
      </c>
      <c r="J600" s="32">
        <f t="shared" si="629"/>
        <v>0</v>
      </c>
      <c r="K600" s="32">
        <f t="shared" si="629"/>
        <v>0</v>
      </c>
      <c r="L600" s="32">
        <f t="shared" si="629"/>
        <v>0</v>
      </c>
      <c r="M600" s="32">
        <f t="shared" si="629"/>
        <v>0</v>
      </c>
      <c r="N600" s="32">
        <f t="shared" si="629"/>
        <v>0</v>
      </c>
      <c r="O600" s="32">
        <f t="shared" si="629"/>
        <v>0</v>
      </c>
      <c r="P600" s="32">
        <f t="shared" si="629"/>
        <v>0</v>
      </c>
      <c r="Q600" s="32">
        <f t="shared" si="629"/>
        <v>0</v>
      </c>
      <c r="R600" s="32">
        <f t="shared" si="629"/>
        <v>0</v>
      </c>
      <c r="S600" s="32">
        <f t="shared" si="629"/>
        <v>0</v>
      </c>
      <c r="T600" s="32">
        <f t="shared" si="629"/>
        <v>0</v>
      </c>
      <c r="U600" s="32">
        <f t="shared" si="629"/>
        <v>0</v>
      </c>
      <c r="V600" s="32">
        <f t="shared" si="629"/>
        <v>0</v>
      </c>
      <c r="W600" s="34">
        <f t="shared" ref="W600" si="630">SUM(G600:V600)</f>
        <v>0</v>
      </c>
      <c r="X600" s="30" t="str">
        <f t="shared" ref="X600" si="631">IF(ABS(F600-W600)&lt;0.01,"ok","err")</f>
        <v>ok</v>
      </c>
      <c r="Y600" s="66" t="str">
        <f t="shared" ref="Y600" si="632">IF(X600="err",W600-F600,"")</f>
        <v/>
      </c>
    </row>
    <row r="601" spans="1:25" ht="12" customHeight="1" x14ac:dyDescent="0.25">
      <c r="F601" s="33"/>
    </row>
    <row r="602" spans="1:25" ht="12" customHeight="1" x14ac:dyDescent="0.25">
      <c r="A602" s="4" t="s">
        <v>1594</v>
      </c>
      <c r="F602" s="33"/>
      <c r="G602" s="33"/>
    </row>
    <row r="603" spans="1:25" ht="12" customHeight="1" x14ac:dyDescent="0.25">
      <c r="A603" s="39" t="s">
        <v>147</v>
      </c>
      <c r="C603" s="29" t="s">
        <v>362</v>
      </c>
      <c r="D603" s="29" t="s">
        <v>1111</v>
      </c>
      <c r="E603" s="29" t="s">
        <v>2129</v>
      </c>
      <c r="F603" s="32">
        <f>VLOOKUP(C603,'WSS-26'!$C$1:$AU$617,18,)</f>
        <v>4110566.6942541357</v>
      </c>
      <c r="G603" s="32">
        <f t="shared" ref="G603:V603" si="633">IF(VLOOKUP($E603,$D$5:$V$970,3,)=0,0,(VLOOKUP($E603,$D$5:$V$970,G$1,)/VLOOKUP($E603,$D$5:$V$970,3,))*$F603)</f>
        <v>1927671.4728147371</v>
      </c>
      <c r="H603" s="32">
        <f t="shared" si="633"/>
        <v>568653.56997888919</v>
      </c>
      <c r="I603" s="32">
        <f t="shared" si="633"/>
        <v>50296.836806437423</v>
      </c>
      <c r="J603" s="32">
        <f t="shared" si="633"/>
        <v>429021.75243905408</v>
      </c>
      <c r="K603" s="32">
        <f t="shared" si="633"/>
        <v>28425.731830773035</v>
      </c>
      <c r="L603" s="32">
        <f t="shared" si="633"/>
        <v>342294.81360264932</v>
      </c>
      <c r="M603" s="32">
        <f t="shared" si="633"/>
        <v>731146.35716096568</v>
      </c>
      <c r="N603" s="32">
        <f t="shared" si="633"/>
        <v>0</v>
      </c>
      <c r="O603" s="32">
        <f t="shared" si="633"/>
        <v>0</v>
      </c>
      <c r="P603" s="32">
        <f t="shared" si="633"/>
        <v>31933.775534012173</v>
      </c>
      <c r="Q603" s="32">
        <f t="shared" si="633"/>
        <v>376.80053394798398</v>
      </c>
      <c r="R603" s="32">
        <f t="shared" si="633"/>
        <v>207.33315481483808</v>
      </c>
      <c r="S603" s="32">
        <f t="shared" si="633"/>
        <v>538.25039785390504</v>
      </c>
      <c r="T603" s="32">
        <f t="shared" si="633"/>
        <v>0</v>
      </c>
      <c r="U603" s="32">
        <f t="shared" si="633"/>
        <v>0</v>
      </c>
      <c r="V603" s="32">
        <f t="shared" si="633"/>
        <v>0</v>
      </c>
      <c r="W603" s="34">
        <f t="shared" ref="W603" si="634">SUM(G603:V603)</f>
        <v>4110566.6942541352</v>
      </c>
      <c r="X603" s="30" t="str">
        <f t="shared" ref="X603" si="635">IF(ABS(F603-W603)&lt;0.01,"ok","err")</f>
        <v>ok</v>
      </c>
      <c r="Y603" s="66" t="str">
        <f t="shared" ref="Y603" si="636">IF(X603="err",W603-F603,"")</f>
        <v/>
      </c>
    </row>
    <row r="604" spans="1:25" ht="12" customHeight="1" x14ac:dyDescent="0.25">
      <c r="F604" s="33"/>
    </row>
    <row r="605" spans="1:25" ht="12" customHeight="1" x14ac:dyDescent="0.25">
      <c r="A605" s="4" t="s">
        <v>146</v>
      </c>
      <c r="F605" s="33"/>
      <c r="G605" s="32"/>
      <c r="H605" s="32"/>
      <c r="I605" s="32"/>
      <c r="J605" s="32"/>
      <c r="K605" s="32"/>
      <c r="L605" s="32"/>
      <c r="M605" s="32"/>
      <c r="N605" s="32"/>
      <c r="O605" s="32"/>
      <c r="P605" s="32"/>
      <c r="Q605" s="32"/>
      <c r="R605" s="32"/>
      <c r="S605" s="32"/>
      <c r="T605" s="32"/>
      <c r="U605" s="32"/>
      <c r="V605" s="32"/>
      <c r="W605" s="34"/>
      <c r="X605" s="30"/>
      <c r="Y605" s="66"/>
    </row>
    <row r="606" spans="1:25" ht="12" customHeight="1" x14ac:dyDescent="0.25">
      <c r="A606" s="39" t="s">
        <v>767</v>
      </c>
      <c r="C606" s="29" t="s">
        <v>362</v>
      </c>
      <c r="D606" s="29" t="s">
        <v>1112</v>
      </c>
      <c r="E606" s="29" t="s">
        <v>2129</v>
      </c>
      <c r="F606" s="32">
        <f>VLOOKUP(C606,'WSS-26'!$C$1:$AU$617,19,)</f>
        <v>0</v>
      </c>
      <c r="G606" s="32">
        <f t="shared" ref="G606:V610" si="637">IF(VLOOKUP($E606,$D$5:$V$970,3,)=0,0,(VLOOKUP($E606,$D$5:$V$970,G$1,)/VLOOKUP($E606,$D$5:$V$970,3,))*$F606)</f>
        <v>0</v>
      </c>
      <c r="H606" s="32">
        <f t="shared" si="637"/>
        <v>0</v>
      </c>
      <c r="I606" s="32">
        <f t="shared" si="637"/>
        <v>0</v>
      </c>
      <c r="J606" s="32">
        <f t="shared" si="637"/>
        <v>0</v>
      </c>
      <c r="K606" s="32">
        <f t="shared" si="637"/>
        <v>0</v>
      </c>
      <c r="L606" s="32">
        <f t="shared" si="637"/>
        <v>0</v>
      </c>
      <c r="M606" s="32">
        <f t="shared" si="637"/>
        <v>0</v>
      </c>
      <c r="N606" s="32">
        <f t="shared" si="637"/>
        <v>0</v>
      </c>
      <c r="O606" s="32">
        <f t="shared" si="637"/>
        <v>0</v>
      </c>
      <c r="P606" s="32">
        <f t="shared" si="637"/>
        <v>0</v>
      </c>
      <c r="Q606" s="32">
        <f t="shared" si="637"/>
        <v>0</v>
      </c>
      <c r="R606" s="32">
        <f t="shared" si="637"/>
        <v>0</v>
      </c>
      <c r="S606" s="32">
        <f t="shared" si="637"/>
        <v>0</v>
      </c>
      <c r="T606" s="32">
        <f t="shared" si="637"/>
        <v>0</v>
      </c>
      <c r="U606" s="32">
        <f t="shared" si="637"/>
        <v>0</v>
      </c>
      <c r="V606" s="32">
        <f t="shared" si="637"/>
        <v>0</v>
      </c>
      <c r="W606" s="34">
        <f t="shared" ref="W606:W610" si="638">SUM(G606:V606)</f>
        <v>0</v>
      </c>
      <c r="X606" s="30" t="str">
        <f t="shared" ref="X606:X610" si="639">IF(ABS(F606-W606)&lt;0.01,"ok","err")</f>
        <v>ok</v>
      </c>
      <c r="Y606" s="66" t="str">
        <f t="shared" ref="Y606:Y610" si="640">IF(X606="err",W606-F606,"")</f>
        <v/>
      </c>
    </row>
    <row r="607" spans="1:25" ht="12" customHeight="1" x14ac:dyDescent="0.25">
      <c r="A607" s="39" t="s">
        <v>768</v>
      </c>
      <c r="C607" s="29" t="s">
        <v>362</v>
      </c>
      <c r="D607" s="29" t="s">
        <v>1113</v>
      </c>
      <c r="E607" s="29" t="s">
        <v>2129</v>
      </c>
      <c r="F607" s="33">
        <f>VLOOKUP(C607,'WSS-26'!$C$1:$AU$617,20,)</f>
        <v>3362992.4450632972</v>
      </c>
      <c r="G607" s="32">
        <f t="shared" si="637"/>
        <v>1577092.6691693778</v>
      </c>
      <c r="H607" s="32">
        <f t="shared" si="637"/>
        <v>465234.55327229016</v>
      </c>
      <c r="I607" s="32">
        <f t="shared" si="637"/>
        <v>41149.528707822748</v>
      </c>
      <c r="J607" s="32">
        <f t="shared" si="637"/>
        <v>350997.08131171711</v>
      </c>
      <c r="K607" s="32">
        <f t="shared" si="637"/>
        <v>23256.044361452907</v>
      </c>
      <c r="L607" s="32">
        <f t="shared" si="637"/>
        <v>280042.86458583619</v>
      </c>
      <c r="M607" s="32">
        <f t="shared" si="637"/>
        <v>598175.35105437238</v>
      </c>
      <c r="N607" s="32">
        <f t="shared" si="637"/>
        <v>0</v>
      </c>
      <c r="O607" s="32">
        <f t="shared" si="637"/>
        <v>0</v>
      </c>
      <c r="P607" s="32">
        <f t="shared" si="637"/>
        <v>26126.092544209801</v>
      </c>
      <c r="Q607" s="32">
        <f t="shared" si="637"/>
        <v>308.27315142074747</v>
      </c>
      <c r="R607" s="32">
        <f t="shared" si="637"/>
        <v>169.62620609661647</v>
      </c>
      <c r="S607" s="32">
        <f t="shared" si="637"/>
        <v>440.36069870007208</v>
      </c>
      <c r="T607" s="32">
        <f t="shared" si="637"/>
        <v>0</v>
      </c>
      <c r="U607" s="32">
        <f t="shared" si="637"/>
        <v>0</v>
      </c>
      <c r="V607" s="32">
        <f t="shared" si="637"/>
        <v>0</v>
      </c>
      <c r="W607" s="34">
        <f t="shared" si="638"/>
        <v>3362992.4450632962</v>
      </c>
      <c r="X607" s="30" t="str">
        <f t="shared" si="639"/>
        <v>ok</v>
      </c>
      <c r="Y607" s="66" t="str">
        <f t="shared" si="640"/>
        <v/>
      </c>
    </row>
    <row r="608" spans="1:25" ht="12" customHeight="1" x14ac:dyDescent="0.25">
      <c r="A608" s="39" t="s">
        <v>769</v>
      </c>
      <c r="C608" s="29" t="s">
        <v>362</v>
      </c>
      <c r="D608" s="29" t="s">
        <v>1114</v>
      </c>
      <c r="E608" s="29" t="s">
        <v>872</v>
      </c>
      <c r="F608" s="33">
        <f>VLOOKUP(C608,'WSS-26'!$C$1:$AU$617,21,)</f>
        <v>6328347.6949061956</v>
      </c>
      <c r="G608" s="32">
        <f t="shared" si="637"/>
        <v>5054624.0763217406</v>
      </c>
      <c r="H608" s="32">
        <f t="shared" si="637"/>
        <v>977967.25282703131</v>
      </c>
      <c r="I608" s="32">
        <f t="shared" si="637"/>
        <v>6462.7213382143736</v>
      </c>
      <c r="J608" s="32">
        <f t="shared" si="637"/>
        <v>51771.262333007609</v>
      </c>
      <c r="K608" s="32">
        <f t="shared" si="637"/>
        <v>2385.8792037135499</v>
      </c>
      <c r="L608" s="32">
        <f t="shared" si="637"/>
        <v>8570.6340327574126</v>
      </c>
      <c r="M608" s="32">
        <f t="shared" si="637"/>
        <v>2999.7219114650943</v>
      </c>
      <c r="N608" s="32">
        <f t="shared" si="637"/>
        <v>0</v>
      </c>
      <c r="O608" s="32">
        <f t="shared" si="637"/>
        <v>0</v>
      </c>
      <c r="P608" s="32">
        <f t="shared" si="637"/>
        <v>222477.4447773475</v>
      </c>
      <c r="Q608" s="32">
        <f t="shared" si="637"/>
        <v>34.745813646313835</v>
      </c>
      <c r="R608" s="32">
        <f t="shared" si="637"/>
        <v>984.46471997889205</v>
      </c>
      <c r="S608" s="32">
        <f t="shared" si="637"/>
        <v>69.491627292627669</v>
      </c>
      <c r="T608" s="32">
        <f t="shared" si="637"/>
        <v>0</v>
      </c>
      <c r="U608" s="32">
        <f t="shared" si="637"/>
        <v>0</v>
      </c>
      <c r="V608" s="32">
        <f t="shared" si="637"/>
        <v>0</v>
      </c>
      <c r="W608" s="34">
        <f t="shared" si="638"/>
        <v>6328347.6949061947</v>
      </c>
      <c r="X608" s="30" t="str">
        <f t="shared" si="639"/>
        <v>ok</v>
      </c>
      <c r="Y608" s="66" t="str">
        <f t="shared" si="640"/>
        <v/>
      </c>
    </row>
    <row r="609" spans="1:25" ht="12" customHeight="1" x14ac:dyDescent="0.25">
      <c r="A609" s="39" t="s">
        <v>770</v>
      </c>
      <c r="C609" s="29" t="s">
        <v>362</v>
      </c>
      <c r="D609" s="29" t="s">
        <v>1115</v>
      </c>
      <c r="E609" s="29" t="s">
        <v>709</v>
      </c>
      <c r="F609" s="33">
        <f>VLOOKUP(C609,'WSS-26'!$C$1:$AU$617,22,)</f>
        <v>1831876.7122493635</v>
      </c>
      <c r="G609" s="32">
        <f t="shared" si="637"/>
        <v>1424298.8746925842</v>
      </c>
      <c r="H609" s="32">
        <f t="shared" si="637"/>
        <v>373224.04951627553</v>
      </c>
      <c r="I609" s="32">
        <f t="shared" si="637"/>
        <v>22299.391378638124</v>
      </c>
      <c r="J609" s="32">
        <f t="shared" si="637"/>
        <v>0</v>
      </c>
      <c r="K609" s="32">
        <f t="shared" si="637"/>
        <v>0</v>
      </c>
      <c r="L609" s="32">
        <f t="shared" si="637"/>
        <v>0</v>
      </c>
      <c r="M609" s="32">
        <f t="shared" si="637"/>
        <v>0</v>
      </c>
      <c r="N609" s="32">
        <f t="shared" si="637"/>
        <v>0</v>
      </c>
      <c r="O609" s="32">
        <f t="shared" si="637"/>
        <v>0</v>
      </c>
      <c r="P609" s="32">
        <f t="shared" si="637"/>
        <v>11837.858164889507</v>
      </c>
      <c r="Q609" s="32">
        <f t="shared" si="637"/>
        <v>139.68004730853221</v>
      </c>
      <c r="R609" s="32">
        <f t="shared" si="637"/>
        <v>76.858449667594385</v>
      </c>
      <c r="S609" s="32">
        <f t="shared" si="637"/>
        <v>0</v>
      </c>
      <c r="T609" s="32">
        <f t="shared" si="637"/>
        <v>0</v>
      </c>
      <c r="U609" s="32">
        <f t="shared" si="637"/>
        <v>0</v>
      </c>
      <c r="V609" s="32">
        <f t="shared" si="637"/>
        <v>0</v>
      </c>
      <c r="W609" s="34">
        <f t="shared" si="638"/>
        <v>1831876.7122493635</v>
      </c>
      <c r="X609" s="30" t="str">
        <f t="shared" si="639"/>
        <v>ok</v>
      </c>
      <c r="Y609" s="66" t="str">
        <f t="shared" si="640"/>
        <v/>
      </c>
    </row>
    <row r="610" spans="1:25" ht="12" customHeight="1" x14ac:dyDescent="0.25">
      <c r="A610" s="39" t="s">
        <v>771</v>
      </c>
      <c r="C610" s="29" t="s">
        <v>362</v>
      </c>
      <c r="D610" s="29" t="s">
        <v>1116</v>
      </c>
      <c r="E610" s="29" t="s">
        <v>871</v>
      </c>
      <c r="F610" s="33">
        <f>VLOOKUP(C610,'WSS-26'!$C$1:$AU$617,23,)</f>
        <v>3393511.016036497</v>
      </c>
      <c r="G610" s="32">
        <f t="shared" si="637"/>
        <v>2712798.563471518</v>
      </c>
      <c r="H610" s="32">
        <f t="shared" si="637"/>
        <v>524871.50746173202</v>
      </c>
      <c r="I610" s="32">
        <f t="shared" si="637"/>
        <v>3468.5192998927801</v>
      </c>
      <c r="J610" s="32">
        <f t="shared" si="637"/>
        <v>27785.450305592702</v>
      </c>
      <c r="K610" s="32">
        <f t="shared" si="637"/>
        <v>0</v>
      </c>
      <c r="L610" s="32">
        <f t="shared" si="637"/>
        <v>4599.8284622234005</v>
      </c>
      <c r="M610" s="32">
        <f t="shared" si="637"/>
        <v>0</v>
      </c>
      <c r="N610" s="32">
        <f t="shared" si="637"/>
        <v>0</v>
      </c>
      <c r="O610" s="32">
        <f t="shared" si="637"/>
        <v>0</v>
      </c>
      <c r="P610" s="32">
        <f t="shared" si="637"/>
        <v>119402.84450114772</v>
      </c>
      <c r="Q610" s="32">
        <f t="shared" si="637"/>
        <v>18.647953225230001</v>
      </c>
      <c r="R610" s="32">
        <f t="shared" si="637"/>
        <v>528.35867471485005</v>
      </c>
      <c r="S610" s="32">
        <f t="shared" si="637"/>
        <v>37.295906450460002</v>
      </c>
      <c r="T610" s="32">
        <f t="shared" si="637"/>
        <v>0</v>
      </c>
      <c r="U610" s="32">
        <f t="shared" si="637"/>
        <v>0</v>
      </c>
      <c r="V610" s="32">
        <f t="shared" si="637"/>
        <v>0</v>
      </c>
      <c r="W610" s="34">
        <f t="shared" si="638"/>
        <v>3393511.016036497</v>
      </c>
      <c r="X610" s="30" t="str">
        <f t="shared" si="639"/>
        <v>ok</v>
      </c>
      <c r="Y610" s="66" t="str">
        <f t="shared" si="640"/>
        <v/>
      </c>
    </row>
    <row r="611" spans="1:25" ht="12" customHeight="1" x14ac:dyDescent="0.25">
      <c r="A611" s="29" t="s">
        <v>151</v>
      </c>
      <c r="D611" s="29" t="s">
        <v>1117</v>
      </c>
      <c r="F611" s="32">
        <f t="shared" ref="F611:T611" si="641">SUM(F606:F610)</f>
        <v>14916727.868255353</v>
      </c>
      <c r="G611" s="32">
        <f t="shared" si="641"/>
        <v>10768814.183655221</v>
      </c>
      <c r="H611" s="32">
        <f t="shared" si="641"/>
        <v>2341297.363077329</v>
      </c>
      <c r="I611" s="32">
        <f>SUM(I606:I610)</f>
        <v>73380.160724568021</v>
      </c>
      <c r="J611" s="32">
        <f>SUM(J606:J610)</f>
        <v>430553.79395031737</v>
      </c>
      <c r="K611" s="32">
        <f>SUM(K606:K610)</f>
        <v>25641.923565166457</v>
      </c>
      <c r="L611" s="32">
        <f t="shared" si="641"/>
        <v>293213.32708081702</v>
      </c>
      <c r="M611" s="32">
        <f t="shared" si="641"/>
        <v>601175.07296583743</v>
      </c>
      <c r="N611" s="32">
        <f t="shared" si="641"/>
        <v>0</v>
      </c>
      <c r="O611" s="32">
        <f t="shared" si="641"/>
        <v>0</v>
      </c>
      <c r="P611" s="32">
        <f>SUM(P606:P610)</f>
        <v>379844.23998759454</v>
      </c>
      <c r="Q611" s="32">
        <f t="shared" si="641"/>
        <v>501.34696560082352</v>
      </c>
      <c r="R611" s="32">
        <f t="shared" si="641"/>
        <v>1759.308050457953</v>
      </c>
      <c r="S611" s="32">
        <f t="shared" si="641"/>
        <v>547.14823244315983</v>
      </c>
      <c r="T611" s="32">
        <f t="shared" si="641"/>
        <v>0</v>
      </c>
      <c r="U611" s="32">
        <f t="shared" ref="U611:V611" si="642">SUM(U606:U610)</f>
        <v>0</v>
      </c>
      <c r="V611" s="32">
        <f t="shared" si="642"/>
        <v>0</v>
      </c>
      <c r="W611" s="34">
        <f t="shared" ref="W611" si="643">SUM(G611:V611)</f>
        <v>14916727.868255354</v>
      </c>
      <c r="X611" s="30" t="str">
        <f t="shared" ref="X611" si="644">IF(ABS(F611-W611)&lt;0.01,"ok","err")</f>
        <v>ok</v>
      </c>
      <c r="Y611" s="34" t="str">
        <f t="shared" ref="Y611" si="645">IF(X611="err",W611-F611,"")</f>
        <v/>
      </c>
    </row>
    <row r="612" spans="1:25" ht="12" customHeight="1" x14ac:dyDescent="0.25">
      <c r="F612" s="33"/>
    </row>
    <row r="613" spans="1:25" ht="12" customHeight="1" x14ac:dyDescent="0.25">
      <c r="A613" s="4" t="s">
        <v>766</v>
      </c>
      <c r="F613" s="33"/>
    </row>
    <row r="614" spans="1:25" ht="12" customHeight="1" x14ac:dyDescent="0.25">
      <c r="A614" s="39" t="s">
        <v>375</v>
      </c>
      <c r="C614" s="29" t="s">
        <v>362</v>
      </c>
      <c r="D614" s="29" t="s">
        <v>1118</v>
      </c>
      <c r="E614" s="29" t="s">
        <v>2058</v>
      </c>
      <c r="F614" s="32">
        <f>VLOOKUP(C614,'WSS-26'!$C$1:$AU$617,24,)</f>
        <v>2481494.7895812783</v>
      </c>
      <c r="G614" s="32">
        <f t="shared" ref="G614:V615" si="646">IF(VLOOKUP($E614,$D$5:$V$970,3,)=0,0,(VLOOKUP($E614,$D$5:$V$970,G$1,)/VLOOKUP($E614,$D$5:$V$970,3,))*$F614)</f>
        <v>1581990.0902061856</v>
      </c>
      <c r="H614" s="32">
        <f t="shared" si="646"/>
        <v>414545.54114480264</v>
      </c>
      <c r="I614" s="32">
        <f t="shared" si="646"/>
        <v>24768.267956575422</v>
      </c>
      <c r="J614" s="32">
        <f t="shared" si="646"/>
        <v>263380.62703685503</v>
      </c>
      <c r="K614" s="32">
        <f t="shared" si="646"/>
        <v>0</v>
      </c>
      <c r="L614" s="32">
        <f t="shared" si="646"/>
        <v>183080.90865710485</v>
      </c>
      <c r="M614" s="32">
        <f t="shared" si="646"/>
        <v>0</v>
      </c>
      <c r="N614" s="32">
        <f t="shared" si="646"/>
        <v>0</v>
      </c>
      <c r="O614" s="32">
        <f t="shared" si="646"/>
        <v>0</v>
      </c>
      <c r="P614" s="32">
        <f t="shared" si="646"/>
        <v>13148.48634572125</v>
      </c>
      <c r="Q614" s="32">
        <f t="shared" si="646"/>
        <v>155.14472037290847</v>
      </c>
      <c r="R614" s="32">
        <f t="shared" si="646"/>
        <v>85.367831066347406</v>
      </c>
      <c r="S614" s="32">
        <f t="shared" si="646"/>
        <v>340.35568259392886</v>
      </c>
      <c r="T614" s="32">
        <f t="shared" si="646"/>
        <v>0</v>
      </c>
      <c r="U614" s="32">
        <f t="shared" si="646"/>
        <v>0</v>
      </c>
      <c r="V614" s="32">
        <f t="shared" si="646"/>
        <v>0</v>
      </c>
      <c r="W614" s="34">
        <f t="shared" ref="W614:W615" si="647">SUM(G614:V614)</f>
        <v>2481494.7895812774</v>
      </c>
      <c r="X614" s="30" t="str">
        <f t="shared" ref="X614:X615" si="648">IF(ABS(F614-W614)&lt;0.01,"ok","err")</f>
        <v>ok</v>
      </c>
      <c r="Y614" s="66" t="str">
        <f t="shared" ref="Y614:Y615" si="649">IF(X614="err",W614-F614,"")</f>
        <v/>
      </c>
    </row>
    <row r="615" spans="1:25" ht="12" customHeight="1" x14ac:dyDescent="0.25">
      <c r="A615" s="39" t="s">
        <v>378</v>
      </c>
      <c r="C615" s="29" t="s">
        <v>362</v>
      </c>
      <c r="D615" s="29" t="s">
        <v>1119</v>
      </c>
      <c r="E615" s="29" t="s">
        <v>2057</v>
      </c>
      <c r="F615" s="33">
        <f>VLOOKUP(C615,'WSS-26'!$C$1:$AU$617,25,)</f>
        <v>2152081.1740783616</v>
      </c>
      <c r="G615" s="32">
        <f t="shared" si="646"/>
        <v>1720390.0885910923</v>
      </c>
      <c r="H615" s="32">
        <f t="shared" si="646"/>
        <v>332860.5932559541</v>
      </c>
      <c r="I615" s="32">
        <f t="shared" si="646"/>
        <v>2199.6495817906698</v>
      </c>
      <c r="J615" s="32">
        <f t="shared" si="646"/>
        <v>17620.848800366119</v>
      </c>
      <c r="K615" s="32">
        <f t="shared" si="646"/>
        <v>0</v>
      </c>
      <c r="L615" s="32">
        <f t="shared" si="646"/>
        <v>2917.0980116937199</v>
      </c>
      <c r="M615" s="32">
        <f t="shared" si="646"/>
        <v>0</v>
      </c>
      <c r="N615" s="32">
        <f t="shared" si="646"/>
        <v>0</v>
      </c>
      <c r="O615" s="32">
        <f t="shared" si="646"/>
        <v>0</v>
      </c>
      <c r="P615" s="32">
        <f t="shared" si="646"/>
        <v>75722.345549492791</v>
      </c>
      <c r="Q615" s="32">
        <f t="shared" si="646"/>
        <v>11.826073020379946</v>
      </c>
      <c r="R615" s="32">
        <f t="shared" si="646"/>
        <v>335.0720689107651</v>
      </c>
      <c r="S615" s="32">
        <f t="shared" si="646"/>
        <v>23.652146040759892</v>
      </c>
      <c r="T615" s="32">
        <f t="shared" si="646"/>
        <v>0</v>
      </c>
      <c r="U615" s="32">
        <f t="shared" si="646"/>
        <v>0</v>
      </c>
      <c r="V615" s="32">
        <f t="shared" si="646"/>
        <v>0</v>
      </c>
      <c r="W615" s="34">
        <f t="shared" si="647"/>
        <v>2152081.1740783611</v>
      </c>
      <c r="X615" s="30" t="str">
        <f t="shared" si="648"/>
        <v>ok</v>
      </c>
      <c r="Y615" s="66" t="str">
        <f t="shared" si="649"/>
        <v/>
      </c>
    </row>
    <row r="616" spans="1:25" ht="12" customHeight="1" x14ac:dyDescent="0.25">
      <c r="A616" s="29" t="s">
        <v>1434</v>
      </c>
      <c r="D616" s="29" t="s">
        <v>1120</v>
      </c>
      <c r="F616" s="32">
        <f t="shared" ref="F616:T616" si="650">F614+F615</f>
        <v>4633575.9636596404</v>
      </c>
      <c r="G616" s="32">
        <f t="shared" si="650"/>
        <v>3302380.1787972776</v>
      </c>
      <c r="H616" s="32">
        <f t="shared" si="650"/>
        <v>747406.1344007568</v>
      </c>
      <c r="I616" s="32">
        <f>I614+I615</f>
        <v>26967.917538366091</v>
      </c>
      <c r="J616" s="32">
        <f>J614+J615</f>
        <v>281001.47583722114</v>
      </c>
      <c r="K616" s="32">
        <f>K614+K615</f>
        <v>0</v>
      </c>
      <c r="L616" s="32">
        <f t="shared" si="650"/>
        <v>185998.00666879857</v>
      </c>
      <c r="M616" s="32">
        <f t="shared" si="650"/>
        <v>0</v>
      </c>
      <c r="N616" s="32">
        <f t="shared" si="650"/>
        <v>0</v>
      </c>
      <c r="O616" s="32">
        <f t="shared" si="650"/>
        <v>0</v>
      </c>
      <c r="P616" s="32">
        <f>P614+P615</f>
        <v>88870.83189521404</v>
      </c>
      <c r="Q616" s="32">
        <f t="shared" si="650"/>
        <v>166.9707933932884</v>
      </c>
      <c r="R616" s="32">
        <f t="shared" si="650"/>
        <v>420.43989997711253</v>
      </c>
      <c r="S616" s="32">
        <f t="shared" si="650"/>
        <v>364.00782863468874</v>
      </c>
      <c r="T616" s="32">
        <f t="shared" si="650"/>
        <v>0</v>
      </c>
      <c r="U616" s="32">
        <f t="shared" ref="U616:V616" si="651">U614+U615</f>
        <v>0</v>
      </c>
      <c r="V616" s="32">
        <f t="shared" si="651"/>
        <v>0</v>
      </c>
      <c r="W616" s="34">
        <f>SUM(G616:V616)</f>
        <v>4633575.9636596395</v>
      </c>
      <c r="X616" s="30" t="str">
        <f>IF(ABS(F616-W616)&lt;0.01,"ok","err")</f>
        <v>ok</v>
      </c>
      <c r="Y616" s="34" t="str">
        <f>IF(X616="err",W616-F616,"")</f>
        <v/>
      </c>
    </row>
    <row r="617" spans="1:25" ht="12" customHeight="1" x14ac:dyDescent="0.25">
      <c r="F617" s="33"/>
    </row>
    <row r="618" spans="1:25" ht="12" customHeight="1" x14ac:dyDescent="0.25">
      <c r="A618" s="4" t="s">
        <v>128</v>
      </c>
      <c r="F618" s="33"/>
    </row>
    <row r="619" spans="1:25" ht="12" customHeight="1" x14ac:dyDescent="0.25">
      <c r="A619" s="39" t="s">
        <v>378</v>
      </c>
      <c r="C619" s="29" t="s">
        <v>362</v>
      </c>
      <c r="D619" s="29" t="s">
        <v>1121</v>
      </c>
      <c r="E619" s="29" t="s">
        <v>379</v>
      </c>
      <c r="F619" s="32">
        <f>VLOOKUP(C619,'WSS-26'!$C$1:$AU$617,26,)</f>
        <v>1593611.717143907</v>
      </c>
      <c r="G619" s="32">
        <f t="shared" ref="G619:V619" si="652">IF(VLOOKUP($E619,$D$5:$V$970,3,)=0,0,(VLOOKUP($E619,$D$5:$V$970,G$1,)/VLOOKUP($E619,$D$5:$V$970,3,))*$F619)</f>
        <v>1118225.751473479</v>
      </c>
      <c r="H619" s="32">
        <f t="shared" si="652"/>
        <v>438540.58897951676</v>
      </c>
      <c r="I619" s="32">
        <f t="shared" si="652"/>
        <v>3763.0816241309453</v>
      </c>
      <c r="J619" s="32">
        <f t="shared" si="652"/>
        <v>28053.046513619014</v>
      </c>
      <c r="K619" s="32">
        <f t="shared" si="652"/>
        <v>0</v>
      </c>
      <c r="L619" s="32">
        <f t="shared" si="652"/>
        <v>4991.5906489741719</v>
      </c>
      <c r="M619" s="32">
        <f t="shared" si="652"/>
        <v>0</v>
      </c>
      <c r="N619" s="32">
        <f t="shared" si="652"/>
        <v>0</v>
      </c>
      <c r="O619" s="32">
        <f t="shared" si="652"/>
        <v>0</v>
      </c>
      <c r="P619" s="32">
        <f t="shared" si="652"/>
        <v>0</v>
      </c>
      <c r="Q619" s="32">
        <f t="shared" si="652"/>
        <v>0</v>
      </c>
      <c r="R619" s="32">
        <f t="shared" si="652"/>
        <v>0</v>
      </c>
      <c r="S619" s="32">
        <f t="shared" si="652"/>
        <v>37.657904187123734</v>
      </c>
      <c r="T619" s="32">
        <f t="shared" si="652"/>
        <v>0</v>
      </c>
      <c r="U619" s="32">
        <f t="shared" si="652"/>
        <v>0</v>
      </c>
      <c r="V619" s="32">
        <f t="shared" si="652"/>
        <v>0</v>
      </c>
      <c r="W619" s="34">
        <f t="shared" ref="W619" si="653">SUM(G619:V619)</f>
        <v>1593611.7171439067</v>
      </c>
      <c r="X619" s="30" t="str">
        <f t="shared" ref="X619" si="654">IF(ABS(F619-W619)&lt;0.01,"ok","err")</f>
        <v>ok</v>
      </c>
      <c r="Y619" s="66" t="str">
        <f t="shared" ref="Y619" si="655">IF(X619="err",W619-F619,"")</f>
        <v/>
      </c>
    </row>
    <row r="620" spans="1:25" ht="12" customHeight="1" x14ac:dyDescent="0.25">
      <c r="F620" s="33"/>
    </row>
    <row r="621" spans="1:25" ht="12" customHeight="1" x14ac:dyDescent="0.25">
      <c r="A621" s="4" t="s">
        <v>127</v>
      </c>
      <c r="F621" s="33"/>
    </row>
    <row r="622" spans="1:25" ht="12" customHeight="1" x14ac:dyDescent="0.25">
      <c r="A622" s="39" t="s">
        <v>378</v>
      </c>
      <c r="C622" s="29" t="s">
        <v>362</v>
      </c>
      <c r="D622" s="29" t="s">
        <v>1122</v>
      </c>
      <c r="E622" s="29" t="s">
        <v>380</v>
      </c>
      <c r="F622" s="32">
        <f>VLOOKUP(C622,'WSS-26'!$C$1:$AU$617,27,)</f>
        <v>1138688.3374714218</v>
      </c>
      <c r="G622" s="32">
        <f t="shared" ref="G622:V622" si="656">IF(VLOOKUP($E622,$D$5:$V$970,3,)=0,0,(VLOOKUP($E622,$D$5:$V$970,G$1,)/VLOOKUP($E622,$D$5:$V$970,3,))*$F622)</f>
        <v>701196.96197082568</v>
      </c>
      <c r="H622" s="32">
        <f t="shared" si="656"/>
        <v>269747.86146212544</v>
      </c>
      <c r="I622" s="32">
        <f t="shared" si="656"/>
        <v>5925.4038056790323</v>
      </c>
      <c r="J622" s="32">
        <f t="shared" si="656"/>
        <v>76101.110563699505</v>
      </c>
      <c r="K622" s="32">
        <f t="shared" si="656"/>
        <v>17897.528564236451</v>
      </c>
      <c r="L622" s="32">
        <f t="shared" si="656"/>
        <v>14785.364447630476</v>
      </c>
      <c r="M622" s="32">
        <f t="shared" si="656"/>
        <v>31828.497198852248</v>
      </c>
      <c r="N622" s="32">
        <f t="shared" si="656"/>
        <v>18870.823494732645</v>
      </c>
      <c r="O622" s="32">
        <f t="shared" si="656"/>
        <v>953.70331064461266</v>
      </c>
      <c r="P622" s="32">
        <f t="shared" si="656"/>
        <v>0</v>
      </c>
      <c r="Q622" s="32">
        <f t="shared" si="656"/>
        <v>49.807415444368523</v>
      </c>
      <c r="R622" s="32">
        <f t="shared" si="656"/>
        <v>1229.1184779013522</v>
      </c>
      <c r="S622" s="32">
        <f t="shared" si="656"/>
        <v>102.15675964998069</v>
      </c>
      <c r="T622" s="32">
        <f t="shared" si="656"/>
        <v>0</v>
      </c>
      <c r="U622" s="32">
        <f t="shared" si="656"/>
        <v>0</v>
      </c>
      <c r="V622" s="32">
        <f t="shared" si="656"/>
        <v>0</v>
      </c>
      <c r="W622" s="34">
        <f t="shared" ref="W622" si="657">SUM(G622:V622)</f>
        <v>1138688.3374714218</v>
      </c>
      <c r="X622" s="30" t="str">
        <f t="shared" ref="X622" si="658">IF(ABS(F622-W622)&lt;0.01,"ok","err")</f>
        <v>ok</v>
      </c>
      <c r="Y622" s="66" t="str">
        <f t="shared" ref="Y622" si="659">IF(X622="err",W622-F622,"")</f>
        <v/>
      </c>
    </row>
    <row r="623" spans="1:25" ht="12" customHeight="1" x14ac:dyDescent="0.25">
      <c r="F623" s="33"/>
    </row>
    <row r="624" spans="1:25" ht="12" customHeight="1" x14ac:dyDescent="0.25">
      <c r="A624" s="4" t="s">
        <v>144</v>
      </c>
      <c r="F624" s="33"/>
    </row>
    <row r="625" spans="1:25" ht="12" customHeight="1" x14ac:dyDescent="0.25">
      <c r="A625" s="39" t="s">
        <v>378</v>
      </c>
      <c r="C625" s="29" t="s">
        <v>362</v>
      </c>
      <c r="D625" s="29" t="s">
        <v>1123</v>
      </c>
      <c r="E625" s="29" t="s">
        <v>381</v>
      </c>
      <c r="F625" s="32">
        <f>VLOOKUP(C625,'WSS-26'!$C$1:$AU$617,28,)</f>
        <v>1865912.3787602866</v>
      </c>
      <c r="G625" s="32">
        <f t="shared" ref="G625:V625" si="660">IF(VLOOKUP($E625,$D$5:$V$970,3,)=0,0,(VLOOKUP($E625,$D$5:$V$970,G$1,)/VLOOKUP($E625,$D$5:$V$970,3,))*$F625)</f>
        <v>0</v>
      </c>
      <c r="H625" s="32">
        <f t="shared" si="660"/>
        <v>0</v>
      </c>
      <c r="I625" s="32">
        <f t="shared" si="660"/>
        <v>0</v>
      </c>
      <c r="J625" s="32">
        <f t="shared" si="660"/>
        <v>0</v>
      </c>
      <c r="K625" s="32">
        <f t="shared" si="660"/>
        <v>0</v>
      </c>
      <c r="L625" s="32">
        <f t="shared" si="660"/>
        <v>0</v>
      </c>
      <c r="M625" s="32">
        <f t="shared" si="660"/>
        <v>0</v>
      </c>
      <c r="N625" s="32">
        <f t="shared" si="660"/>
        <v>0</v>
      </c>
      <c r="O625" s="32">
        <f t="shared" si="660"/>
        <v>0</v>
      </c>
      <c r="P625" s="32">
        <f t="shared" si="660"/>
        <v>1865912.3787602866</v>
      </c>
      <c r="Q625" s="32">
        <f t="shared" si="660"/>
        <v>0</v>
      </c>
      <c r="R625" s="32">
        <f t="shared" si="660"/>
        <v>0</v>
      </c>
      <c r="S625" s="32">
        <f t="shared" si="660"/>
        <v>0</v>
      </c>
      <c r="T625" s="32">
        <f t="shared" si="660"/>
        <v>0</v>
      </c>
      <c r="U625" s="32">
        <f t="shared" si="660"/>
        <v>0</v>
      </c>
      <c r="V625" s="32">
        <f t="shared" si="660"/>
        <v>0</v>
      </c>
      <c r="W625" s="34">
        <f t="shared" ref="W625" si="661">SUM(G625:V625)</f>
        <v>1865912.3787602866</v>
      </c>
      <c r="X625" s="30" t="str">
        <f t="shared" ref="X625" si="662">IF(ABS(F625-W625)&lt;0.01,"ok","err")</f>
        <v>ok</v>
      </c>
      <c r="Y625" s="66" t="str">
        <f t="shared" ref="Y625" si="663">IF(X625="err",W625-F625,"")</f>
        <v/>
      </c>
    </row>
    <row r="626" spans="1:25" ht="12" customHeight="1" x14ac:dyDescent="0.25">
      <c r="F626" s="33"/>
    </row>
    <row r="627" spans="1:25" ht="12" customHeight="1" x14ac:dyDescent="0.25">
      <c r="A627" s="4" t="s">
        <v>279</v>
      </c>
      <c r="F627" s="33"/>
    </row>
    <row r="628" spans="1:25" ht="12" customHeight="1" x14ac:dyDescent="0.25">
      <c r="A628" s="39" t="s">
        <v>378</v>
      </c>
      <c r="C628" s="29" t="s">
        <v>362</v>
      </c>
      <c r="D628" s="29" t="s">
        <v>1124</v>
      </c>
      <c r="E628" s="29" t="s">
        <v>382</v>
      </c>
      <c r="F628" s="32">
        <f>VLOOKUP(C628,'WSS-26'!$C$1:$AU$617,30,)</f>
        <v>0</v>
      </c>
      <c r="G628" s="32">
        <f t="shared" ref="G628:V628" si="664">IF(VLOOKUP($E628,$D$5:$V$970,3,)=0,0,(VLOOKUP($E628,$D$5:$V$970,G$1,)/VLOOKUP($E628,$D$5:$V$970,3,))*$F628)</f>
        <v>0</v>
      </c>
      <c r="H628" s="32">
        <f t="shared" si="664"/>
        <v>0</v>
      </c>
      <c r="I628" s="32">
        <f t="shared" si="664"/>
        <v>0</v>
      </c>
      <c r="J628" s="32">
        <f t="shared" si="664"/>
        <v>0</v>
      </c>
      <c r="K628" s="32">
        <f t="shared" si="664"/>
        <v>0</v>
      </c>
      <c r="L628" s="32">
        <f t="shared" si="664"/>
        <v>0</v>
      </c>
      <c r="M628" s="32">
        <f t="shared" si="664"/>
        <v>0</v>
      </c>
      <c r="N628" s="32">
        <f t="shared" si="664"/>
        <v>0</v>
      </c>
      <c r="O628" s="32">
        <f t="shared" si="664"/>
        <v>0</v>
      </c>
      <c r="P628" s="32">
        <f t="shared" si="664"/>
        <v>0</v>
      </c>
      <c r="Q628" s="32">
        <f t="shared" si="664"/>
        <v>0</v>
      </c>
      <c r="R628" s="32">
        <f t="shared" si="664"/>
        <v>0</v>
      </c>
      <c r="S628" s="32">
        <f t="shared" si="664"/>
        <v>0</v>
      </c>
      <c r="T628" s="32">
        <f t="shared" si="664"/>
        <v>0</v>
      </c>
      <c r="U628" s="32">
        <f t="shared" si="664"/>
        <v>0</v>
      </c>
      <c r="V628" s="32">
        <f t="shared" si="664"/>
        <v>0</v>
      </c>
      <c r="W628" s="34">
        <f t="shared" ref="W628" si="665">SUM(G628:V628)</f>
        <v>0</v>
      </c>
      <c r="X628" s="30" t="str">
        <f t="shared" ref="X628" si="666">IF(ABS(F628-W628)&lt;0.01,"ok","err")</f>
        <v>ok</v>
      </c>
      <c r="Y628" s="66" t="str">
        <f t="shared" ref="Y628" si="667">IF(X628="err",W628-F628,"")</f>
        <v/>
      </c>
    </row>
    <row r="629" spans="1:25" ht="12" customHeight="1" x14ac:dyDescent="0.25">
      <c r="F629" s="33"/>
    </row>
    <row r="630" spans="1:25" ht="12" customHeight="1" x14ac:dyDescent="0.25">
      <c r="A630" s="4" t="s">
        <v>1596</v>
      </c>
      <c r="F630" s="33"/>
    </row>
    <row r="631" spans="1:25" ht="12" customHeight="1" x14ac:dyDescent="0.25">
      <c r="A631" s="39" t="s">
        <v>378</v>
      </c>
      <c r="C631" s="29" t="s">
        <v>362</v>
      </c>
      <c r="D631" s="29" t="s">
        <v>1125</v>
      </c>
      <c r="E631" s="29" t="s">
        <v>382</v>
      </c>
      <c r="F631" s="32">
        <f>VLOOKUP(C631,'WSS-26'!$C$1:$AU$617,32,)</f>
        <v>0</v>
      </c>
      <c r="G631" s="32">
        <f t="shared" ref="G631:V631" si="668">IF(VLOOKUP($E631,$D$5:$V$970,3,)=0,0,(VLOOKUP($E631,$D$5:$V$970,G$1,)/VLOOKUP($E631,$D$5:$V$970,3,))*$F631)</f>
        <v>0</v>
      </c>
      <c r="H631" s="32">
        <f t="shared" si="668"/>
        <v>0</v>
      </c>
      <c r="I631" s="32">
        <f t="shared" si="668"/>
        <v>0</v>
      </c>
      <c r="J631" s="32">
        <f t="shared" si="668"/>
        <v>0</v>
      </c>
      <c r="K631" s="32">
        <f t="shared" si="668"/>
        <v>0</v>
      </c>
      <c r="L631" s="32">
        <f t="shared" si="668"/>
        <v>0</v>
      </c>
      <c r="M631" s="32">
        <f t="shared" si="668"/>
        <v>0</v>
      </c>
      <c r="N631" s="32">
        <f t="shared" si="668"/>
        <v>0</v>
      </c>
      <c r="O631" s="32">
        <f t="shared" si="668"/>
        <v>0</v>
      </c>
      <c r="P631" s="32">
        <f t="shared" si="668"/>
        <v>0</v>
      </c>
      <c r="Q631" s="32">
        <f t="shared" si="668"/>
        <v>0</v>
      </c>
      <c r="R631" s="32">
        <f t="shared" si="668"/>
        <v>0</v>
      </c>
      <c r="S631" s="32">
        <f t="shared" si="668"/>
        <v>0</v>
      </c>
      <c r="T631" s="32">
        <f t="shared" si="668"/>
        <v>0</v>
      </c>
      <c r="U631" s="32">
        <f t="shared" si="668"/>
        <v>0</v>
      </c>
      <c r="V631" s="32">
        <f t="shared" si="668"/>
        <v>0</v>
      </c>
      <c r="W631" s="34">
        <f t="shared" ref="W631" si="669">SUM(G631:V631)</f>
        <v>0</v>
      </c>
      <c r="X631" s="30" t="str">
        <f t="shared" ref="X631" si="670">IF(ABS(F631-W631)&lt;0.01,"ok","err")</f>
        <v>ok</v>
      </c>
      <c r="Y631" s="66" t="str">
        <f t="shared" ref="Y631" si="671">IF(X631="err",W631-F631,"")</f>
        <v/>
      </c>
    </row>
    <row r="632" spans="1:25" ht="12" customHeight="1" x14ac:dyDescent="0.25">
      <c r="F632" s="33"/>
    </row>
    <row r="633" spans="1:25" ht="12" customHeight="1" x14ac:dyDescent="0.25">
      <c r="A633" s="4" t="s">
        <v>1595</v>
      </c>
      <c r="F633" s="33"/>
    </row>
    <row r="634" spans="1:25" ht="12" customHeight="1" x14ac:dyDescent="0.25">
      <c r="A634" s="39" t="s">
        <v>378</v>
      </c>
      <c r="C634" s="29" t="s">
        <v>362</v>
      </c>
      <c r="D634" s="29" t="s">
        <v>1126</v>
      </c>
      <c r="E634" s="29" t="s">
        <v>383</v>
      </c>
      <c r="F634" s="32">
        <f>VLOOKUP(C634,'WSS-26'!$C$1:$AU$617,34,)</f>
        <v>0</v>
      </c>
      <c r="G634" s="32">
        <f t="shared" ref="G634:V634" si="672">IF(VLOOKUP($E634,$D$5:$V$970,3,)=0,0,(VLOOKUP($E634,$D$5:$V$970,G$1,)/VLOOKUP($E634,$D$5:$V$970,3,))*$F634)</f>
        <v>0</v>
      </c>
      <c r="H634" s="32">
        <f t="shared" si="672"/>
        <v>0</v>
      </c>
      <c r="I634" s="32">
        <f t="shared" si="672"/>
        <v>0</v>
      </c>
      <c r="J634" s="32">
        <f t="shared" si="672"/>
        <v>0</v>
      </c>
      <c r="K634" s="32">
        <f t="shared" si="672"/>
        <v>0</v>
      </c>
      <c r="L634" s="32">
        <f t="shared" si="672"/>
        <v>0</v>
      </c>
      <c r="M634" s="32">
        <f t="shared" si="672"/>
        <v>0</v>
      </c>
      <c r="N634" s="32">
        <f t="shared" si="672"/>
        <v>0</v>
      </c>
      <c r="O634" s="32">
        <f t="shared" si="672"/>
        <v>0</v>
      </c>
      <c r="P634" s="32">
        <f t="shared" si="672"/>
        <v>0</v>
      </c>
      <c r="Q634" s="32">
        <f t="shared" si="672"/>
        <v>0</v>
      </c>
      <c r="R634" s="32">
        <f t="shared" si="672"/>
        <v>0</v>
      </c>
      <c r="S634" s="32">
        <f t="shared" si="672"/>
        <v>0</v>
      </c>
      <c r="T634" s="32">
        <f t="shared" si="672"/>
        <v>0</v>
      </c>
      <c r="U634" s="32">
        <f t="shared" si="672"/>
        <v>0</v>
      </c>
      <c r="V634" s="32">
        <f t="shared" si="672"/>
        <v>0</v>
      </c>
      <c r="W634" s="34">
        <f t="shared" ref="W634" si="673">SUM(G634:V634)</f>
        <v>0</v>
      </c>
      <c r="X634" s="30" t="str">
        <f t="shared" ref="X634" si="674">IF(ABS(F634-W634)&lt;0.01,"ok","err")</f>
        <v>ok</v>
      </c>
      <c r="Y634" s="66" t="str">
        <f t="shared" ref="Y634" si="675">IF(X634="err",W634-F634,"")</f>
        <v/>
      </c>
    </row>
    <row r="635" spans="1:25" ht="12" customHeight="1" x14ac:dyDescent="0.25">
      <c r="F635" s="33"/>
    </row>
    <row r="636" spans="1:25" ht="12" customHeight="1" x14ac:dyDescent="0.25">
      <c r="A636" s="29" t="s">
        <v>62</v>
      </c>
      <c r="D636" s="29" t="s">
        <v>1127</v>
      </c>
      <c r="F636" s="32">
        <f>F591+F597+F600+F603+F611+F616+F619+F622+F625+F628+F631+F634</f>
        <v>109200167.85493113</v>
      </c>
      <c r="G636" s="32">
        <f t="shared" ref="G636:T636" si="676">G591+G597+G600+G603+G611+G616+G619+G622+G625+G628+G631+G634</f>
        <v>51558644.510117233</v>
      </c>
      <c r="H636" s="32">
        <f t="shared" si="676"/>
        <v>12481536.871746996</v>
      </c>
      <c r="I636" s="32">
        <f>I591+I597+I600+I603+I611+I616+I619+I622+I625+I628+I631+I634</f>
        <v>750661.88109039015</v>
      </c>
      <c r="J636" s="32">
        <f>J591+J597+J600+J603+J611+J616+J619+J622+J625+J628+J631+J634</f>
        <v>9524839.7915602811</v>
      </c>
      <c r="K636" s="32">
        <f>K591+K597+K600+K603+K611+K616+K619+K622+K625+K628+K631+K634</f>
        <v>639610.58062774455</v>
      </c>
      <c r="L636" s="32">
        <f t="shared" si="676"/>
        <v>8361948.9427860491</v>
      </c>
      <c r="M636" s="32">
        <f t="shared" si="676"/>
        <v>16274050.709922388</v>
      </c>
      <c r="N636" s="32">
        <f t="shared" si="676"/>
        <v>4882215.4617952537</v>
      </c>
      <c r="O636" s="32">
        <f>O591+O597+O600+O603+O611+O616+O619+O622+O625+O628+O631+O634</f>
        <v>2208393.7546778098</v>
      </c>
      <c r="P636" s="32">
        <f>P591+P597+P600+P603+P611+P616+P619+P622+P625+P628+P631+P634</f>
        <v>2503763.7196987877</v>
      </c>
      <c r="Q636" s="32">
        <f t="shared" si="676"/>
        <v>2704.0826133177015</v>
      </c>
      <c r="R636" s="32">
        <f t="shared" si="676"/>
        <v>7740.8910836033929</v>
      </c>
      <c r="S636" s="32">
        <f t="shared" si="676"/>
        <v>4056.657211259836</v>
      </c>
      <c r="T636" s="32">
        <f t="shared" si="676"/>
        <v>0</v>
      </c>
      <c r="U636" s="32">
        <f t="shared" ref="U636:V636" si="677">U591+U597+U600+U603+U611+U616+U619+U622+U625+U628+U631+U634</f>
        <v>0</v>
      </c>
      <c r="V636" s="32">
        <f t="shared" si="677"/>
        <v>0</v>
      </c>
      <c r="W636" s="34">
        <f>SUM(G636:V636)</f>
        <v>109200167.8549311</v>
      </c>
      <c r="X636" s="30" t="str">
        <f>IF(ABS(F636-W636)&lt;0.01,"ok","err")</f>
        <v>ok</v>
      </c>
      <c r="Y636" s="66" t="str">
        <f>IF(X636="err",W636-F636,"")</f>
        <v/>
      </c>
    </row>
    <row r="637" spans="1:25" ht="12" customHeight="1" x14ac:dyDescent="0.25">
      <c r="F637" s="32"/>
      <c r="G637" s="32"/>
      <c r="H637" s="32"/>
      <c r="I637" s="32"/>
      <c r="J637" s="32"/>
      <c r="K637" s="32"/>
      <c r="L637" s="32"/>
      <c r="M637" s="32"/>
      <c r="N637" s="32"/>
      <c r="O637" s="32"/>
      <c r="P637" s="32"/>
      <c r="Q637" s="32"/>
      <c r="R637" s="32"/>
      <c r="S637" s="32"/>
      <c r="T637" s="32"/>
      <c r="U637" s="32"/>
      <c r="V637" s="32"/>
      <c r="W637" s="34"/>
      <c r="X637" s="30"/>
    </row>
    <row r="638" spans="1:25" ht="12" customHeight="1" x14ac:dyDescent="0.25">
      <c r="F638" s="32"/>
      <c r="G638" s="32"/>
      <c r="H638" s="32"/>
      <c r="I638" s="32"/>
      <c r="J638" s="32"/>
      <c r="K638" s="32"/>
      <c r="L638" s="32"/>
      <c r="M638" s="32"/>
      <c r="N638" s="32"/>
      <c r="O638" s="32"/>
      <c r="P638" s="32"/>
      <c r="Q638" s="32"/>
      <c r="R638" s="32"/>
      <c r="S638" s="32"/>
      <c r="T638" s="32"/>
      <c r="U638" s="32"/>
      <c r="V638" s="32"/>
      <c r="W638" s="34"/>
      <c r="X638" s="30"/>
    </row>
    <row r="639" spans="1:25" ht="12" customHeight="1" x14ac:dyDescent="0.25">
      <c r="F639" s="32"/>
      <c r="G639" s="32"/>
      <c r="H639" s="32"/>
      <c r="I639" s="32"/>
      <c r="J639" s="32"/>
      <c r="K639" s="32"/>
      <c r="L639" s="32"/>
      <c r="M639" s="32"/>
      <c r="N639" s="32"/>
      <c r="O639" s="32"/>
      <c r="P639" s="32"/>
      <c r="Q639" s="32"/>
      <c r="R639" s="32"/>
      <c r="S639" s="32"/>
      <c r="T639" s="32"/>
      <c r="U639" s="32"/>
      <c r="V639" s="32"/>
      <c r="W639" s="34"/>
      <c r="X639" s="30"/>
    </row>
    <row r="640" spans="1:25" ht="12" customHeight="1" x14ac:dyDescent="0.25">
      <c r="F640" s="32"/>
      <c r="G640" s="32"/>
      <c r="H640" s="32"/>
      <c r="I640" s="32"/>
      <c r="J640" s="32"/>
      <c r="K640" s="32"/>
      <c r="L640" s="32"/>
      <c r="M640" s="32"/>
      <c r="N640" s="32"/>
      <c r="O640" s="32"/>
      <c r="P640" s="32"/>
      <c r="Q640" s="32"/>
      <c r="R640" s="32"/>
      <c r="S640" s="32"/>
      <c r="T640" s="32"/>
      <c r="U640" s="32"/>
      <c r="V640" s="32"/>
      <c r="W640" s="34"/>
      <c r="X640" s="30"/>
    </row>
    <row r="641" spans="1:25" ht="12" customHeight="1" x14ac:dyDescent="0.25">
      <c r="F641" s="32"/>
      <c r="G641" s="32"/>
      <c r="H641" s="32"/>
      <c r="I641" s="32"/>
      <c r="J641" s="32"/>
      <c r="K641" s="32"/>
      <c r="L641" s="32"/>
      <c r="M641" s="32"/>
      <c r="N641" s="32"/>
      <c r="O641" s="32"/>
      <c r="P641" s="32"/>
      <c r="Q641" s="32"/>
      <c r="R641" s="32"/>
      <c r="S641" s="32"/>
      <c r="T641" s="32"/>
      <c r="U641" s="32"/>
      <c r="V641" s="32"/>
      <c r="W641" s="34"/>
      <c r="X641" s="30"/>
    </row>
    <row r="642" spans="1:25" ht="12" customHeight="1" x14ac:dyDescent="0.25">
      <c r="F642" s="32"/>
      <c r="G642" s="32"/>
      <c r="H642" s="32"/>
      <c r="I642" s="32"/>
      <c r="J642" s="32"/>
      <c r="K642" s="32"/>
      <c r="L642" s="32"/>
      <c r="M642" s="32"/>
      <c r="N642" s="32"/>
      <c r="O642" s="32"/>
      <c r="P642" s="32"/>
      <c r="Q642" s="32"/>
      <c r="R642" s="32"/>
      <c r="S642" s="32"/>
      <c r="T642" s="32"/>
      <c r="U642" s="32"/>
      <c r="V642" s="32"/>
      <c r="W642" s="34"/>
      <c r="X642" s="30"/>
    </row>
    <row r="643" spans="1:25" ht="12" customHeight="1" x14ac:dyDescent="0.25">
      <c r="F643" s="32"/>
      <c r="G643" s="32"/>
      <c r="H643" s="32"/>
      <c r="I643" s="32"/>
      <c r="J643" s="32"/>
      <c r="K643" s="32"/>
      <c r="L643" s="32"/>
      <c r="M643" s="32"/>
      <c r="N643" s="32"/>
      <c r="O643" s="32"/>
      <c r="P643" s="32"/>
      <c r="Q643" s="32"/>
      <c r="R643" s="32"/>
      <c r="S643" s="32"/>
      <c r="T643" s="32"/>
      <c r="U643" s="32"/>
      <c r="V643" s="32"/>
      <c r="W643" s="34"/>
      <c r="X643" s="30"/>
    </row>
    <row r="644" spans="1:25" ht="12" customHeight="1" x14ac:dyDescent="0.25">
      <c r="F644" s="32"/>
      <c r="G644" s="32"/>
      <c r="H644" s="32"/>
      <c r="I644" s="32"/>
      <c r="J644" s="32"/>
      <c r="K644" s="32"/>
      <c r="L644" s="32"/>
      <c r="M644" s="32"/>
      <c r="N644" s="32"/>
      <c r="O644" s="32"/>
      <c r="P644" s="32"/>
      <c r="Q644" s="32"/>
      <c r="R644" s="32"/>
      <c r="S644" s="32"/>
      <c r="T644" s="32"/>
      <c r="U644" s="32"/>
      <c r="V644" s="32"/>
      <c r="W644" s="34"/>
      <c r="X644" s="30"/>
    </row>
    <row r="645" spans="1:25" ht="12" customHeight="1" x14ac:dyDescent="0.25">
      <c r="F645" s="32"/>
      <c r="G645" s="32"/>
      <c r="H645" s="32"/>
      <c r="I645" s="32"/>
      <c r="J645" s="32"/>
      <c r="K645" s="32"/>
      <c r="L645" s="32"/>
      <c r="M645" s="32"/>
      <c r="N645" s="32"/>
      <c r="O645" s="32"/>
      <c r="P645" s="32"/>
      <c r="Q645" s="32"/>
      <c r="R645" s="32"/>
      <c r="S645" s="32"/>
      <c r="T645" s="32"/>
      <c r="U645" s="32"/>
      <c r="V645" s="32"/>
      <c r="W645" s="34"/>
      <c r="X645" s="30"/>
    </row>
    <row r="646" spans="1:25" ht="12" customHeight="1" x14ac:dyDescent="0.25">
      <c r="F646" s="32"/>
      <c r="G646" s="32"/>
      <c r="H646" s="32"/>
      <c r="I646" s="32"/>
      <c r="J646" s="32"/>
      <c r="K646" s="32"/>
      <c r="L646" s="32"/>
      <c r="M646" s="32"/>
      <c r="N646" s="32"/>
      <c r="O646" s="32"/>
      <c r="P646" s="32"/>
      <c r="Q646" s="32"/>
      <c r="R646" s="32"/>
      <c r="S646" s="32"/>
      <c r="T646" s="32"/>
      <c r="U646" s="32"/>
      <c r="V646" s="32"/>
      <c r="W646" s="34"/>
      <c r="X646" s="30"/>
    </row>
    <row r="647" spans="1:25" ht="12" customHeight="1" x14ac:dyDescent="0.25">
      <c r="F647" s="32"/>
      <c r="G647" s="32"/>
      <c r="H647" s="32"/>
      <c r="I647" s="32"/>
      <c r="J647" s="32"/>
      <c r="K647" s="32"/>
      <c r="L647" s="32"/>
      <c r="M647" s="32"/>
      <c r="N647" s="32"/>
      <c r="O647" s="32"/>
      <c r="P647" s="32"/>
      <c r="Q647" s="32"/>
      <c r="R647" s="32"/>
      <c r="S647" s="32"/>
      <c r="T647" s="32"/>
      <c r="U647" s="32"/>
      <c r="V647" s="32"/>
      <c r="W647" s="34"/>
      <c r="X647" s="30"/>
    </row>
    <row r="648" spans="1:25" ht="12" customHeight="1" x14ac:dyDescent="0.25">
      <c r="A648" s="3" t="s">
        <v>533</v>
      </c>
      <c r="F648" s="34"/>
    </row>
    <row r="649" spans="1:25" ht="12" customHeight="1" x14ac:dyDescent="0.25">
      <c r="F649" s="34"/>
      <c r="G649" s="34"/>
    </row>
    <row r="650" spans="1:25" ht="12" customHeight="1" x14ac:dyDescent="0.25">
      <c r="A650" s="93" t="s">
        <v>397</v>
      </c>
    </row>
    <row r="651" spans="1:25" ht="12" customHeight="1" x14ac:dyDescent="0.25">
      <c r="A651" s="39" t="s">
        <v>864</v>
      </c>
      <c r="D651" s="29" t="s">
        <v>398</v>
      </c>
      <c r="E651" s="29" t="s">
        <v>479</v>
      </c>
      <c r="F651" s="32">
        <f>F825</f>
        <v>1421546812.3251231</v>
      </c>
      <c r="G651" s="32">
        <f t="shared" ref="G651:V652" si="678">IF(VLOOKUP($E651,$D$5:$AJ$1052,3,)=0,0,(VLOOKUP($E651,$D$5:$AJ$1052,G$1,)/VLOOKUP($E651,$D$5:$AJ$1052,3,))*$F651)</f>
        <v>548415755.63999999</v>
      </c>
      <c r="H651" s="32">
        <f t="shared" si="678"/>
        <v>195335990.06999996</v>
      </c>
      <c r="I651" s="32">
        <f t="shared" si="678"/>
        <v>10580354.35</v>
      </c>
      <c r="J651" s="32">
        <f t="shared" si="678"/>
        <v>153184602.70000002</v>
      </c>
      <c r="K651" s="32">
        <f t="shared" si="678"/>
        <v>12152454.16</v>
      </c>
      <c r="L651" s="32">
        <f t="shared" si="678"/>
        <v>123859983.27000001</v>
      </c>
      <c r="M651" s="32">
        <f t="shared" si="678"/>
        <v>238251994.34999999</v>
      </c>
      <c r="N651" s="32">
        <f t="shared" si="678"/>
        <v>80897271.019999996</v>
      </c>
      <c r="O651" s="32">
        <f t="shared" si="678"/>
        <v>31706991.170000006</v>
      </c>
      <c r="P651" s="32">
        <f t="shared" si="678"/>
        <v>26808058.205123302</v>
      </c>
      <c r="Q651" s="32">
        <f t="shared" si="678"/>
        <v>83913.11</v>
      </c>
      <c r="R651" s="32">
        <f t="shared" si="678"/>
        <v>162373.04999999999</v>
      </c>
      <c r="S651" s="32">
        <f t="shared" si="678"/>
        <v>51252</v>
      </c>
      <c r="T651" s="32">
        <f t="shared" si="678"/>
        <v>2599.4699999999998</v>
      </c>
      <c r="U651" s="32">
        <f t="shared" si="678"/>
        <v>53219.76</v>
      </c>
      <c r="V651" s="32">
        <f t="shared" si="678"/>
        <v>0</v>
      </c>
      <c r="W651" s="34">
        <f>SUM(G651:V651)</f>
        <v>1421546812.3251231</v>
      </c>
      <c r="X651" s="30" t="str">
        <f>IF(ABS(F651-W651)&lt;0.01,"ok","err")</f>
        <v>ok</v>
      </c>
      <c r="Y651" s="34" t="str">
        <f>IF(X651="err",W651-F651,"")</f>
        <v/>
      </c>
    </row>
    <row r="652" spans="1:25" ht="12" customHeight="1" x14ac:dyDescent="0.25">
      <c r="A652" s="29" t="s">
        <v>2204</v>
      </c>
      <c r="E652" s="29" t="s">
        <v>104</v>
      </c>
      <c r="F652" s="33">
        <v>5429811.8011535825</v>
      </c>
      <c r="G652" s="33">
        <f t="shared" si="678"/>
        <v>1831583.6927285171</v>
      </c>
      <c r="H652" s="33">
        <f t="shared" si="678"/>
        <v>534335.43745028181</v>
      </c>
      <c r="I652" s="33">
        <f t="shared" si="678"/>
        <v>40593.553757995185</v>
      </c>
      <c r="J652" s="33">
        <f t="shared" si="678"/>
        <v>555401.46461522463</v>
      </c>
      <c r="K652" s="33">
        <f t="shared" si="678"/>
        <v>43205.962495847736</v>
      </c>
      <c r="L652" s="33">
        <f t="shared" si="678"/>
        <v>564414.68311490701</v>
      </c>
      <c r="M652" s="33">
        <f t="shared" si="678"/>
        <v>1207028.7436272702</v>
      </c>
      <c r="N652" s="33">
        <f t="shared" si="678"/>
        <v>431909.85936858121</v>
      </c>
      <c r="O652" s="33">
        <f t="shared" si="678"/>
        <v>182566.64939676935</v>
      </c>
      <c r="P652" s="33">
        <f t="shared" si="678"/>
        <v>37766.684472278292</v>
      </c>
      <c r="Q652" s="33">
        <f t="shared" si="678"/>
        <v>408.05947023518905</v>
      </c>
      <c r="R652" s="33">
        <f t="shared" si="678"/>
        <v>481.95907099903093</v>
      </c>
      <c r="S652" s="33">
        <f t="shared" si="678"/>
        <v>115.05158467446009</v>
      </c>
      <c r="T652" s="33">
        <f t="shared" si="678"/>
        <v>0</v>
      </c>
      <c r="U652" s="33">
        <f t="shared" si="678"/>
        <v>0</v>
      </c>
      <c r="V652" s="33">
        <f t="shared" si="678"/>
        <v>0</v>
      </c>
      <c r="W652" s="33">
        <f t="shared" ref="W652:W666" si="679">SUM(G652:V652)</f>
        <v>5429811.8011535816</v>
      </c>
      <c r="X652" s="30" t="str">
        <f t="shared" ref="X652:X666" si="680">IF(ABS(F652-W652)&lt;0.01,"ok","err")</f>
        <v>ok</v>
      </c>
      <c r="Y652" s="34" t="str">
        <f t="shared" ref="Y652:Y666" si="681">IF(X652="err",W652-F652,"")</f>
        <v/>
      </c>
    </row>
    <row r="653" spans="1:25" ht="12" customHeight="1" x14ac:dyDescent="0.25">
      <c r="A653" s="29" t="s">
        <v>2130</v>
      </c>
      <c r="F653" s="33">
        <v>-18175605.240000002</v>
      </c>
      <c r="G653" s="33"/>
      <c r="H653" s="33"/>
      <c r="I653" s="33"/>
      <c r="J653" s="33"/>
      <c r="K653" s="33"/>
      <c r="L653" s="33"/>
      <c r="M653" s="33">
        <f>-193714.44-408024-439488</f>
        <v>-1041226.44</v>
      </c>
      <c r="N653" s="33">
        <f>(-27995.5-142378.8-26886.3-38178.9-19210.4)*12</f>
        <v>-3055798.8</v>
      </c>
      <c r="O653" s="33">
        <f>-1173215*12</f>
        <v>-14078580</v>
      </c>
      <c r="P653" s="33"/>
      <c r="Q653" s="33"/>
      <c r="R653" s="33"/>
      <c r="S653" s="33"/>
      <c r="T653" s="33"/>
      <c r="U653" s="33"/>
      <c r="V653" s="33"/>
      <c r="W653" s="33">
        <f t="shared" si="679"/>
        <v>-18175605.239999998</v>
      </c>
      <c r="X653" s="30" t="str">
        <f t="shared" si="680"/>
        <v>ok</v>
      </c>
      <c r="Y653" s="34" t="str">
        <f t="shared" si="681"/>
        <v/>
      </c>
    </row>
    <row r="654" spans="1:25" ht="12" customHeight="1" x14ac:dyDescent="0.25">
      <c r="A654" s="29" t="s">
        <v>1996</v>
      </c>
      <c r="E654" s="29" t="s">
        <v>1761</v>
      </c>
      <c r="F654" s="33">
        <f>'Jurisdictional Study'!F931</f>
        <v>3803817.2532682326</v>
      </c>
      <c r="G654" s="33">
        <f t="shared" ref="G654:V664" si="682">IF(VLOOKUP($E654,$D$5:$AJ$1052,3,)=0,0,(VLOOKUP($E654,$D$5:$AJ$1052,G$1,)/VLOOKUP($E654,$D$5:$AJ$1052,3,))*$F654)</f>
        <v>2958791.4357746844</v>
      </c>
      <c r="H654" s="33">
        <f t="shared" si="682"/>
        <v>596154.50455785426</v>
      </c>
      <c r="I654" s="33">
        <f t="shared" si="682"/>
        <v>21981.074445591883</v>
      </c>
      <c r="J654" s="33">
        <f t="shared" si="682"/>
        <v>176071.82033509054</v>
      </c>
      <c r="K654" s="33">
        <f t="shared" si="682"/>
        <v>8114.8769458636698</v>
      </c>
      <c r="L654" s="33">
        <f t="shared" si="682"/>
        <v>29157.094269078123</v>
      </c>
      <c r="M654" s="33">
        <f t="shared" si="682"/>
        <v>10215.815960974007</v>
      </c>
      <c r="N654" s="33">
        <f t="shared" si="682"/>
        <v>984.81516333296986</v>
      </c>
      <c r="O654" s="33">
        <f t="shared" si="682"/>
        <v>39.392606533318791</v>
      </c>
      <c r="P654" s="33">
        <f t="shared" si="682"/>
        <v>2306.4232092297948</v>
      </c>
      <c r="Q654" s="33">
        <f t="shared" si="682"/>
        <v>0</v>
      </c>
      <c r="R654" s="33">
        <f t="shared" si="682"/>
        <v>0</v>
      </c>
      <c r="S654" s="33">
        <f t="shared" si="682"/>
        <v>0</v>
      </c>
      <c r="T654" s="33">
        <f t="shared" si="682"/>
        <v>0</v>
      </c>
      <c r="U654" s="33">
        <f t="shared" si="682"/>
        <v>0</v>
      </c>
      <c r="V654" s="33">
        <f t="shared" si="682"/>
        <v>0</v>
      </c>
      <c r="W654" s="33">
        <f t="shared" si="679"/>
        <v>3803817.2532682326</v>
      </c>
      <c r="X654" s="30" t="str">
        <f t="shared" si="680"/>
        <v>ok</v>
      </c>
      <c r="Y654" s="34" t="str">
        <f t="shared" si="681"/>
        <v/>
      </c>
    </row>
    <row r="655" spans="1:25" ht="12" customHeight="1" x14ac:dyDescent="0.25">
      <c r="A655" s="29" t="s">
        <v>1997</v>
      </c>
      <c r="E655" s="29" t="s">
        <v>2206</v>
      </c>
      <c r="F655" s="33">
        <f>'Jurisdictional Study'!F932</f>
        <v>2110069.1081305002</v>
      </c>
      <c r="G655" s="33">
        <f t="shared" si="682"/>
        <v>2015254.5204843285</v>
      </c>
      <c r="H655" s="33">
        <f t="shared" si="682"/>
        <v>91573.798655240797</v>
      </c>
      <c r="I655" s="33">
        <f t="shared" si="682"/>
        <v>255.67601833856639</v>
      </c>
      <c r="J655" s="33">
        <f t="shared" si="682"/>
        <v>2048.0046176235583</v>
      </c>
      <c r="K655" s="33">
        <f t="shared" si="682"/>
        <v>94.38935444040267</v>
      </c>
      <c r="L655" s="33">
        <f t="shared" si="682"/>
        <v>339.14492157753091</v>
      </c>
      <c r="M655" s="33">
        <f t="shared" si="682"/>
        <v>118.82672775830625</v>
      </c>
      <c r="N655" s="33">
        <f t="shared" si="682"/>
        <v>11.455018742767313</v>
      </c>
      <c r="O655" s="33">
        <f t="shared" si="682"/>
        <v>0.45820074971069247</v>
      </c>
      <c r="P655" s="33">
        <f t="shared" si="682"/>
        <v>372.83413170000955</v>
      </c>
      <c r="Q655" s="33">
        <f t="shared" si="682"/>
        <v>0</v>
      </c>
      <c r="R655" s="33">
        <f t="shared" si="682"/>
        <v>0</v>
      </c>
      <c r="S655" s="33">
        <f t="shared" si="682"/>
        <v>0</v>
      </c>
      <c r="T655" s="33">
        <f t="shared" si="682"/>
        <v>0</v>
      </c>
      <c r="U655" s="33">
        <f t="shared" si="682"/>
        <v>0</v>
      </c>
      <c r="V655" s="33">
        <f t="shared" si="682"/>
        <v>0</v>
      </c>
      <c r="W655" s="33">
        <f t="shared" si="679"/>
        <v>2110069.1081305002</v>
      </c>
      <c r="X655" s="30" t="str">
        <f t="shared" si="680"/>
        <v>ok</v>
      </c>
      <c r="Y655" s="34" t="str">
        <f t="shared" si="681"/>
        <v/>
      </c>
    </row>
    <row r="656" spans="1:25" ht="12" customHeight="1" x14ac:dyDescent="0.25">
      <c r="A656" s="29" t="s">
        <v>1998</v>
      </c>
      <c r="E656" s="29" t="s">
        <v>2010</v>
      </c>
      <c r="F656" s="33">
        <f>'Jurisdictional Study'!F933</f>
        <v>59264.561379314859</v>
      </c>
      <c r="G656" s="33">
        <f t="shared" si="682"/>
        <v>6764.8120733775431</v>
      </c>
      <c r="H656" s="33">
        <f t="shared" si="682"/>
        <v>9972.3959412151144</v>
      </c>
      <c r="I656" s="33">
        <f t="shared" si="682"/>
        <v>3765.1066416501135</v>
      </c>
      <c r="J656" s="33">
        <f t="shared" si="682"/>
        <v>30159.088983205718</v>
      </c>
      <c r="K656" s="33">
        <f t="shared" si="682"/>
        <v>1389.9856060572106</v>
      </c>
      <c r="L656" s="33">
        <f t="shared" si="682"/>
        <v>4994.2767609223883</v>
      </c>
      <c r="M656" s="33">
        <f t="shared" si="682"/>
        <v>1749.8524296318928</v>
      </c>
      <c r="N656" s="33">
        <f t="shared" si="682"/>
        <v>168.68757355063235</v>
      </c>
      <c r="O656" s="33">
        <f t="shared" si="682"/>
        <v>6.7475029420252932</v>
      </c>
      <c r="P656" s="33">
        <f t="shared" si="682"/>
        <v>293.60786676221352</v>
      </c>
      <c r="Q656" s="33">
        <f t="shared" si="682"/>
        <v>0</v>
      </c>
      <c r="R656" s="33">
        <f t="shared" si="682"/>
        <v>0</v>
      </c>
      <c r="S656" s="33">
        <f t="shared" si="682"/>
        <v>0</v>
      </c>
      <c r="T656" s="33">
        <f t="shared" si="682"/>
        <v>0</v>
      </c>
      <c r="U656" s="33">
        <f t="shared" si="682"/>
        <v>0</v>
      </c>
      <c r="V656" s="33">
        <f t="shared" si="682"/>
        <v>0</v>
      </c>
      <c r="W656" s="33">
        <f t="shared" si="679"/>
        <v>59264.561379314851</v>
      </c>
      <c r="X656" s="30" t="str">
        <f t="shared" si="680"/>
        <v>ok</v>
      </c>
      <c r="Y656" s="34" t="str">
        <f t="shared" si="681"/>
        <v/>
      </c>
    </row>
    <row r="657" spans="1:25" ht="12" customHeight="1" x14ac:dyDescent="0.25">
      <c r="A657" s="29" t="s">
        <v>1999</v>
      </c>
      <c r="E657" s="29" t="s">
        <v>2209</v>
      </c>
      <c r="F657" s="33">
        <f>'Jurisdictional Study'!F934</f>
        <v>3139768.4099999964</v>
      </c>
      <c r="G657" s="33">
        <f t="shared" si="682"/>
        <v>1485929.4014605682</v>
      </c>
      <c r="H657" s="33">
        <f t="shared" si="682"/>
        <v>363012.11343378841</v>
      </c>
      <c r="I657" s="33">
        <f t="shared" si="682"/>
        <v>21892.616830574152</v>
      </c>
      <c r="J657" s="33">
        <f t="shared" si="682"/>
        <v>271016.35660748777</v>
      </c>
      <c r="K657" s="33">
        <f t="shared" si="682"/>
        <v>18273.715197086709</v>
      </c>
      <c r="L657" s="33">
        <f t="shared" si="682"/>
        <v>237862.05890857021</v>
      </c>
      <c r="M657" s="33">
        <f t="shared" si="682"/>
        <v>464449.64438039548</v>
      </c>
      <c r="N657" s="33">
        <f t="shared" si="682"/>
        <v>139195.71651847209</v>
      </c>
      <c r="O657" s="33">
        <f t="shared" si="682"/>
        <v>63514.935259409714</v>
      </c>
      <c r="P657" s="33">
        <f t="shared" si="682"/>
        <v>74186.197438182702</v>
      </c>
      <c r="Q657" s="33">
        <f t="shared" si="682"/>
        <v>85.956889211576907</v>
      </c>
      <c r="R657" s="33">
        <f t="shared" si="682"/>
        <v>226.60950323047854</v>
      </c>
      <c r="S657" s="33">
        <f t="shared" si="682"/>
        <v>123.08757301869653</v>
      </c>
      <c r="T657" s="33">
        <f t="shared" si="682"/>
        <v>0</v>
      </c>
      <c r="U657" s="33">
        <f t="shared" si="682"/>
        <v>0</v>
      </c>
      <c r="V657" s="33">
        <f t="shared" si="682"/>
        <v>0</v>
      </c>
      <c r="W657" s="33">
        <f t="shared" si="679"/>
        <v>3139768.409999996</v>
      </c>
      <c r="X657" s="30" t="str">
        <f t="shared" si="680"/>
        <v>ok</v>
      </c>
      <c r="Y657" s="34" t="str">
        <f t="shared" si="681"/>
        <v/>
      </c>
    </row>
    <row r="658" spans="1:25" ht="12" customHeight="1" x14ac:dyDescent="0.25">
      <c r="A658" s="29" t="s">
        <v>2000</v>
      </c>
      <c r="E658" s="29" t="s">
        <v>136</v>
      </c>
      <c r="F658" s="33">
        <f>'Jurisdictional Study'!F937</f>
        <v>21007438.006358631</v>
      </c>
      <c r="G658" s="33">
        <f t="shared" si="682"/>
        <v>9023835.3189722747</v>
      </c>
      <c r="H658" s="33">
        <f t="shared" si="682"/>
        <v>2661986.8797157533</v>
      </c>
      <c r="I658" s="33">
        <f t="shared" si="682"/>
        <v>235450.06439493792</v>
      </c>
      <c r="J658" s="33">
        <f t="shared" si="682"/>
        <v>2008340.9942327798</v>
      </c>
      <c r="K658" s="33">
        <f t="shared" si="682"/>
        <v>133066.82517203828</v>
      </c>
      <c r="L658" s="33">
        <f t="shared" si="682"/>
        <v>1602353.9654183984</v>
      </c>
      <c r="M658" s="33">
        <f t="shared" si="682"/>
        <v>3422649.7689739531</v>
      </c>
      <c r="N658" s="33">
        <f t="shared" si="682"/>
        <v>1095205.5486040714</v>
      </c>
      <c r="O658" s="33">
        <f t="shared" si="682"/>
        <v>669805.81000259169</v>
      </c>
      <c r="P658" s="33">
        <f t="shared" si="682"/>
        <v>149488.7150615869</v>
      </c>
      <c r="Q658" s="33">
        <f t="shared" si="682"/>
        <v>1763.8824947087919</v>
      </c>
      <c r="R658" s="33">
        <f t="shared" si="682"/>
        <v>970.57007461970841</v>
      </c>
      <c r="S658" s="33">
        <f t="shared" si="682"/>
        <v>2519.6632409114595</v>
      </c>
      <c r="T658" s="33">
        <f t="shared" si="682"/>
        <v>0</v>
      </c>
      <c r="U658" s="33">
        <f t="shared" si="682"/>
        <v>0</v>
      </c>
      <c r="V658" s="33">
        <f t="shared" si="682"/>
        <v>0</v>
      </c>
      <c r="W658" s="33">
        <f t="shared" si="679"/>
        <v>21007438.006358627</v>
      </c>
      <c r="X658" s="30" t="str">
        <f t="shared" si="680"/>
        <v>ok</v>
      </c>
      <c r="Y658" s="34" t="str">
        <f t="shared" si="681"/>
        <v/>
      </c>
    </row>
    <row r="659" spans="1:25" ht="12" customHeight="1" x14ac:dyDescent="0.25">
      <c r="A659" s="29" t="s">
        <v>2051</v>
      </c>
      <c r="E659" s="29" t="s">
        <v>2132</v>
      </c>
      <c r="F659" s="33">
        <f>'Jurisdictional Study'!F938</f>
        <v>1406543.0847488027</v>
      </c>
      <c r="G659" s="33">
        <f t="shared" si="682"/>
        <v>581984.57696372073</v>
      </c>
      <c r="H659" s="33">
        <f t="shared" si="682"/>
        <v>132009.86202210718</v>
      </c>
      <c r="I659" s="33">
        <f t="shared" si="682"/>
        <v>8922.8086116414015</v>
      </c>
      <c r="J659" s="33">
        <f t="shared" si="682"/>
        <v>146171.15065978441</v>
      </c>
      <c r="K659" s="33">
        <f t="shared" si="682"/>
        <v>10095.767444193743</v>
      </c>
      <c r="L659" s="33">
        <f t="shared" si="682"/>
        <v>136366.34228016634</v>
      </c>
      <c r="M659" s="33">
        <f t="shared" si="682"/>
        <v>266355.32308602624</v>
      </c>
      <c r="N659" s="33">
        <f t="shared" si="682"/>
        <v>87224.700131296238</v>
      </c>
      <c r="O659" s="33">
        <f t="shared" si="682"/>
        <v>36786.017993009293</v>
      </c>
      <c r="P659" s="33">
        <f t="shared" si="682"/>
        <v>534.77896401908674</v>
      </c>
      <c r="Q659" s="33">
        <f t="shared" si="682"/>
        <v>6.099453959423407</v>
      </c>
      <c r="R659" s="33">
        <f t="shared" si="682"/>
        <v>73.29953864935807</v>
      </c>
      <c r="S659" s="33">
        <f t="shared" si="682"/>
        <v>12.357600229275709</v>
      </c>
      <c r="T659" s="33">
        <f t="shared" si="682"/>
        <v>0</v>
      </c>
      <c r="U659" s="33">
        <f t="shared" si="682"/>
        <v>0</v>
      </c>
      <c r="V659" s="33">
        <f t="shared" si="682"/>
        <v>0</v>
      </c>
      <c r="W659" s="33">
        <f t="shared" si="679"/>
        <v>1406543.0847488025</v>
      </c>
      <c r="X659" s="30" t="str">
        <f t="shared" si="680"/>
        <v>ok</v>
      </c>
      <c r="Y659" s="34" t="str">
        <f t="shared" si="681"/>
        <v/>
      </c>
    </row>
    <row r="660" spans="1:25" ht="12" customHeight="1" x14ac:dyDescent="0.25">
      <c r="A660" s="29" t="s">
        <v>2001</v>
      </c>
      <c r="E660" s="29" t="s">
        <v>2010</v>
      </c>
      <c r="F660" s="33">
        <f>'Jurisdictional Study'!F939</f>
        <v>600</v>
      </c>
      <c r="G660" s="33">
        <f t="shared" si="682"/>
        <v>68.487594433512527</v>
      </c>
      <c r="H660" s="33">
        <f t="shared" si="682"/>
        <v>100.96147555084194</v>
      </c>
      <c r="I660" s="33">
        <f t="shared" si="682"/>
        <v>38.118294178054107</v>
      </c>
      <c r="J660" s="33">
        <f t="shared" si="682"/>
        <v>305.33345677032713</v>
      </c>
      <c r="K660" s="33">
        <f t="shared" si="682"/>
        <v>14.072345162507434</v>
      </c>
      <c r="L660" s="33">
        <f t="shared" si="682"/>
        <v>50.562528209300581</v>
      </c>
      <c r="M660" s="33">
        <f t="shared" si="682"/>
        <v>17.715670770923598</v>
      </c>
      <c r="N660" s="33">
        <f t="shared" si="682"/>
        <v>1.7078088789450769</v>
      </c>
      <c r="O660" s="33">
        <f t="shared" si="682"/>
        <v>6.8312355157803067E-2</v>
      </c>
      <c r="P660" s="33">
        <f t="shared" si="682"/>
        <v>2.972513690429758</v>
      </c>
      <c r="Q660" s="33">
        <f t="shared" si="682"/>
        <v>0</v>
      </c>
      <c r="R660" s="33">
        <f t="shared" si="682"/>
        <v>0</v>
      </c>
      <c r="S660" s="33">
        <f t="shared" si="682"/>
        <v>0</v>
      </c>
      <c r="T660" s="33">
        <f t="shared" si="682"/>
        <v>0</v>
      </c>
      <c r="U660" s="33">
        <f t="shared" si="682"/>
        <v>0</v>
      </c>
      <c r="V660" s="33">
        <f t="shared" si="682"/>
        <v>0</v>
      </c>
      <c r="W660" s="33">
        <f t="shared" si="679"/>
        <v>600</v>
      </c>
      <c r="X660" s="30" t="str">
        <f t="shared" si="680"/>
        <v>ok</v>
      </c>
      <c r="Y660" s="34" t="str">
        <f t="shared" si="681"/>
        <v/>
      </c>
    </row>
    <row r="661" spans="1:25" ht="12" customHeight="1" x14ac:dyDescent="0.25">
      <c r="A661" s="29" t="s">
        <v>2002</v>
      </c>
      <c r="E661" s="29" t="s">
        <v>1018</v>
      </c>
      <c r="F661" s="33">
        <f>'Jurisdictional Study'!F940</f>
        <v>162426.66666666718</v>
      </c>
      <c r="G661" s="33">
        <f t="shared" si="682"/>
        <v>151262.9270062405</v>
      </c>
      <c r="H661" s="33">
        <f t="shared" si="682"/>
        <v>10023.500217675261</v>
      </c>
      <c r="I661" s="33">
        <f t="shared" si="682"/>
        <v>96.923512384999185</v>
      </c>
      <c r="J661" s="33">
        <f t="shared" si="682"/>
        <v>776.3723880349188</v>
      </c>
      <c r="K661" s="33">
        <f t="shared" si="682"/>
        <v>35.781798479049883</v>
      </c>
      <c r="L661" s="33">
        <f t="shared" si="682"/>
        <v>128.56550731833374</v>
      </c>
      <c r="M661" s="33">
        <f t="shared" si="682"/>
        <v>45.045694525405835</v>
      </c>
      <c r="N661" s="33">
        <f t="shared" si="682"/>
        <v>4.3424512717293542</v>
      </c>
      <c r="O661" s="33">
        <f t="shared" si="682"/>
        <v>0.17369805086917417</v>
      </c>
      <c r="P661" s="33">
        <f t="shared" si="682"/>
        <v>53.03439268611249</v>
      </c>
      <c r="Q661" s="33">
        <f t="shared" si="682"/>
        <v>0</v>
      </c>
      <c r="R661" s="33">
        <f t="shared" si="682"/>
        <v>0</v>
      </c>
      <c r="S661" s="33">
        <f t="shared" si="682"/>
        <v>0</v>
      </c>
      <c r="T661" s="33">
        <f t="shared" si="682"/>
        <v>0</v>
      </c>
      <c r="U661" s="33">
        <f t="shared" si="682"/>
        <v>0</v>
      </c>
      <c r="V661" s="33">
        <f t="shared" si="682"/>
        <v>0</v>
      </c>
      <c r="W661" s="33">
        <f t="shared" si="679"/>
        <v>162426.66666666718</v>
      </c>
      <c r="X661" s="30" t="str">
        <f t="shared" si="680"/>
        <v>ok</v>
      </c>
      <c r="Y661" s="34" t="str">
        <f t="shared" si="681"/>
        <v/>
      </c>
    </row>
    <row r="662" spans="1:25" ht="12" customHeight="1" x14ac:dyDescent="0.25">
      <c r="A662" s="29" t="s">
        <v>2003</v>
      </c>
      <c r="E662" s="29" t="s">
        <v>2010</v>
      </c>
      <c r="F662" s="33">
        <f>'Jurisdictional Study'!F941</f>
        <v>72900.206666669401</v>
      </c>
      <c r="G662" s="33">
        <f t="shared" si="682"/>
        <v>8321.2663138435</v>
      </c>
      <c r="H662" s="33">
        <f t="shared" si="682"/>
        <v>12266.854055047112</v>
      </c>
      <c r="I662" s="33">
        <f t="shared" si="682"/>
        <v>4631.385872268409</v>
      </c>
      <c r="J662" s="33">
        <f t="shared" si="682"/>
        <v>37098.120168009023</v>
      </c>
      <c r="K662" s="33">
        <f t="shared" si="682"/>
        <v>1709.794784385829</v>
      </c>
      <c r="L662" s="33">
        <f t="shared" si="682"/>
        <v>6143.3645934121896</v>
      </c>
      <c r="M662" s="33">
        <f t="shared" si="682"/>
        <v>2152.4601007316742</v>
      </c>
      <c r="N662" s="33">
        <f t="shared" si="682"/>
        <v>207.49936703711515</v>
      </c>
      <c r="O662" s="33">
        <f t="shared" si="682"/>
        <v>8.2999746814846045</v>
      </c>
      <c r="P662" s="33">
        <f t="shared" si="682"/>
        <v>361.16143725305585</v>
      </c>
      <c r="Q662" s="33">
        <f t="shared" si="682"/>
        <v>0</v>
      </c>
      <c r="R662" s="33">
        <f t="shared" si="682"/>
        <v>0</v>
      </c>
      <c r="S662" s="33">
        <f t="shared" si="682"/>
        <v>0</v>
      </c>
      <c r="T662" s="33">
        <f t="shared" si="682"/>
        <v>0</v>
      </c>
      <c r="U662" s="33">
        <f t="shared" si="682"/>
        <v>0</v>
      </c>
      <c r="V662" s="33">
        <f t="shared" si="682"/>
        <v>0</v>
      </c>
      <c r="W662" s="33">
        <f t="shared" si="679"/>
        <v>72900.206666669401</v>
      </c>
      <c r="X662" s="30" t="str">
        <f t="shared" si="680"/>
        <v>ok</v>
      </c>
      <c r="Y662" s="34" t="str">
        <f t="shared" si="681"/>
        <v/>
      </c>
    </row>
    <row r="663" spans="1:25" ht="12" customHeight="1" x14ac:dyDescent="0.25">
      <c r="A663" s="29" t="s">
        <v>2004</v>
      </c>
      <c r="E663" s="29" t="s">
        <v>2010</v>
      </c>
      <c r="F663" s="33">
        <f>'Jurisdictional Study'!F942</f>
        <v>30678.048313890475</v>
      </c>
      <c r="G663" s="33">
        <f t="shared" si="682"/>
        <v>3501.7762182223896</v>
      </c>
      <c r="H663" s="33">
        <f t="shared" si="682"/>
        <v>5162.1683746506678</v>
      </c>
      <c r="I663" s="33">
        <f t="shared" si="682"/>
        <v>1948.9914507290566</v>
      </c>
      <c r="J663" s="33">
        <f t="shared" si="682"/>
        <v>15611.724231078808</v>
      </c>
      <c r="K663" s="33">
        <f t="shared" si="682"/>
        <v>719.52014130857663</v>
      </c>
      <c r="L663" s="33">
        <f t="shared" si="682"/>
        <v>2585.2661387956223</v>
      </c>
      <c r="M663" s="33">
        <f t="shared" si="682"/>
        <v>905.8036730389523</v>
      </c>
      <c r="N663" s="33">
        <f t="shared" si="682"/>
        <v>87.320405498613667</v>
      </c>
      <c r="O663" s="33">
        <f t="shared" si="682"/>
        <v>3.4928162199445461</v>
      </c>
      <c r="P663" s="33">
        <f t="shared" si="682"/>
        <v>151.98486434784166</v>
      </c>
      <c r="Q663" s="33">
        <f t="shared" si="682"/>
        <v>0</v>
      </c>
      <c r="R663" s="33">
        <f t="shared" si="682"/>
        <v>0</v>
      </c>
      <c r="S663" s="33">
        <f t="shared" si="682"/>
        <v>0</v>
      </c>
      <c r="T663" s="33">
        <f t="shared" si="682"/>
        <v>0</v>
      </c>
      <c r="U663" s="33">
        <f t="shared" si="682"/>
        <v>0</v>
      </c>
      <c r="V663" s="33">
        <f t="shared" si="682"/>
        <v>0</v>
      </c>
      <c r="W663" s="33">
        <f t="shared" si="679"/>
        <v>30678.048313890471</v>
      </c>
      <c r="X663" s="30" t="str">
        <f t="shared" si="680"/>
        <v>ok</v>
      </c>
      <c r="Y663" s="34" t="str">
        <f t="shared" si="681"/>
        <v/>
      </c>
    </row>
    <row r="664" spans="1:25" ht="12" customHeight="1" x14ac:dyDescent="0.25">
      <c r="A664" s="29" t="s">
        <v>2327</v>
      </c>
      <c r="E664" s="29" t="s">
        <v>2132</v>
      </c>
      <c r="F664" s="33">
        <f>'Jurisdictional Study'!F936+'Jurisdictional Study'!F943</f>
        <v>7051182.8166579204</v>
      </c>
      <c r="G664" s="33">
        <f t="shared" si="682"/>
        <v>2917564.1280689249</v>
      </c>
      <c r="H664" s="33">
        <f t="shared" si="682"/>
        <v>661782.55100227031</v>
      </c>
      <c r="I664" s="33">
        <f t="shared" si="682"/>
        <v>44731.196250536123</v>
      </c>
      <c r="J664" s="33">
        <f t="shared" si="682"/>
        <v>732774.92669729271</v>
      </c>
      <c r="K664" s="33">
        <f t="shared" si="682"/>
        <v>50611.390930969472</v>
      </c>
      <c r="L664" s="33">
        <f t="shared" si="682"/>
        <v>683622.15127460903</v>
      </c>
      <c r="M664" s="33">
        <f t="shared" si="682"/>
        <v>1335273.7627692181</v>
      </c>
      <c r="N664" s="33">
        <f t="shared" si="682"/>
        <v>437268.72885929164</v>
      </c>
      <c r="O664" s="33">
        <f t="shared" si="682"/>
        <v>184413.07683930654</v>
      </c>
      <c r="P664" s="33">
        <f t="shared" si="682"/>
        <v>2680.9162710255314</v>
      </c>
      <c r="Q664" s="33">
        <f t="shared" si="682"/>
        <v>30.577353382220348</v>
      </c>
      <c r="R664" s="33">
        <f t="shared" si="682"/>
        <v>367.46008920559422</v>
      </c>
      <c r="S664" s="33">
        <f t="shared" si="682"/>
        <v>61.950251888201912</v>
      </c>
      <c r="T664" s="33">
        <f t="shared" si="682"/>
        <v>0</v>
      </c>
      <c r="U664" s="33">
        <f t="shared" si="682"/>
        <v>0</v>
      </c>
      <c r="V664" s="33">
        <f t="shared" si="682"/>
        <v>0</v>
      </c>
      <c r="W664" s="33">
        <f t="shared" si="679"/>
        <v>7051182.8166579204</v>
      </c>
      <c r="X664" s="30" t="str">
        <f t="shared" si="680"/>
        <v>ok</v>
      </c>
      <c r="Y664" s="34" t="str">
        <f t="shared" si="681"/>
        <v/>
      </c>
    </row>
    <row r="665" spans="1:25" ht="12" customHeight="1" x14ac:dyDescent="0.25">
      <c r="A665" s="29" t="s">
        <v>2203</v>
      </c>
      <c r="F665" s="33">
        <f>'Jurisdictional Study'!D935</f>
        <v>5720.6799999999994</v>
      </c>
      <c r="G665" s="33"/>
      <c r="H665" s="33"/>
      <c r="I665" s="33"/>
      <c r="J665" s="33"/>
      <c r="K665" s="33"/>
      <c r="L665" s="33"/>
      <c r="M665" s="33"/>
      <c r="N665" s="33"/>
      <c r="O665" s="33"/>
      <c r="P665" s="33"/>
      <c r="Q665" s="33"/>
      <c r="R665" s="33"/>
      <c r="S665" s="33"/>
      <c r="T665" s="33">
        <f>F665</f>
        <v>5720.6799999999994</v>
      </c>
      <c r="U665" s="33"/>
      <c r="V665" s="33"/>
      <c r="W665" s="33"/>
      <c r="X665" s="30"/>
      <c r="Y665" s="34"/>
    </row>
    <row r="666" spans="1:25" ht="12" hidden="1" customHeight="1" x14ac:dyDescent="0.25">
      <c r="A666" s="39" t="s">
        <v>772</v>
      </c>
      <c r="D666" s="29" t="s">
        <v>773</v>
      </c>
      <c r="E666" s="29" t="s">
        <v>479</v>
      </c>
      <c r="F666" s="33">
        <v>0</v>
      </c>
      <c r="G666" s="33">
        <f t="shared" ref="G666:T666" si="683">IF(VLOOKUP($E666,$D$5:$AJ$1052,3,)=0,0,(VLOOKUP($E666,$D$5:$AJ$1052,G$1,)/VLOOKUP($E666,$D$5:$AJ$1052,3,))*$F666)</f>
        <v>0</v>
      </c>
      <c r="H666" s="33">
        <f t="shared" si="683"/>
        <v>0</v>
      </c>
      <c r="I666" s="33">
        <f t="shared" si="683"/>
        <v>0</v>
      </c>
      <c r="J666" s="33">
        <f t="shared" si="683"/>
        <v>0</v>
      </c>
      <c r="K666" s="33">
        <f t="shared" si="683"/>
        <v>0</v>
      </c>
      <c r="L666" s="33">
        <f t="shared" si="683"/>
        <v>0</v>
      </c>
      <c r="M666" s="33">
        <f t="shared" si="683"/>
        <v>0</v>
      </c>
      <c r="N666" s="33">
        <f t="shared" si="683"/>
        <v>0</v>
      </c>
      <c r="O666" s="33">
        <f t="shared" si="683"/>
        <v>0</v>
      </c>
      <c r="P666" s="33">
        <f t="shared" si="683"/>
        <v>0</v>
      </c>
      <c r="Q666" s="33">
        <f t="shared" si="683"/>
        <v>0</v>
      </c>
      <c r="R666" s="33">
        <f t="shared" si="683"/>
        <v>0</v>
      </c>
      <c r="S666" s="33">
        <f t="shared" si="683"/>
        <v>0</v>
      </c>
      <c r="T666" s="33">
        <f t="shared" si="683"/>
        <v>0</v>
      </c>
      <c r="U666" s="33"/>
      <c r="V666" s="33">
        <f>SUM(G666:U666)</f>
        <v>0</v>
      </c>
      <c r="W666" s="33">
        <f t="shared" si="679"/>
        <v>0</v>
      </c>
      <c r="X666" s="30" t="str">
        <f t="shared" si="680"/>
        <v>ok</v>
      </c>
      <c r="Y666" s="34" t="str">
        <f t="shared" si="681"/>
        <v/>
      </c>
    </row>
    <row r="667" spans="1:25" ht="12" customHeight="1" x14ac:dyDescent="0.25">
      <c r="E667" s="37"/>
      <c r="V667" s="34"/>
    </row>
    <row r="668" spans="1:25" ht="12" customHeight="1" x14ac:dyDescent="0.25">
      <c r="A668" s="29" t="s">
        <v>399</v>
      </c>
      <c r="D668" s="29" t="s">
        <v>400</v>
      </c>
      <c r="E668" s="34"/>
      <c r="F668" s="34">
        <f>SUM(F651:F666)</f>
        <v>1447651427.7284677</v>
      </c>
      <c r="G668" s="34">
        <f t="shared" ref="G668:V668" si="684">SUM(G651:G667)</f>
        <v>569400617.98365891</v>
      </c>
      <c r="H668" s="34">
        <f t="shared" si="684"/>
        <v>200414371.09690139</v>
      </c>
      <c r="I668" s="34">
        <f t="shared" si="684"/>
        <v>10964661.866080824</v>
      </c>
      <c r="J668" s="34">
        <f t="shared" si="684"/>
        <v>157160378.05699238</v>
      </c>
      <c r="K668" s="34">
        <f t="shared" si="684"/>
        <v>12419786.242215835</v>
      </c>
      <c r="L668" s="34">
        <f t="shared" si="684"/>
        <v>127128000.74571596</v>
      </c>
      <c r="M668" s="34">
        <f t="shared" si="684"/>
        <v>243921730.67309427</v>
      </c>
      <c r="N668" s="34">
        <f t="shared" si="684"/>
        <v>80033742.601270035</v>
      </c>
      <c r="O668" s="34">
        <f t="shared" si="684"/>
        <v>18765556.292602621</v>
      </c>
      <c r="P668" s="34">
        <f t="shared" si="684"/>
        <v>27076257.515746068</v>
      </c>
      <c r="Q668" s="34">
        <f t="shared" si="684"/>
        <v>86207.685661497206</v>
      </c>
      <c r="R668" s="34">
        <f t="shared" si="684"/>
        <v>164492.94827670415</v>
      </c>
      <c r="S668" s="34">
        <f t="shared" si="684"/>
        <v>54084.110250722093</v>
      </c>
      <c r="T668" s="34">
        <f t="shared" si="684"/>
        <v>8320.15</v>
      </c>
      <c r="U668" s="34">
        <f t="shared" si="684"/>
        <v>53219.76</v>
      </c>
      <c r="V668" s="34">
        <f t="shared" si="684"/>
        <v>0</v>
      </c>
      <c r="W668" s="34">
        <f>SUM(G668:V668)</f>
        <v>1447651427.7284675</v>
      </c>
      <c r="X668" s="30" t="str">
        <f>IF(ABS(F668-W668)&lt;0.01,"ok","err")</f>
        <v>ok</v>
      </c>
      <c r="Y668" s="34" t="str">
        <f>IF(X668="err",W668-F668,"")</f>
        <v/>
      </c>
    </row>
    <row r="669" spans="1:25" ht="12" customHeight="1" x14ac:dyDescent="0.25">
      <c r="E669" s="34"/>
      <c r="F669" s="34"/>
      <c r="G669" s="34"/>
      <c r="H669" s="34"/>
      <c r="I669" s="34"/>
      <c r="J669" s="34"/>
      <c r="K669" s="34"/>
      <c r="L669" s="34"/>
      <c r="M669" s="34"/>
      <c r="N669" s="34"/>
      <c r="O669" s="34"/>
      <c r="P669" s="34"/>
      <c r="Q669" s="34"/>
      <c r="R669" s="34"/>
      <c r="S669" s="34"/>
      <c r="T669" s="34"/>
      <c r="U669" s="34"/>
      <c r="V669" s="34"/>
      <c r="W669" s="34"/>
      <c r="X669" s="30"/>
      <c r="Y669" s="34"/>
    </row>
    <row r="670" spans="1:25" ht="12" customHeight="1" x14ac:dyDescent="0.25">
      <c r="E670" s="34"/>
      <c r="F670" s="34"/>
      <c r="G670" s="34"/>
      <c r="H670" s="34"/>
      <c r="I670" s="34"/>
      <c r="J670" s="34"/>
      <c r="K670" s="34"/>
      <c r="L670" s="34"/>
      <c r="M670" s="34"/>
      <c r="N670" s="34"/>
      <c r="O670" s="34"/>
      <c r="P670" s="34"/>
      <c r="Q670" s="34"/>
      <c r="R670" s="34"/>
      <c r="S670" s="34"/>
      <c r="T670" s="34"/>
      <c r="U670" s="34"/>
      <c r="V670" s="34"/>
      <c r="W670" s="34"/>
      <c r="X670" s="30"/>
      <c r="Y670" s="34"/>
    </row>
    <row r="671" spans="1:25" ht="12" customHeight="1" x14ac:dyDescent="0.25">
      <c r="E671" s="34"/>
      <c r="F671" s="32"/>
      <c r="G671" s="34"/>
    </row>
    <row r="672" spans="1:25" ht="12" customHeight="1" x14ac:dyDescent="0.25">
      <c r="A672" s="93" t="s">
        <v>401</v>
      </c>
      <c r="E672" s="34"/>
      <c r="F672" s="34"/>
    </row>
    <row r="673" spans="1:25" ht="12" customHeight="1" x14ac:dyDescent="0.25">
      <c r="A673" s="39" t="s">
        <v>402</v>
      </c>
      <c r="E673" s="66"/>
      <c r="F673" s="34">
        <f t="shared" ref="F673:V673" si="685">F231</f>
        <v>884639920.98630178</v>
      </c>
      <c r="G673" s="34">
        <f t="shared" si="685"/>
        <v>356817400.31037533</v>
      </c>
      <c r="H673" s="34">
        <f t="shared" si="685"/>
        <v>102469233.51670918</v>
      </c>
      <c r="I673" s="34">
        <f t="shared" si="685"/>
        <v>6588100.6923585907</v>
      </c>
      <c r="J673" s="34">
        <f t="shared" si="685"/>
        <v>81331675.083109096</v>
      </c>
      <c r="K673" s="34">
        <f t="shared" si="685"/>
        <v>6146819.8316383213</v>
      </c>
      <c r="L673" s="34">
        <f t="shared" si="685"/>
        <v>78715431.587423518</v>
      </c>
      <c r="M673" s="34">
        <f t="shared" si="685"/>
        <v>162791018.51228562</v>
      </c>
      <c r="N673" s="34">
        <f t="shared" si="685"/>
        <v>55826633.383301362</v>
      </c>
      <c r="O673" s="34">
        <f t="shared" si="685"/>
        <v>24039037.591600008</v>
      </c>
      <c r="P673" s="34">
        <f t="shared" si="685"/>
        <v>9675726.0009686593</v>
      </c>
      <c r="Q673" s="34">
        <f t="shared" si="685"/>
        <v>51761.051320721461</v>
      </c>
      <c r="R673" s="34">
        <f t="shared" si="685"/>
        <v>85524.198433378435</v>
      </c>
      <c r="S673" s="34">
        <f t="shared" si="685"/>
        <v>26861.69677784112</v>
      </c>
      <c r="T673" s="34">
        <f t="shared" si="685"/>
        <v>6398.9999999999991</v>
      </c>
      <c r="U673" s="34">
        <f t="shared" si="685"/>
        <v>68298.53</v>
      </c>
      <c r="V673" s="34">
        <f t="shared" si="685"/>
        <v>0</v>
      </c>
      <c r="W673" s="34">
        <f>SUM(G673:V673)</f>
        <v>884639920.98630178</v>
      </c>
      <c r="X673" s="30" t="str">
        <f>IF(ABS(F673-W673)&lt;0.01,"ok","err")</f>
        <v>ok</v>
      </c>
      <c r="Y673" s="34" t="str">
        <f>IF(X673="err",W673-F673,"")</f>
        <v/>
      </c>
    </row>
    <row r="674" spans="1:25" ht="12" customHeight="1" x14ac:dyDescent="0.25">
      <c r="A674" s="39" t="s">
        <v>403</v>
      </c>
      <c r="F674" s="33">
        <f t="shared" ref="F674:V674" si="686">F345</f>
        <v>268954148.31872469</v>
      </c>
      <c r="G674" s="33">
        <f t="shared" si="686"/>
        <v>123419571.32438555</v>
      </c>
      <c r="H674" s="33">
        <f t="shared" si="686"/>
        <v>29441781.458904795</v>
      </c>
      <c r="I674" s="33">
        <f t="shared" si="686"/>
        <v>1807562.2754941538</v>
      </c>
      <c r="J674" s="33">
        <f t="shared" si="686"/>
        <v>24478890.958788861</v>
      </c>
      <c r="K674" s="33">
        <f t="shared" si="686"/>
        <v>1656183.5978929992</v>
      </c>
      <c r="L674" s="33">
        <f t="shared" si="686"/>
        <v>21860580.384353209</v>
      </c>
      <c r="M674" s="33">
        <f t="shared" si="686"/>
        <v>42560378.324828163</v>
      </c>
      <c r="N674" s="33">
        <f t="shared" si="686"/>
        <v>13085315.089341225</v>
      </c>
      <c r="O674" s="33">
        <f t="shared" si="686"/>
        <v>5785563.6746613672</v>
      </c>
      <c r="P674" s="33">
        <f t="shared" si="686"/>
        <v>4794219.5953405304</v>
      </c>
      <c r="Q674" s="33">
        <f t="shared" si="686"/>
        <v>5278.5203493848758</v>
      </c>
      <c r="R674" s="33">
        <f t="shared" si="686"/>
        <v>17928.110831516424</v>
      </c>
      <c r="S674" s="33">
        <f t="shared" si="686"/>
        <v>8071.4835528830345</v>
      </c>
      <c r="T674" s="33">
        <f t="shared" si="686"/>
        <v>14048.1</v>
      </c>
      <c r="U674" s="33">
        <f t="shared" si="686"/>
        <v>18775.419999999998</v>
      </c>
      <c r="V674" s="33">
        <f t="shared" si="686"/>
        <v>0</v>
      </c>
      <c r="W674" s="33">
        <f>SUM(G674:V674)</f>
        <v>268954148.31872469</v>
      </c>
      <c r="X674" s="30" t="str">
        <f>IF(ABS(F674-W674)&lt;0.01,"ok","err")</f>
        <v>ok</v>
      </c>
      <c r="Y674" s="34" t="str">
        <f>IF(X674="err",W674-F674,"")</f>
        <v/>
      </c>
    </row>
    <row r="675" spans="1:25" ht="12" customHeight="1" x14ac:dyDescent="0.25">
      <c r="A675" s="39" t="s">
        <v>249</v>
      </c>
      <c r="F675" s="33">
        <f t="shared" ref="F675:V675" si="687">F402</f>
        <v>0</v>
      </c>
      <c r="G675" s="33">
        <f t="shared" si="687"/>
        <v>0</v>
      </c>
      <c r="H675" s="33">
        <f t="shared" si="687"/>
        <v>0</v>
      </c>
      <c r="I675" s="33">
        <f t="shared" si="687"/>
        <v>0</v>
      </c>
      <c r="J675" s="33">
        <f t="shared" si="687"/>
        <v>0</v>
      </c>
      <c r="K675" s="33">
        <f t="shared" si="687"/>
        <v>0</v>
      </c>
      <c r="L675" s="33">
        <f t="shared" si="687"/>
        <v>0</v>
      </c>
      <c r="M675" s="33">
        <f t="shared" si="687"/>
        <v>0</v>
      </c>
      <c r="N675" s="33">
        <f t="shared" si="687"/>
        <v>0</v>
      </c>
      <c r="O675" s="33">
        <f t="shared" si="687"/>
        <v>0</v>
      </c>
      <c r="P675" s="33">
        <f t="shared" si="687"/>
        <v>0</v>
      </c>
      <c r="Q675" s="33">
        <f t="shared" si="687"/>
        <v>0</v>
      </c>
      <c r="R675" s="33">
        <f t="shared" si="687"/>
        <v>0</v>
      </c>
      <c r="S675" s="33">
        <f t="shared" si="687"/>
        <v>0</v>
      </c>
      <c r="T675" s="33">
        <f t="shared" si="687"/>
        <v>0</v>
      </c>
      <c r="U675" s="33">
        <f t="shared" si="687"/>
        <v>0</v>
      </c>
      <c r="V675" s="33">
        <f t="shared" si="687"/>
        <v>0</v>
      </c>
      <c r="W675" s="33">
        <f t="shared" ref="W675:W679" si="688">SUM(G675:V675)</f>
        <v>0</v>
      </c>
      <c r="X675" s="30" t="str">
        <f t="shared" ref="X675:X679" si="689">IF(ABS(F675-W675)&lt;0.01,"ok","err")</f>
        <v>ok</v>
      </c>
      <c r="Y675" s="34" t="str">
        <f t="shared" ref="Y675:Y679" si="690">IF(X675="err",W675-F675,"")</f>
        <v/>
      </c>
    </row>
    <row r="676" spans="1:25" ht="12" customHeight="1" x14ac:dyDescent="0.25">
      <c r="A676" s="39" t="s">
        <v>404</v>
      </c>
      <c r="E676" s="29" t="s">
        <v>385</v>
      </c>
      <c r="F676" s="33">
        <f t="shared" ref="F676:V676" si="691">F459</f>
        <v>30253263.473923534</v>
      </c>
      <c r="G676" s="33">
        <f t="shared" si="691"/>
        <v>14280633.472448468</v>
      </c>
      <c r="H676" s="33">
        <f t="shared" si="691"/>
        <v>3456975.0041090166</v>
      </c>
      <c r="I676" s="33">
        <f t="shared" si="691"/>
        <v>207922.97982782684</v>
      </c>
      <c r="J676" s="33">
        <f t="shared" si="691"/>
        <v>2638125.2270866898</v>
      </c>
      <c r="K676" s="33">
        <f t="shared" si="691"/>
        <v>177131.60121589803</v>
      </c>
      <c r="L676" s="33">
        <f t="shared" si="691"/>
        <v>2316096.6817040429</v>
      </c>
      <c r="M676" s="33">
        <f t="shared" si="691"/>
        <v>4507585.581230714</v>
      </c>
      <c r="N676" s="33">
        <f t="shared" si="691"/>
        <v>1352232.2916498</v>
      </c>
      <c r="O676" s="33">
        <f t="shared" si="691"/>
        <v>611684.26672794821</v>
      </c>
      <c r="P676" s="33">
        <f t="shared" si="691"/>
        <v>693651.00987090275</v>
      </c>
      <c r="Q676" s="33">
        <f t="shared" si="691"/>
        <v>749.04050831240181</v>
      </c>
      <c r="R676" s="33">
        <f t="shared" si="691"/>
        <v>2142.1488944312068</v>
      </c>
      <c r="S676" s="33">
        <f t="shared" si="691"/>
        <v>1123.6486494847222</v>
      </c>
      <c r="T676" s="33">
        <f t="shared" si="691"/>
        <v>1989.3199999999997</v>
      </c>
      <c r="U676" s="33">
        <f t="shared" si="691"/>
        <v>5221.2</v>
      </c>
      <c r="V676" s="33">
        <f t="shared" si="691"/>
        <v>0</v>
      </c>
      <c r="W676" s="33">
        <f t="shared" si="688"/>
        <v>30253263.473923538</v>
      </c>
      <c r="X676" s="30" t="str">
        <f t="shared" si="689"/>
        <v>ok</v>
      </c>
      <c r="Y676" s="34" t="str">
        <f t="shared" si="690"/>
        <v/>
      </c>
    </row>
    <row r="677" spans="1:25" ht="12" customHeight="1" x14ac:dyDescent="0.25">
      <c r="A677" s="39" t="s">
        <v>405</v>
      </c>
      <c r="F677" s="33">
        <f t="shared" ref="F677:V677" si="692">F516</f>
        <v>13428960.159154363</v>
      </c>
      <c r="G677" s="33">
        <f t="shared" si="692"/>
        <v>6340457.1310382057</v>
      </c>
      <c r="H677" s="33">
        <f t="shared" si="692"/>
        <v>1534924.9425914476</v>
      </c>
      <c r="I677" s="33">
        <f t="shared" si="692"/>
        <v>92313.122700969456</v>
      </c>
      <c r="J677" s="33">
        <f t="shared" si="692"/>
        <v>1171323.2369121783</v>
      </c>
      <c r="K677" s="33">
        <f t="shared" si="692"/>
        <v>78656.518330944164</v>
      </c>
      <c r="L677" s="33">
        <f t="shared" si="692"/>
        <v>1028315.9944839411</v>
      </c>
      <c r="M677" s="33">
        <f t="shared" si="692"/>
        <v>2001311.7461681338</v>
      </c>
      <c r="N677" s="33">
        <f t="shared" si="692"/>
        <v>600393.55444905825</v>
      </c>
      <c r="O677" s="33">
        <f t="shared" si="692"/>
        <v>271578.62785239698</v>
      </c>
      <c r="P677" s="33">
        <f t="shared" si="692"/>
        <v>307901.93733436504</v>
      </c>
      <c r="Q677" s="33">
        <f t="shared" si="692"/>
        <v>332.53628080083257</v>
      </c>
      <c r="R677" s="33">
        <f t="shared" si="692"/>
        <v>951.94100888343155</v>
      </c>
      <c r="S677" s="33">
        <f t="shared" si="692"/>
        <v>498.87000303630566</v>
      </c>
      <c r="T677" s="33">
        <f t="shared" si="692"/>
        <v>0</v>
      </c>
      <c r="U677" s="33">
        <f t="shared" si="692"/>
        <v>0</v>
      </c>
      <c r="V677" s="33">
        <f t="shared" si="692"/>
        <v>0</v>
      </c>
      <c r="W677" s="33">
        <f t="shared" si="688"/>
        <v>13428960.159154363</v>
      </c>
      <c r="X677" s="30" t="str">
        <f t="shared" si="689"/>
        <v>ok</v>
      </c>
      <c r="Y677" s="34" t="str">
        <f t="shared" si="690"/>
        <v/>
      </c>
    </row>
    <row r="678" spans="1:25" ht="12" customHeight="1" x14ac:dyDescent="0.25">
      <c r="A678" s="29" t="s">
        <v>866</v>
      </c>
      <c r="F678" s="33">
        <f t="shared" ref="F678:V678" si="693">F574</f>
        <v>0</v>
      </c>
      <c r="G678" s="33">
        <f t="shared" si="693"/>
        <v>0</v>
      </c>
      <c r="H678" s="33">
        <f t="shared" si="693"/>
        <v>0</v>
      </c>
      <c r="I678" s="33">
        <f t="shared" si="693"/>
        <v>0</v>
      </c>
      <c r="J678" s="33">
        <f t="shared" si="693"/>
        <v>0</v>
      </c>
      <c r="K678" s="33">
        <f t="shared" si="693"/>
        <v>0</v>
      </c>
      <c r="L678" s="33">
        <f t="shared" si="693"/>
        <v>0</v>
      </c>
      <c r="M678" s="33">
        <f t="shared" si="693"/>
        <v>0</v>
      </c>
      <c r="N678" s="33">
        <f t="shared" si="693"/>
        <v>0</v>
      </c>
      <c r="O678" s="33">
        <f t="shared" si="693"/>
        <v>0</v>
      </c>
      <c r="P678" s="33">
        <f t="shared" si="693"/>
        <v>0</v>
      </c>
      <c r="Q678" s="33">
        <f t="shared" si="693"/>
        <v>0</v>
      </c>
      <c r="R678" s="33">
        <f t="shared" si="693"/>
        <v>0</v>
      </c>
      <c r="S678" s="33">
        <f t="shared" si="693"/>
        <v>0</v>
      </c>
      <c r="T678" s="33">
        <f t="shared" si="693"/>
        <v>0</v>
      </c>
      <c r="U678" s="33">
        <f t="shared" si="693"/>
        <v>0</v>
      </c>
      <c r="V678" s="33">
        <f t="shared" si="693"/>
        <v>0</v>
      </c>
      <c r="W678" s="33">
        <f t="shared" si="688"/>
        <v>0</v>
      </c>
      <c r="X678" s="30" t="str">
        <f t="shared" si="689"/>
        <v>ok</v>
      </c>
      <c r="Y678" s="34" t="str">
        <f t="shared" si="690"/>
        <v/>
      </c>
    </row>
    <row r="679" spans="1:25" ht="12" customHeight="1" x14ac:dyDescent="0.25">
      <c r="A679" s="39" t="s">
        <v>1450</v>
      </c>
      <c r="E679" s="29" t="s">
        <v>1097</v>
      </c>
      <c r="F679" s="33">
        <f>'Jurisdictional Study'!F1286+'Jurisdictional Study'!F1296-17497272.55-4494463.38-95867.28-24026.89</f>
        <v>24634790.299113952</v>
      </c>
      <c r="G679" s="32">
        <f t="shared" ref="G679:V679" si="694">IF(VLOOKUP($E679,$D$5:$AJ$990,3,)=0,0,(VLOOKUP($E679,$D$5:$AJ$990,G$1,)/VLOOKUP($E679,$D$5:$AJ$990,3,))*$F679)</f>
        <v>2963663.4654328935</v>
      </c>
      <c r="H679" s="32">
        <f t="shared" si="694"/>
        <v>8904633.6492582392</v>
      </c>
      <c r="I679" s="32">
        <f t="shared" si="694"/>
        <v>264906.01341091574</v>
      </c>
      <c r="J679" s="32">
        <f t="shared" si="694"/>
        <v>6633643.8835891886</v>
      </c>
      <c r="K679" s="32">
        <f t="shared" si="694"/>
        <v>649375.16348819179</v>
      </c>
      <c r="L679" s="32">
        <f t="shared" si="694"/>
        <v>2590536.550213357</v>
      </c>
      <c r="M679" s="32">
        <f t="shared" si="694"/>
        <v>2754871.8229844267</v>
      </c>
      <c r="N679" s="32">
        <f t="shared" si="694"/>
        <v>748065.93586284923</v>
      </c>
      <c r="O679" s="32">
        <f t="shared" si="694"/>
        <v>-2469273.2333015176</v>
      </c>
      <c r="P679" s="32">
        <f t="shared" si="694"/>
        <v>1588108.1074516447</v>
      </c>
      <c r="Q679" s="32">
        <f t="shared" si="694"/>
        <v>4429.1949178340801</v>
      </c>
      <c r="R679" s="32">
        <f t="shared" si="694"/>
        <v>8760.8014658709963</v>
      </c>
      <c r="S679" s="32">
        <f t="shared" si="694"/>
        <v>2350.7980440181814</v>
      </c>
      <c r="T679" s="32">
        <f t="shared" si="694"/>
        <v>-2463.2649739859398</v>
      </c>
      <c r="U679" s="32">
        <f t="shared" si="694"/>
        <v>-6818.5887300144041</v>
      </c>
      <c r="V679" s="32">
        <f t="shared" si="694"/>
        <v>0</v>
      </c>
      <c r="W679" s="33">
        <f t="shared" si="688"/>
        <v>24634790.299113914</v>
      </c>
      <c r="X679" s="30" t="str">
        <f t="shared" si="689"/>
        <v>ok</v>
      </c>
      <c r="Y679" s="34" t="str">
        <f t="shared" si="690"/>
        <v/>
      </c>
    </row>
    <row r="680" spans="1:25" ht="12" hidden="1" customHeight="1" x14ac:dyDescent="0.25">
      <c r="A680" s="39" t="s">
        <v>491</v>
      </c>
      <c r="F680" s="33"/>
      <c r="G680" s="33">
        <f t="shared" ref="G680:T680" si="695">-G975</f>
        <v>0</v>
      </c>
      <c r="H680" s="33">
        <f t="shared" si="695"/>
        <v>0</v>
      </c>
      <c r="I680" s="33">
        <f t="shared" si="695"/>
        <v>0</v>
      </c>
      <c r="J680" s="33">
        <f t="shared" si="695"/>
        <v>0</v>
      </c>
      <c r="K680" s="33">
        <f t="shared" si="695"/>
        <v>0</v>
      </c>
      <c r="L680" s="33">
        <f t="shared" si="695"/>
        <v>0</v>
      </c>
      <c r="M680" s="33">
        <f t="shared" si="695"/>
        <v>0</v>
      </c>
      <c r="N680" s="33">
        <f t="shared" si="695"/>
        <v>0</v>
      </c>
      <c r="O680" s="33">
        <f t="shared" si="695"/>
        <v>0</v>
      </c>
      <c r="P680" s="33">
        <f t="shared" si="695"/>
        <v>0</v>
      </c>
      <c r="Q680" s="33">
        <f t="shared" si="695"/>
        <v>0</v>
      </c>
      <c r="R680" s="33">
        <f t="shared" si="695"/>
        <v>0</v>
      </c>
      <c r="S680" s="33">
        <f t="shared" si="695"/>
        <v>0</v>
      </c>
      <c r="T680" s="33">
        <f t="shared" si="695"/>
        <v>0</v>
      </c>
      <c r="U680" s="33">
        <f t="shared" ref="U680:V680" si="696">-U975</f>
        <v>0</v>
      </c>
      <c r="V680" s="33">
        <f t="shared" si="696"/>
        <v>0</v>
      </c>
      <c r="X680" s="30" t="str">
        <f>IF(ABS(F680-V680)&lt;0.01,"ok","err")</f>
        <v>ok</v>
      </c>
      <c r="Y680" s="34" t="str">
        <f>IF(X680="err",V680-F680,"")</f>
        <v/>
      </c>
    </row>
    <row r="681" spans="1:25" ht="12" hidden="1" customHeight="1" x14ac:dyDescent="0.25">
      <c r="A681" s="39" t="s">
        <v>534</v>
      </c>
      <c r="E681" s="29" t="s">
        <v>536</v>
      </c>
      <c r="F681" s="33"/>
      <c r="G681" s="32">
        <f t="shared" ref="G681:V681" si="697">IF(VLOOKUP($E681,$D$5:$AJ$1052,3,)=0,0,(VLOOKUP($E681,$D$5:$AJ$1052,G$1,)/VLOOKUP($E681,$D$5:$AJ$1052,3,))*$F681)</f>
        <v>0</v>
      </c>
      <c r="H681" s="32">
        <f t="shared" si="697"/>
        <v>0</v>
      </c>
      <c r="I681" s="32">
        <f t="shared" si="697"/>
        <v>0</v>
      </c>
      <c r="J681" s="32">
        <f t="shared" si="697"/>
        <v>0</v>
      </c>
      <c r="K681" s="32">
        <f t="shared" si="697"/>
        <v>0</v>
      </c>
      <c r="L681" s="32">
        <f t="shared" si="697"/>
        <v>0</v>
      </c>
      <c r="M681" s="32">
        <f t="shared" si="697"/>
        <v>0</v>
      </c>
      <c r="N681" s="32">
        <f t="shared" si="697"/>
        <v>0</v>
      </c>
      <c r="O681" s="32">
        <f t="shared" si="697"/>
        <v>0</v>
      </c>
      <c r="P681" s="32">
        <f t="shared" si="697"/>
        <v>0</v>
      </c>
      <c r="Q681" s="32">
        <f t="shared" si="697"/>
        <v>0</v>
      </c>
      <c r="R681" s="32">
        <f t="shared" si="697"/>
        <v>0</v>
      </c>
      <c r="S681" s="32">
        <f t="shared" si="697"/>
        <v>0</v>
      </c>
      <c r="T681" s="32">
        <f t="shared" si="697"/>
        <v>0</v>
      </c>
      <c r="U681" s="32">
        <f t="shared" si="697"/>
        <v>0</v>
      </c>
      <c r="V681" s="32">
        <f t="shared" si="697"/>
        <v>0</v>
      </c>
      <c r="X681" s="30" t="str">
        <f>IF(ABS(F681-V681)&lt;0.01,"ok","err")</f>
        <v>ok</v>
      </c>
      <c r="Y681" s="34" t="str">
        <f>IF(X681="err",V681-F681,"")</f>
        <v/>
      </c>
    </row>
    <row r="682" spans="1:25" ht="12" customHeight="1" x14ac:dyDescent="0.25">
      <c r="A682" s="39"/>
      <c r="X682" s="30"/>
    </row>
    <row r="683" spans="1:25" ht="12" customHeight="1" x14ac:dyDescent="0.25">
      <c r="A683" s="29" t="s">
        <v>406</v>
      </c>
      <c r="D683" s="29" t="s">
        <v>364</v>
      </c>
      <c r="F683" s="34">
        <f t="shared" ref="F683:T683" si="698">SUM(F673:F682)</f>
        <v>1221911083.2372184</v>
      </c>
      <c r="G683" s="34">
        <f t="shared" si="698"/>
        <v>503821725.7036804</v>
      </c>
      <c r="H683" s="34">
        <f t="shared" si="698"/>
        <v>145807548.57157269</v>
      </c>
      <c r="I683" s="34">
        <f t="shared" si="698"/>
        <v>8960805.0837924574</v>
      </c>
      <c r="J683" s="34">
        <f t="shared" si="698"/>
        <v>116253658.38948601</v>
      </c>
      <c r="K683" s="34">
        <f t="shared" si="698"/>
        <v>8708166.7125663552</v>
      </c>
      <c r="L683" s="34">
        <f t="shared" si="698"/>
        <v>106510961.19817807</v>
      </c>
      <c r="M683" s="34">
        <f t="shared" si="698"/>
        <v>214615165.98749706</v>
      </c>
      <c r="N683" s="34">
        <f t="shared" si="698"/>
        <v>71612640.254604295</v>
      </c>
      <c r="O683" s="34">
        <f t="shared" si="698"/>
        <v>28238590.927540202</v>
      </c>
      <c r="P683" s="34">
        <f t="shared" si="698"/>
        <v>17059606.6509661</v>
      </c>
      <c r="Q683" s="34">
        <f t="shared" si="698"/>
        <v>62550.34337705365</v>
      </c>
      <c r="R683" s="34">
        <f t="shared" si="698"/>
        <v>115307.20063408049</v>
      </c>
      <c r="S683" s="34">
        <f t="shared" si="698"/>
        <v>38906.497027263358</v>
      </c>
      <c r="T683" s="34">
        <f t="shared" si="698"/>
        <v>19973.155026014058</v>
      </c>
      <c r="U683" s="34">
        <f t="shared" ref="U683:V683" si="699">SUM(U673:U682)</f>
        <v>85476.561269985585</v>
      </c>
      <c r="V683" s="34">
        <f t="shared" si="699"/>
        <v>0</v>
      </c>
      <c r="W683" s="34">
        <f>SUM(G683:V683)</f>
        <v>1221911083.2372181</v>
      </c>
      <c r="X683" s="30" t="str">
        <f>IF(ABS(F683-W683)&lt;0.01,"ok","err")</f>
        <v>ok</v>
      </c>
      <c r="Y683" s="34" t="str">
        <f>IF(X683="err",W683-F683,"")</f>
        <v/>
      </c>
    </row>
    <row r="684" spans="1:25" ht="12" customHeight="1" x14ac:dyDescent="0.25">
      <c r="A684" s="39"/>
    </row>
    <row r="685" spans="1:25" ht="12" customHeight="1" x14ac:dyDescent="0.25">
      <c r="A685" s="29" t="s">
        <v>869</v>
      </c>
      <c r="D685" s="29" t="s">
        <v>785</v>
      </c>
      <c r="F685" s="34">
        <f t="shared" ref="F685:T685" si="700">F668-F683</f>
        <v>225740344.49124932</v>
      </c>
      <c r="G685" s="34">
        <f t="shared" si="700"/>
        <v>65578892.279978514</v>
      </c>
      <c r="H685" s="34">
        <f t="shared" si="700"/>
        <v>54606822.525328696</v>
      </c>
      <c r="I685" s="34">
        <f t="shared" si="700"/>
        <v>2003856.7822883669</v>
      </c>
      <c r="J685" s="34">
        <f t="shared" si="700"/>
        <v>40906719.667506367</v>
      </c>
      <c r="K685" s="34">
        <f t="shared" si="700"/>
        <v>3711619.5296494793</v>
      </c>
      <c r="L685" s="34">
        <f t="shared" si="700"/>
        <v>20617039.547537893</v>
      </c>
      <c r="M685" s="34">
        <f t="shared" si="700"/>
        <v>29306564.685597211</v>
      </c>
      <c r="N685" s="34">
        <f t="shared" si="700"/>
        <v>8421102.34666574</v>
      </c>
      <c r="O685" s="34">
        <f t="shared" si="700"/>
        <v>-9473034.6349375807</v>
      </c>
      <c r="P685" s="34">
        <f t="shared" si="700"/>
        <v>10016650.864779968</v>
      </c>
      <c r="Q685" s="34">
        <f t="shared" si="700"/>
        <v>23657.342284443555</v>
      </c>
      <c r="R685" s="34">
        <f t="shared" si="700"/>
        <v>49185.747642623654</v>
      </c>
      <c r="S685" s="34">
        <f t="shared" si="700"/>
        <v>15177.613223458735</v>
      </c>
      <c r="T685" s="34">
        <f t="shared" si="700"/>
        <v>-11653.005026014058</v>
      </c>
      <c r="U685" s="34">
        <f t="shared" ref="U685:V685" si="701">U668-U683</f>
        <v>-32256.801269985583</v>
      </c>
      <c r="V685" s="34">
        <f t="shared" si="701"/>
        <v>0</v>
      </c>
      <c r="W685" s="34">
        <f>SUM(G685:V685)</f>
        <v>225740344.4912492</v>
      </c>
      <c r="X685" s="30" t="str">
        <f>IF(ABS(F685-W685)&lt;0.01,"ok","err")</f>
        <v>ok</v>
      </c>
      <c r="Y685" s="34" t="str">
        <f>IF(X685="err",W685-F685,"")</f>
        <v/>
      </c>
    </row>
    <row r="687" spans="1:25" ht="12" customHeight="1" x14ac:dyDescent="0.25">
      <c r="A687" s="29" t="s">
        <v>386</v>
      </c>
      <c r="F687" s="34">
        <f t="shared" ref="F687:V687" si="702">F174</f>
        <v>4045218982.2825289</v>
      </c>
      <c r="G687" s="34">
        <f t="shared" si="702"/>
        <v>1913829757.74629</v>
      </c>
      <c r="H687" s="34">
        <f t="shared" si="702"/>
        <v>467548043.95758653</v>
      </c>
      <c r="I687" s="34">
        <f t="shared" si="702"/>
        <v>28196993.42654264</v>
      </c>
      <c r="J687" s="34">
        <f t="shared" si="702"/>
        <v>349060438.26951933</v>
      </c>
      <c r="K687" s="34">
        <f t="shared" si="702"/>
        <v>23535963.346838195</v>
      </c>
      <c r="L687" s="34">
        <f t="shared" si="702"/>
        <v>306358758.4514882</v>
      </c>
      <c r="M687" s="34">
        <f t="shared" si="702"/>
        <v>598196354.09069657</v>
      </c>
      <c r="N687" s="34">
        <f t="shared" si="702"/>
        <v>179279650.94574383</v>
      </c>
      <c r="O687" s="34">
        <f t="shared" si="702"/>
        <v>81805214.326673463</v>
      </c>
      <c r="P687" s="34">
        <f t="shared" si="702"/>
        <v>95549460.244665146</v>
      </c>
      <c r="Q687" s="34">
        <f t="shared" si="702"/>
        <v>110709.73647517695</v>
      </c>
      <c r="R687" s="34">
        <f t="shared" si="702"/>
        <v>291865.82501450198</v>
      </c>
      <c r="S687" s="34">
        <f t="shared" si="702"/>
        <v>158532.87499419737</v>
      </c>
      <c r="T687" s="34">
        <f t="shared" si="702"/>
        <v>124111.54000000001</v>
      </c>
      <c r="U687" s="34">
        <f t="shared" si="702"/>
        <v>1173127.4999999998</v>
      </c>
      <c r="V687" s="34">
        <f t="shared" si="702"/>
        <v>0</v>
      </c>
      <c r="W687" s="34">
        <f>SUM(G687:V687)</f>
        <v>4045218982.2825279</v>
      </c>
      <c r="X687" s="30" t="str">
        <f>IF(ABS(F687-W687)&lt;0.01,"ok","err")</f>
        <v>ok</v>
      </c>
      <c r="Y687" s="34" t="str">
        <f>IF(X687="err",W687-F687,"")</f>
        <v/>
      </c>
    </row>
    <row r="688" spans="1:25" ht="12" customHeight="1" x14ac:dyDescent="0.25">
      <c r="B688" s="34"/>
      <c r="Y688" s="66"/>
    </row>
    <row r="689" spans="1:25" s="93" customFormat="1" ht="12" hidden="1" customHeight="1" x14ac:dyDescent="0.25">
      <c r="A689" s="182"/>
      <c r="B689" s="182"/>
      <c r="C689" s="182"/>
      <c r="D689" s="182"/>
      <c r="E689" s="182"/>
      <c r="F689" s="94"/>
      <c r="G689" s="183"/>
      <c r="H689" s="183"/>
      <c r="I689" s="183"/>
      <c r="J689" s="183"/>
      <c r="K689" s="183"/>
      <c r="L689" s="183"/>
      <c r="M689" s="183"/>
      <c r="N689" s="183"/>
      <c r="O689" s="183"/>
      <c r="P689" s="183"/>
      <c r="Q689" s="183"/>
      <c r="R689" s="183"/>
      <c r="S689" s="183"/>
      <c r="T689" s="183"/>
      <c r="U689" s="183"/>
      <c r="V689" s="183"/>
      <c r="X689" s="70"/>
    </row>
    <row r="690" spans="1:25" ht="12" hidden="1" customHeight="1" x14ac:dyDescent="0.25"/>
    <row r="691" spans="1:25" ht="12" hidden="1" customHeight="1" x14ac:dyDescent="0.25">
      <c r="F691" s="33"/>
      <c r="G691" s="71"/>
      <c r="H691" s="71"/>
      <c r="I691" s="71"/>
      <c r="J691" s="71"/>
      <c r="K691" s="71"/>
      <c r="L691" s="71"/>
      <c r="M691" s="71"/>
      <c r="N691" s="71"/>
      <c r="O691" s="71"/>
      <c r="P691" s="71"/>
      <c r="Q691" s="71"/>
      <c r="R691" s="71"/>
      <c r="S691" s="71"/>
      <c r="T691" s="71"/>
      <c r="U691" s="71"/>
      <c r="V691" s="71"/>
    </row>
    <row r="692" spans="1:25" ht="12" hidden="1" customHeight="1" x14ac:dyDescent="0.25"/>
    <row r="693" spans="1:25" ht="12" hidden="1" customHeight="1" x14ac:dyDescent="0.25">
      <c r="F693" s="33"/>
      <c r="G693" s="33"/>
      <c r="H693" s="33"/>
      <c r="I693" s="33"/>
      <c r="J693" s="33"/>
      <c r="K693" s="33"/>
      <c r="L693" s="33"/>
      <c r="M693" s="33"/>
      <c r="N693" s="33"/>
      <c r="O693" s="33"/>
      <c r="P693" s="33"/>
      <c r="Q693" s="33"/>
      <c r="R693" s="33"/>
      <c r="S693" s="33"/>
      <c r="T693" s="33"/>
      <c r="U693" s="33"/>
      <c r="V693" s="33"/>
    </row>
    <row r="694" spans="1:25" ht="12" hidden="1" customHeight="1" x14ac:dyDescent="0.25">
      <c r="G694" s="41"/>
      <c r="H694" s="41"/>
      <c r="I694" s="41"/>
      <c r="J694" s="41"/>
      <c r="K694" s="41"/>
      <c r="L694" s="41"/>
      <c r="M694" s="72"/>
      <c r="N694" s="41"/>
      <c r="O694" s="72"/>
      <c r="P694" s="41"/>
      <c r="Q694" s="41"/>
      <c r="R694" s="41"/>
      <c r="S694" s="41"/>
      <c r="T694" s="41"/>
      <c r="U694" s="41"/>
      <c r="V694" s="41"/>
    </row>
    <row r="695" spans="1:25" ht="12" hidden="1" customHeight="1" x14ac:dyDescent="0.25">
      <c r="G695" s="41"/>
      <c r="H695" s="41"/>
      <c r="I695" s="41"/>
      <c r="J695" s="41"/>
      <c r="K695" s="41"/>
      <c r="L695" s="41"/>
      <c r="M695" s="41"/>
      <c r="N695" s="41"/>
      <c r="O695" s="41"/>
      <c r="P695" s="72"/>
      <c r="Q695" s="41"/>
      <c r="R695" s="41"/>
      <c r="S695" s="41"/>
      <c r="T695" s="41"/>
      <c r="U695" s="41"/>
      <c r="V695" s="41"/>
    </row>
    <row r="696" spans="1:25" ht="12" hidden="1" customHeight="1" x14ac:dyDescent="0.25"/>
    <row r="697" spans="1:25" ht="12" hidden="1" customHeight="1" x14ac:dyDescent="0.25">
      <c r="F697" s="73"/>
      <c r="G697" s="73"/>
      <c r="H697" s="73"/>
      <c r="I697" s="73"/>
      <c r="J697" s="73"/>
      <c r="K697" s="73"/>
      <c r="L697" s="73"/>
      <c r="M697" s="73"/>
      <c r="N697" s="73"/>
      <c r="O697" s="73"/>
      <c r="P697" s="73"/>
    </row>
    <row r="698" spans="1:25" ht="12" hidden="1" customHeight="1" x14ac:dyDescent="0.25"/>
    <row r="699" spans="1:25" ht="12" hidden="1" customHeight="1" x14ac:dyDescent="0.25"/>
    <row r="701" spans="1:25" ht="12" customHeight="1" x14ac:dyDescent="0.25">
      <c r="A701" s="3" t="s">
        <v>1092</v>
      </c>
    </row>
    <row r="703" spans="1:25" ht="12" customHeight="1" x14ac:dyDescent="0.25">
      <c r="A703" s="29" t="s">
        <v>1093</v>
      </c>
      <c r="F703" s="34">
        <f t="shared" ref="F703:V703" si="703">F668</f>
        <v>1447651427.7284677</v>
      </c>
      <c r="G703" s="34">
        <f t="shared" si="703"/>
        <v>569400617.98365891</v>
      </c>
      <c r="H703" s="34">
        <f t="shared" si="703"/>
        <v>200414371.09690139</v>
      </c>
      <c r="I703" s="34">
        <f t="shared" si="703"/>
        <v>10964661.866080824</v>
      </c>
      <c r="J703" s="34">
        <f t="shared" si="703"/>
        <v>157160378.05699238</v>
      </c>
      <c r="K703" s="34">
        <f t="shared" si="703"/>
        <v>12419786.242215835</v>
      </c>
      <c r="L703" s="34">
        <f t="shared" si="703"/>
        <v>127128000.74571596</v>
      </c>
      <c r="M703" s="34">
        <f t="shared" si="703"/>
        <v>243921730.67309427</v>
      </c>
      <c r="N703" s="34">
        <f t="shared" si="703"/>
        <v>80033742.601270035</v>
      </c>
      <c r="O703" s="34">
        <f t="shared" si="703"/>
        <v>18765556.292602621</v>
      </c>
      <c r="P703" s="34">
        <f t="shared" si="703"/>
        <v>27076257.515746068</v>
      </c>
      <c r="Q703" s="34">
        <f t="shared" si="703"/>
        <v>86207.685661497206</v>
      </c>
      <c r="R703" s="34">
        <f t="shared" si="703"/>
        <v>164492.94827670415</v>
      </c>
      <c r="S703" s="34">
        <f t="shared" si="703"/>
        <v>54084.110250722093</v>
      </c>
      <c r="T703" s="34">
        <f t="shared" si="703"/>
        <v>8320.15</v>
      </c>
      <c r="U703" s="34">
        <f t="shared" si="703"/>
        <v>53219.76</v>
      </c>
      <c r="V703" s="34">
        <f t="shared" si="703"/>
        <v>0</v>
      </c>
      <c r="W703" s="34">
        <f>SUM(G703:V703)</f>
        <v>1447651427.7284675</v>
      </c>
      <c r="X703" s="30" t="str">
        <f>IF(ABS(F703-W703)&lt;0.01,"ok","err")</f>
        <v>ok</v>
      </c>
      <c r="Y703" s="34" t="str">
        <f>IF(X703="err",W703-F703,"")</f>
        <v/>
      </c>
    </row>
    <row r="705" spans="1:25" ht="12" customHeight="1" x14ac:dyDescent="0.25">
      <c r="A705" s="29" t="s">
        <v>401</v>
      </c>
      <c r="F705" s="34">
        <f t="shared" ref="F705:V705" si="704">F673+F674+F675+F676+F677+F678+F680+F681</f>
        <v>1197276292.9381044</v>
      </c>
      <c r="G705" s="34">
        <f t="shared" si="704"/>
        <v>500858062.23824751</v>
      </c>
      <c r="H705" s="34">
        <f t="shared" si="704"/>
        <v>136902914.92231447</v>
      </c>
      <c r="I705" s="34">
        <f t="shared" si="704"/>
        <v>8695899.0703815408</v>
      </c>
      <c r="J705" s="34">
        <f t="shared" si="704"/>
        <v>109620014.50589682</v>
      </c>
      <c r="K705" s="34">
        <f t="shared" si="704"/>
        <v>8058791.5490781628</v>
      </c>
      <c r="L705" s="34">
        <f t="shared" si="704"/>
        <v>103920424.64796472</v>
      </c>
      <c r="M705" s="34">
        <f t="shared" si="704"/>
        <v>211860294.16451263</v>
      </c>
      <c r="N705" s="34">
        <f t="shared" si="704"/>
        <v>70864574.318741441</v>
      </c>
      <c r="O705" s="34">
        <f t="shared" si="704"/>
        <v>30707864.160841718</v>
      </c>
      <c r="P705" s="34">
        <f t="shared" si="704"/>
        <v>15471498.543514457</v>
      </c>
      <c r="Q705" s="34">
        <f t="shared" si="704"/>
        <v>58121.14845921957</v>
      </c>
      <c r="R705" s="34">
        <f t="shared" si="704"/>
        <v>106546.39916820949</v>
      </c>
      <c r="S705" s="34">
        <f t="shared" si="704"/>
        <v>36555.69898324518</v>
      </c>
      <c r="T705" s="34">
        <f t="shared" si="704"/>
        <v>22436.42</v>
      </c>
      <c r="U705" s="34">
        <f t="shared" si="704"/>
        <v>92295.15</v>
      </c>
      <c r="V705" s="34">
        <f t="shared" si="704"/>
        <v>0</v>
      </c>
      <c r="W705" s="34">
        <f>SUM(G705:V705)</f>
        <v>1197276292.9381042</v>
      </c>
      <c r="X705" s="30" t="str">
        <f>IF(ABS(F705-W705)&lt;0.01,"ok","err")</f>
        <v>ok</v>
      </c>
      <c r="Y705" s="34" t="str">
        <f>IF(X705="err",W705-F705,"")</f>
        <v/>
      </c>
    </row>
    <row r="707" spans="1:25" ht="12" customHeight="1" x14ac:dyDescent="0.25">
      <c r="A707" s="29" t="s">
        <v>1094</v>
      </c>
      <c r="D707" s="29" t="s">
        <v>1095</v>
      </c>
      <c r="F707" s="74">
        <f t="shared" ref="F707:V707" si="705">F636</f>
        <v>109200167.85493113</v>
      </c>
      <c r="G707" s="74">
        <f t="shared" si="705"/>
        <v>51558644.510117233</v>
      </c>
      <c r="H707" s="74">
        <f t="shared" si="705"/>
        <v>12481536.871746996</v>
      </c>
      <c r="I707" s="74">
        <f t="shared" si="705"/>
        <v>750661.88109039015</v>
      </c>
      <c r="J707" s="74">
        <f t="shared" si="705"/>
        <v>9524839.7915602811</v>
      </c>
      <c r="K707" s="74">
        <f t="shared" si="705"/>
        <v>639610.58062774455</v>
      </c>
      <c r="L707" s="74">
        <f t="shared" si="705"/>
        <v>8361948.9427860491</v>
      </c>
      <c r="M707" s="74">
        <f t="shared" si="705"/>
        <v>16274050.709922388</v>
      </c>
      <c r="N707" s="74">
        <f t="shared" si="705"/>
        <v>4882215.4617952537</v>
      </c>
      <c r="O707" s="74">
        <f t="shared" si="705"/>
        <v>2208393.7546778098</v>
      </c>
      <c r="P707" s="74">
        <f t="shared" si="705"/>
        <v>2503763.7196987877</v>
      </c>
      <c r="Q707" s="74">
        <f t="shared" si="705"/>
        <v>2704.0826133177015</v>
      </c>
      <c r="R707" s="74">
        <f t="shared" si="705"/>
        <v>7740.8910836033929</v>
      </c>
      <c r="S707" s="74">
        <f t="shared" si="705"/>
        <v>4056.657211259836</v>
      </c>
      <c r="T707" s="74">
        <f t="shared" si="705"/>
        <v>0</v>
      </c>
      <c r="U707" s="74">
        <f t="shared" si="705"/>
        <v>0</v>
      </c>
      <c r="V707" s="74">
        <f t="shared" si="705"/>
        <v>0</v>
      </c>
      <c r="W707" s="34">
        <f>SUM(G707:V707)</f>
        <v>109200167.8549311</v>
      </c>
      <c r="X707" s="30" t="str">
        <f>IF(ABS(F707-W707)&lt;0.01,"ok","err")</f>
        <v>ok</v>
      </c>
      <c r="Y707" s="34" t="str">
        <f>IF(X707="err",W707-F707,"")</f>
        <v/>
      </c>
    </row>
    <row r="709" spans="1:25" ht="12" customHeight="1" x14ac:dyDescent="0.25">
      <c r="A709" s="29" t="s">
        <v>1096</v>
      </c>
      <c r="D709" s="29" t="s">
        <v>1097</v>
      </c>
      <c r="F709" s="34">
        <f>F703-F705-F707</f>
        <v>141174966.9354322</v>
      </c>
      <c r="G709" s="34">
        <f t="shared" ref="G709:V709" si="706">G703-G705-G707</f>
        <v>16983911.235294163</v>
      </c>
      <c r="H709" s="34">
        <f t="shared" si="706"/>
        <v>51029919.302839927</v>
      </c>
      <c r="I709" s="34">
        <f>I703-I705-I707</f>
        <v>1518100.9146088935</v>
      </c>
      <c r="J709" s="34">
        <f>J703-J705-J707</f>
        <v>38015523.759535283</v>
      </c>
      <c r="K709" s="34">
        <f>K703-K705-K707</f>
        <v>3721384.1125099272</v>
      </c>
      <c r="L709" s="34">
        <f t="shared" si="706"/>
        <v>14845627.154965196</v>
      </c>
      <c r="M709" s="34">
        <f t="shared" si="706"/>
        <v>15787385.79865925</v>
      </c>
      <c r="N709" s="34">
        <f t="shared" si="706"/>
        <v>4286952.8207333405</v>
      </c>
      <c r="O709" s="34">
        <f>O703-O705-O707</f>
        <v>-14150701.622916907</v>
      </c>
      <c r="P709" s="34">
        <f>P703-P705-P707</f>
        <v>9100995.2525328249</v>
      </c>
      <c r="Q709" s="34">
        <f t="shared" si="706"/>
        <v>25382.454588959932</v>
      </c>
      <c r="R709" s="34">
        <f t="shared" si="706"/>
        <v>50205.658024891265</v>
      </c>
      <c r="S709" s="34">
        <f t="shared" si="706"/>
        <v>13471.754056217076</v>
      </c>
      <c r="T709" s="34">
        <f t="shared" si="706"/>
        <v>-14116.269999999999</v>
      </c>
      <c r="U709" s="34">
        <f t="shared" si="706"/>
        <v>-39075.389999999992</v>
      </c>
      <c r="V709" s="34">
        <f t="shared" si="706"/>
        <v>0</v>
      </c>
      <c r="W709" s="34">
        <f>SUM(G709:V709)</f>
        <v>141174966.93543196</v>
      </c>
      <c r="X709" s="30" t="str">
        <f>IF(ABS(F709-W709)&lt;0.01,"ok","err")</f>
        <v>ok</v>
      </c>
      <c r="Y709" s="34" t="str">
        <f>IF(X709="err",W709-F709,"")</f>
        <v/>
      </c>
    </row>
    <row r="710" spans="1:25" ht="13.5" customHeight="1" x14ac:dyDescent="0.25"/>
    <row r="712" spans="1:25" ht="12" customHeight="1" x14ac:dyDescent="0.25">
      <c r="A712" s="93" t="s">
        <v>1452</v>
      </c>
    </row>
    <row r="714" spans="1:25" ht="12" customHeight="1" x14ac:dyDescent="0.25">
      <c r="A714" s="93" t="s">
        <v>397</v>
      </c>
    </row>
    <row r="715" spans="1:25" ht="12" hidden="1" customHeight="1" x14ac:dyDescent="0.25"/>
    <row r="716" spans="1:25" ht="12" hidden="1" customHeight="1" x14ac:dyDescent="0.25">
      <c r="A716" s="29" t="s">
        <v>483</v>
      </c>
      <c r="F716" s="34">
        <f t="shared" ref="F716:V716" si="707">F668</f>
        <v>1447651427.7284677</v>
      </c>
      <c r="G716" s="34">
        <f t="shared" si="707"/>
        <v>569400617.98365891</v>
      </c>
      <c r="H716" s="34">
        <f t="shared" si="707"/>
        <v>200414371.09690139</v>
      </c>
      <c r="I716" s="34">
        <f t="shared" si="707"/>
        <v>10964661.866080824</v>
      </c>
      <c r="J716" s="34">
        <f t="shared" si="707"/>
        <v>157160378.05699238</v>
      </c>
      <c r="K716" s="34">
        <f t="shared" si="707"/>
        <v>12419786.242215835</v>
      </c>
      <c r="L716" s="34">
        <f t="shared" si="707"/>
        <v>127128000.74571596</v>
      </c>
      <c r="M716" s="34">
        <f t="shared" si="707"/>
        <v>243921730.67309427</v>
      </c>
      <c r="N716" s="34">
        <f t="shared" si="707"/>
        <v>80033742.601270035</v>
      </c>
      <c r="O716" s="34">
        <f t="shared" si="707"/>
        <v>18765556.292602621</v>
      </c>
      <c r="P716" s="34">
        <f t="shared" si="707"/>
        <v>27076257.515746068</v>
      </c>
      <c r="Q716" s="34">
        <f t="shared" si="707"/>
        <v>86207.685661497206</v>
      </c>
      <c r="R716" s="34">
        <f t="shared" si="707"/>
        <v>164492.94827670415</v>
      </c>
      <c r="S716" s="34">
        <f t="shared" si="707"/>
        <v>54084.110250722093</v>
      </c>
      <c r="T716" s="34">
        <f t="shared" si="707"/>
        <v>8320.15</v>
      </c>
      <c r="U716" s="34">
        <f t="shared" si="707"/>
        <v>53219.76</v>
      </c>
      <c r="V716" s="34">
        <f t="shared" si="707"/>
        <v>0</v>
      </c>
      <c r="W716" s="34">
        <f>SUM(G716:V716)</f>
        <v>1447651427.7284675</v>
      </c>
      <c r="X716" s="30" t="str">
        <f>IF(ABS(F716-W716)&lt;0.01,"ok","err")</f>
        <v>ok</v>
      </c>
      <c r="Y716" s="34" t="str">
        <f>IF(X716="err",W716-F716,"")</f>
        <v/>
      </c>
    </row>
    <row r="717" spans="1:25" ht="12" hidden="1" customHeight="1" x14ac:dyDescent="0.25">
      <c r="F717" s="34"/>
      <c r="G717" s="34"/>
      <c r="H717" s="34"/>
      <c r="I717" s="34"/>
      <c r="J717" s="34"/>
      <c r="K717" s="34"/>
      <c r="L717" s="34"/>
      <c r="M717" s="34"/>
      <c r="N717" s="34"/>
      <c r="O717" s="34"/>
      <c r="P717" s="34"/>
      <c r="Q717" s="34"/>
      <c r="R717" s="34"/>
      <c r="S717" s="34"/>
      <c r="T717" s="34"/>
      <c r="U717" s="34"/>
      <c r="V717" s="34"/>
      <c r="X717" s="30"/>
      <c r="Y717" s="34"/>
    </row>
    <row r="718" spans="1:25" ht="12" hidden="1" customHeight="1" x14ac:dyDescent="0.25">
      <c r="A718" s="29" t="s">
        <v>484</v>
      </c>
      <c r="F718" s="34"/>
      <c r="G718" s="34"/>
      <c r="H718" s="34"/>
      <c r="I718" s="34"/>
      <c r="J718" s="34"/>
      <c r="K718" s="34"/>
      <c r="L718" s="34"/>
      <c r="M718" s="34"/>
      <c r="N718" s="34"/>
      <c r="O718" s="34"/>
      <c r="P718" s="34"/>
      <c r="Q718" s="34"/>
      <c r="R718" s="34"/>
      <c r="S718" s="34"/>
      <c r="T718" s="34"/>
      <c r="U718" s="34"/>
      <c r="V718" s="34"/>
      <c r="X718" s="30"/>
    </row>
    <row r="719" spans="1:25" ht="12" hidden="1" customHeight="1" x14ac:dyDescent="0.25">
      <c r="B719" s="29" t="s">
        <v>2052</v>
      </c>
      <c r="F719" s="58"/>
      <c r="G719" s="32"/>
      <c r="H719" s="32"/>
      <c r="I719" s="32"/>
      <c r="J719" s="32"/>
      <c r="K719" s="32"/>
      <c r="L719" s="32"/>
      <c r="M719" s="32"/>
      <c r="N719" s="32"/>
      <c r="O719" s="32"/>
      <c r="P719" s="32"/>
      <c r="Q719" s="32"/>
      <c r="R719" s="32"/>
      <c r="S719" s="32"/>
      <c r="T719" s="32"/>
      <c r="U719" s="32"/>
      <c r="V719" s="34">
        <f>SUM(G719:U719)</f>
        <v>0</v>
      </c>
      <c r="X719" s="30" t="str">
        <f>IF(ABS(F719-V719)&lt;0.01,"ok","err")</f>
        <v>ok</v>
      </c>
      <c r="Y719" s="34" t="str">
        <f>IF(X719="err",V719-F719,"")</f>
        <v/>
      </c>
    </row>
    <row r="720" spans="1:25" ht="12" hidden="1" customHeight="1" x14ac:dyDescent="0.25">
      <c r="B720" s="29" t="s">
        <v>2055</v>
      </c>
      <c r="F720" s="58"/>
      <c r="G720" s="32"/>
      <c r="H720" s="32"/>
      <c r="I720" s="32"/>
      <c r="J720" s="32"/>
      <c r="K720" s="32"/>
      <c r="L720" s="32"/>
      <c r="M720" s="32"/>
      <c r="N720" s="32"/>
      <c r="O720" s="32"/>
      <c r="P720" s="32"/>
      <c r="Q720" s="32"/>
      <c r="R720" s="32"/>
      <c r="S720" s="32"/>
      <c r="T720" s="32"/>
      <c r="U720" s="32"/>
      <c r="V720" s="34">
        <f>SUM(G720:U720)</f>
        <v>0</v>
      </c>
      <c r="X720" s="30" t="str">
        <f>IF(ABS(F720-V720)&lt;0.01,"ok","err")</f>
        <v>ok</v>
      </c>
      <c r="Y720" s="34" t="str">
        <f>IF(X720="err",V720-F720,"")</f>
        <v/>
      </c>
    </row>
    <row r="721" spans="1:25" ht="12" hidden="1" customHeight="1" x14ac:dyDescent="0.25">
      <c r="B721" s="29" t="s">
        <v>2053</v>
      </c>
      <c r="F721" s="58"/>
      <c r="G721" s="32"/>
      <c r="H721" s="32"/>
      <c r="I721" s="32"/>
      <c r="J721" s="32"/>
      <c r="K721" s="32"/>
      <c r="L721" s="32"/>
      <c r="M721" s="32"/>
      <c r="N721" s="32"/>
      <c r="O721" s="32"/>
      <c r="P721" s="32"/>
      <c r="Q721" s="32"/>
      <c r="R721" s="32"/>
      <c r="S721" s="32"/>
      <c r="T721" s="32"/>
      <c r="U721" s="32"/>
      <c r="V721" s="34">
        <f>SUM(G721:U721)</f>
        <v>0</v>
      </c>
      <c r="X721" s="30" t="str">
        <f>IF(ABS(F721-V721)&lt;0.01,"ok","err")</f>
        <v>ok</v>
      </c>
      <c r="Y721" s="34" t="str">
        <f>IF(X721="err",V721-F721,"")</f>
        <v/>
      </c>
    </row>
    <row r="722" spans="1:25" ht="12" hidden="1" customHeight="1" x14ac:dyDescent="0.25">
      <c r="B722" s="29" t="s">
        <v>2054</v>
      </c>
      <c r="F722" s="58"/>
      <c r="G722" s="32"/>
      <c r="H722" s="32"/>
      <c r="I722" s="32"/>
      <c r="J722" s="32"/>
      <c r="K722" s="32"/>
      <c r="L722" s="32"/>
      <c r="M722" s="32"/>
      <c r="N722" s="32"/>
      <c r="O722" s="32"/>
      <c r="P722" s="32"/>
      <c r="Q722" s="32"/>
      <c r="R722" s="32"/>
      <c r="S722" s="32"/>
      <c r="T722" s="32"/>
      <c r="U722" s="32"/>
      <c r="V722" s="34">
        <f>SUM(G722:U722)</f>
        <v>0</v>
      </c>
      <c r="X722" s="30" t="str">
        <f>IF(ABS(F722-V722)&lt;0.01,"ok","err")</f>
        <v>ok</v>
      </c>
      <c r="Y722" s="34" t="str">
        <f>IF(X722="err",V722-F722,"")</f>
        <v/>
      </c>
    </row>
    <row r="724" spans="1:25" ht="12" customHeight="1" x14ac:dyDescent="0.25">
      <c r="A724" s="29" t="s">
        <v>485</v>
      </c>
      <c r="E724" s="37"/>
      <c r="F724" s="34">
        <f t="shared" ref="F724:V724" si="708">SUM(F716:F722)</f>
        <v>1447651427.7284677</v>
      </c>
      <c r="G724" s="34">
        <f t="shared" si="708"/>
        <v>569400617.98365891</v>
      </c>
      <c r="H724" s="34">
        <f t="shared" si="708"/>
        <v>200414371.09690139</v>
      </c>
      <c r="I724" s="34">
        <f t="shared" si="708"/>
        <v>10964661.866080824</v>
      </c>
      <c r="J724" s="34">
        <f t="shared" si="708"/>
        <v>157160378.05699238</v>
      </c>
      <c r="K724" s="34">
        <f t="shared" si="708"/>
        <v>12419786.242215835</v>
      </c>
      <c r="L724" s="34">
        <f t="shared" si="708"/>
        <v>127128000.74571596</v>
      </c>
      <c r="M724" s="34">
        <f t="shared" si="708"/>
        <v>243921730.67309427</v>
      </c>
      <c r="N724" s="34">
        <f t="shared" si="708"/>
        <v>80033742.601270035</v>
      </c>
      <c r="O724" s="34">
        <f t="shared" si="708"/>
        <v>18765556.292602621</v>
      </c>
      <c r="P724" s="34">
        <f t="shared" si="708"/>
        <v>27076257.515746068</v>
      </c>
      <c r="Q724" s="34">
        <f t="shared" si="708"/>
        <v>86207.685661497206</v>
      </c>
      <c r="R724" s="34">
        <f t="shared" si="708"/>
        <v>164492.94827670415</v>
      </c>
      <c r="S724" s="34">
        <f t="shared" si="708"/>
        <v>54084.110250722093</v>
      </c>
      <c r="T724" s="34">
        <f t="shared" si="708"/>
        <v>8320.15</v>
      </c>
      <c r="U724" s="34">
        <f t="shared" si="708"/>
        <v>53219.76</v>
      </c>
      <c r="V724" s="34">
        <f t="shared" si="708"/>
        <v>0</v>
      </c>
      <c r="W724" s="34">
        <f>SUM(G724:V724)</f>
        <v>1447651427.7284675</v>
      </c>
      <c r="X724" s="30" t="str">
        <f>IF(ABS(F724-W724)&lt;0.01,"ok","err")</f>
        <v>ok</v>
      </c>
      <c r="Y724" s="34" t="str">
        <f>IF(X724="err",W724-F724,"")</f>
        <v/>
      </c>
    </row>
    <row r="725" spans="1:25" ht="12" customHeight="1" x14ac:dyDescent="0.25">
      <c r="E725" s="34"/>
      <c r="F725" s="37"/>
    </row>
    <row r="727" spans="1:25" ht="12" customHeight="1" x14ac:dyDescent="0.25">
      <c r="A727" s="93" t="s">
        <v>401</v>
      </c>
      <c r="F727" s="34"/>
    </row>
    <row r="729" spans="1:25" ht="12" customHeight="1" x14ac:dyDescent="0.25">
      <c r="A729" s="39" t="s">
        <v>402</v>
      </c>
      <c r="F729" s="34">
        <f t="shared" ref="F729:V729" si="709">F231</f>
        <v>884639920.98630178</v>
      </c>
      <c r="G729" s="34">
        <f t="shared" si="709"/>
        <v>356817400.31037533</v>
      </c>
      <c r="H729" s="34">
        <f t="shared" si="709"/>
        <v>102469233.51670918</v>
      </c>
      <c r="I729" s="34">
        <f t="shared" si="709"/>
        <v>6588100.6923585907</v>
      </c>
      <c r="J729" s="34">
        <f t="shared" si="709"/>
        <v>81331675.083109096</v>
      </c>
      <c r="K729" s="34">
        <f t="shared" si="709"/>
        <v>6146819.8316383213</v>
      </c>
      <c r="L729" s="34">
        <f t="shared" si="709"/>
        <v>78715431.587423518</v>
      </c>
      <c r="M729" s="34">
        <f t="shared" si="709"/>
        <v>162791018.51228562</v>
      </c>
      <c r="N729" s="34">
        <f t="shared" si="709"/>
        <v>55826633.383301362</v>
      </c>
      <c r="O729" s="34">
        <f t="shared" si="709"/>
        <v>24039037.591600008</v>
      </c>
      <c r="P729" s="34">
        <f t="shared" si="709"/>
        <v>9675726.0009686593</v>
      </c>
      <c r="Q729" s="34">
        <f t="shared" si="709"/>
        <v>51761.051320721461</v>
      </c>
      <c r="R729" s="34">
        <f t="shared" si="709"/>
        <v>85524.198433378435</v>
      </c>
      <c r="S729" s="34">
        <f t="shared" si="709"/>
        <v>26861.69677784112</v>
      </c>
      <c r="T729" s="34">
        <f t="shared" si="709"/>
        <v>6398.9999999999991</v>
      </c>
      <c r="U729" s="34">
        <f t="shared" si="709"/>
        <v>68298.53</v>
      </c>
      <c r="V729" s="34">
        <f t="shared" si="709"/>
        <v>0</v>
      </c>
      <c r="W729" s="34">
        <f>SUM(G729:V729)</f>
        <v>884639920.98630178</v>
      </c>
      <c r="X729" s="30" t="str">
        <f>IF(ABS(F729-W729)&lt;0.01,"ok","err")</f>
        <v>ok</v>
      </c>
      <c r="Y729" s="34" t="str">
        <f>IF(X729="err",W729-F729,"")</f>
        <v/>
      </c>
    </row>
    <row r="730" spans="1:25" ht="12" customHeight="1" x14ac:dyDescent="0.25">
      <c r="A730" s="39" t="s">
        <v>403</v>
      </c>
      <c r="F730" s="33">
        <f t="shared" ref="F730:V730" si="710">F345</f>
        <v>268954148.31872469</v>
      </c>
      <c r="G730" s="33">
        <f t="shared" si="710"/>
        <v>123419571.32438555</v>
      </c>
      <c r="H730" s="33">
        <f t="shared" si="710"/>
        <v>29441781.458904795</v>
      </c>
      <c r="I730" s="33">
        <f t="shared" si="710"/>
        <v>1807562.2754941538</v>
      </c>
      <c r="J730" s="33">
        <f t="shared" si="710"/>
        <v>24478890.958788861</v>
      </c>
      <c r="K730" s="33">
        <f t="shared" si="710"/>
        <v>1656183.5978929992</v>
      </c>
      <c r="L730" s="33">
        <f t="shared" si="710"/>
        <v>21860580.384353209</v>
      </c>
      <c r="M730" s="33">
        <f t="shared" si="710"/>
        <v>42560378.324828163</v>
      </c>
      <c r="N730" s="33">
        <f t="shared" si="710"/>
        <v>13085315.089341225</v>
      </c>
      <c r="O730" s="33">
        <f t="shared" si="710"/>
        <v>5785563.6746613672</v>
      </c>
      <c r="P730" s="33">
        <f t="shared" si="710"/>
        <v>4794219.5953405304</v>
      </c>
      <c r="Q730" s="33">
        <f t="shared" si="710"/>
        <v>5278.5203493848758</v>
      </c>
      <c r="R730" s="33">
        <f t="shared" si="710"/>
        <v>17928.110831516424</v>
      </c>
      <c r="S730" s="33">
        <f t="shared" si="710"/>
        <v>8071.4835528830345</v>
      </c>
      <c r="T730" s="33">
        <f t="shared" si="710"/>
        <v>14048.1</v>
      </c>
      <c r="U730" s="33">
        <f t="shared" si="710"/>
        <v>18775.419999999998</v>
      </c>
      <c r="V730" s="33">
        <f t="shared" si="710"/>
        <v>0</v>
      </c>
      <c r="W730" s="33">
        <f>SUM(G730:V730)</f>
        <v>268954148.31872469</v>
      </c>
      <c r="X730" s="30" t="str">
        <f>IF(ABS(F730-W730)&lt;0.01,"ok","err")</f>
        <v>ok</v>
      </c>
      <c r="Y730" s="34" t="str">
        <f>IF(X730="err",W730-F730,"")</f>
        <v/>
      </c>
    </row>
    <row r="731" spans="1:25" ht="12" customHeight="1" x14ac:dyDescent="0.25">
      <c r="A731" s="39" t="s">
        <v>249</v>
      </c>
      <c r="F731" s="33">
        <f t="shared" ref="F731:V731" si="711">F402</f>
        <v>0</v>
      </c>
      <c r="G731" s="33">
        <f t="shared" si="711"/>
        <v>0</v>
      </c>
      <c r="H731" s="33">
        <f t="shared" si="711"/>
        <v>0</v>
      </c>
      <c r="I731" s="33">
        <f t="shared" si="711"/>
        <v>0</v>
      </c>
      <c r="J731" s="33">
        <f t="shared" si="711"/>
        <v>0</v>
      </c>
      <c r="K731" s="33">
        <f t="shared" si="711"/>
        <v>0</v>
      </c>
      <c r="L731" s="33">
        <f t="shared" si="711"/>
        <v>0</v>
      </c>
      <c r="M731" s="33">
        <f t="shared" si="711"/>
        <v>0</v>
      </c>
      <c r="N731" s="33">
        <f t="shared" si="711"/>
        <v>0</v>
      </c>
      <c r="O731" s="33">
        <f t="shared" si="711"/>
        <v>0</v>
      </c>
      <c r="P731" s="33">
        <f t="shared" si="711"/>
        <v>0</v>
      </c>
      <c r="Q731" s="33">
        <f t="shared" si="711"/>
        <v>0</v>
      </c>
      <c r="R731" s="33">
        <f t="shared" si="711"/>
        <v>0</v>
      </c>
      <c r="S731" s="33">
        <f t="shared" si="711"/>
        <v>0</v>
      </c>
      <c r="T731" s="33">
        <f t="shared" si="711"/>
        <v>0</v>
      </c>
      <c r="U731" s="33">
        <f t="shared" si="711"/>
        <v>0</v>
      </c>
      <c r="V731" s="33">
        <f t="shared" si="711"/>
        <v>0</v>
      </c>
      <c r="W731" s="33">
        <f t="shared" ref="W731:W737" si="712">SUM(G731:V731)</f>
        <v>0</v>
      </c>
      <c r="X731" s="30" t="str">
        <f t="shared" ref="X731:X737" si="713">IF(ABS(F731-W731)&lt;0.01,"ok","err")</f>
        <v>ok</v>
      </c>
      <c r="Y731" s="34" t="str">
        <f t="shared" ref="Y731:Y737" si="714">IF(X731="err",W731-F731,"")</f>
        <v/>
      </c>
    </row>
    <row r="732" spans="1:25" ht="12" customHeight="1" x14ac:dyDescent="0.25">
      <c r="A732" s="39" t="s">
        <v>404</v>
      </c>
      <c r="E732" s="29" t="s">
        <v>385</v>
      </c>
      <c r="F732" s="33">
        <f t="shared" ref="F732:V732" si="715">F676</f>
        <v>30253263.473923534</v>
      </c>
      <c r="G732" s="33">
        <f t="shared" si="715"/>
        <v>14280633.472448468</v>
      </c>
      <c r="H732" s="33">
        <f t="shared" si="715"/>
        <v>3456975.0041090166</v>
      </c>
      <c r="I732" s="33">
        <f t="shared" si="715"/>
        <v>207922.97982782684</v>
      </c>
      <c r="J732" s="33">
        <f t="shared" si="715"/>
        <v>2638125.2270866898</v>
      </c>
      <c r="K732" s="33">
        <f t="shared" si="715"/>
        <v>177131.60121589803</v>
      </c>
      <c r="L732" s="33">
        <f t="shared" si="715"/>
        <v>2316096.6817040429</v>
      </c>
      <c r="M732" s="33">
        <f t="shared" si="715"/>
        <v>4507585.581230714</v>
      </c>
      <c r="N732" s="33">
        <f t="shared" si="715"/>
        <v>1352232.2916498</v>
      </c>
      <c r="O732" s="33">
        <f t="shared" si="715"/>
        <v>611684.26672794821</v>
      </c>
      <c r="P732" s="33">
        <f t="shared" si="715"/>
        <v>693651.00987090275</v>
      </c>
      <c r="Q732" s="33">
        <f t="shared" si="715"/>
        <v>749.04050831240181</v>
      </c>
      <c r="R732" s="33">
        <f t="shared" si="715"/>
        <v>2142.1488944312068</v>
      </c>
      <c r="S732" s="33">
        <f t="shared" si="715"/>
        <v>1123.6486494847222</v>
      </c>
      <c r="T732" s="33">
        <f t="shared" si="715"/>
        <v>1989.3199999999997</v>
      </c>
      <c r="U732" s="33">
        <f t="shared" si="715"/>
        <v>5221.2</v>
      </c>
      <c r="V732" s="33">
        <f t="shared" si="715"/>
        <v>0</v>
      </c>
      <c r="W732" s="33">
        <f t="shared" si="712"/>
        <v>30253263.473923538</v>
      </c>
      <c r="X732" s="30" t="str">
        <f t="shared" si="713"/>
        <v>ok</v>
      </c>
      <c r="Y732" s="34" t="str">
        <f t="shared" si="714"/>
        <v/>
      </c>
    </row>
    <row r="733" spans="1:25" ht="12" customHeight="1" x14ac:dyDescent="0.25">
      <c r="A733" s="39" t="s">
        <v>405</v>
      </c>
      <c r="F733" s="33">
        <f t="shared" ref="F733:V733" si="716">F516</f>
        <v>13428960.159154363</v>
      </c>
      <c r="G733" s="33">
        <f t="shared" si="716"/>
        <v>6340457.1310382057</v>
      </c>
      <c r="H733" s="33">
        <f t="shared" si="716"/>
        <v>1534924.9425914476</v>
      </c>
      <c r="I733" s="33">
        <f t="shared" si="716"/>
        <v>92313.122700969456</v>
      </c>
      <c r="J733" s="33">
        <f t="shared" si="716"/>
        <v>1171323.2369121783</v>
      </c>
      <c r="K733" s="33">
        <f t="shared" si="716"/>
        <v>78656.518330944164</v>
      </c>
      <c r="L733" s="33">
        <f t="shared" si="716"/>
        <v>1028315.9944839411</v>
      </c>
      <c r="M733" s="33">
        <f t="shared" si="716"/>
        <v>2001311.7461681338</v>
      </c>
      <c r="N733" s="33">
        <f t="shared" si="716"/>
        <v>600393.55444905825</v>
      </c>
      <c r="O733" s="33">
        <f t="shared" si="716"/>
        <v>271578.62785239698</v>
      </c>
      <c r="P733" s="33">
        <f t="shared" si="716"/>
        <v>307901.93733436504</v>
      </c>
      <c r="Q733" s="33">
        <f t="shared" si="716"/>
        <v>332.53628080083257</v>
      </c>
      <c r="R733" s="33">
        <f t="shared" si="716"/>
        <v>951.94100888343155</v>
      </c>
      <c r="S733" s="33">
        <f t="shared" si="716"/>
        <v>498.87000303630566</v>
      </c>
      <c r="T733" s="33">
        <f t="shared" si="716"/>
        <v>0</v>
      </c>
      <c r="U733" s="33">
        <f t="shared" si="716"/>
        <v>0</v>
      </c>
      <c r="V733" s="33">
        <f t="shared" si="716"/>
        <v>0</v>
      </c>
      <c r="W733" s="33">
        <f t="shared" si="712"/>
        <v>13428960.159154363</v>
      </c>
      <c r="X733" s="30" t="str">
        <f t="shared" si="713"/>
        <v>ok</v>
      </c>
      <c r="Y733" s="34" t="str">
        <f t="shared" si="714"/>
        <v/>
      </c>
    </row>
    <row r="734" spans="1:25" ht="12" customHeight="1" x14ac:dyDescent="0.25">
      <c r="A734" s="29" t="s">
        <v>866</v>
      </c>
      <c r="F734" s="33">
        <f t="shared" ref="F734:V734" si="717">F678</f>
        <v>0</v>
      </c>
      <c r="G734" s="33">
        <f t="shared" si="717"/>
        <v>0</v>
      </c>
      <c r="H734" s="33">
        <f t="shared" si="717"/>
        <v>0</v>
      </c>
      <c r="I734" s="33">
        <f t="shared" si="717"/>
        <v>0</v>
      </c>
      <c r="J734" s="33">
        <f t="shared" si="717"/>
        <v>0</v>
      </c>
      <c r="K734" s="33">
        <f t="shared" si="717"/>
        <v>0</v>
      </c>
      <c r="L734" s="33">
        <f t="shared" si="717"/>
        <v>0</v>
      </c>
      <c r="M734" s="33">
        <f t="shared" si="717"/>
        <v>0</v>
      </c>
      <c r="N734" s="33">
        <f t="shared" si="717"/>
        <v>0</v>
      </c>
      <c r="O734" s="33">
        <f t="shared" si="717"/>
        <v>0</v>
      </c>
      <c r="P734" s="33">
        <f t="shared" si="717"/>
        <v>0</v>
      </c>
      <c r="Q734" s="33">
        <f t="shared" si="717"/>
        <v>0</v>
      </c>
      <c r="R734" s="33">
        <f t="shared" si="717"/>
        <v>0</v>
      </c>
      <c r="S734" s="33">
        <f t="shared" si="717"/>
        <v>0</v>
      </c>
      <c r="T734" s="33">
        <f t="shared" si="717"/>
        <v>0</v>
      </c>
      <c r="U734" s="33">
        <f t="shared" si="717"/>
        <v>0</v>
      </c>
      <c r="V734" s="33">
        <f t="shared" si="717"/>
        <v>0</v>
      </c>
      <c r="W734" s="33">
        <f t="shared" si="712"/>
        <v>0</v>
      </c>
      <c r="X734" s="30" t="str">
        <f t="shared" si="713"/>
        <v>ok</v>
      </c>
      <c r="Y734" s="34" t="str">
        <f t="shared" si="714"/>
        <v/>
      </c>
    </row>
    <row r="735" spans="1:25" ht="12" customHeight="1" x14ac:dyDescent="0.25">
      <c r="A735" s="39" t="s">
        <v>1450</v>
      </c>
      <c r="E735" s="29" t="s">
        <v>1097</v>
      </c>
      <c r="F735" s="33">
        <f>F679</f>
        <v>24634790.299113952</v>
      </c>
      <c r="G735" s="32">
        <f t="shared" ref="G735:V735" si="718">IF(VLOOKUP($E735,$D$5:$AJ$1012,3,)=0,0,(VLOOKUP($E735,$D$5:$AJ$1012,G$1,)/VLOOKUP($E735,$D$5:$AJ$1012,3,))*$F735)</f>
        <v>2963663.4654328935</v>
      </c>
      <c r="H735" s="32">
        <f t="shared" si="718"/>
        <v>8904633.6492582392</v>
      </c>
      <c r="I735" s="32">
        <f t="shared" si="718"/>
        <v>264906.01341091574</v>
      </c>
      <c r="J735" s="32">
        <f t="shared" si="718"/>
        <v>6633643.8835891886</v>
      </c>
      <c r="K735" s="32">
        <f t="shared" si="718"/>
        <v>649375.16348819179</v>
      </c>
      <c r="L735" s="32">
        <f t="shared" si="718"/>
        <v>2590536.550213357</v>
      </c>
      <c r="M735" s="32">
        <f t="shared" si="718"/>
        <v>2754871.8229844267</v>
      </c>
      <c r="N735" s="32">
        <f t="shared" si="718"/>
        <v>748065.93586284923</v>
      </c>
      <c r="O735" s="32">
        <f t="shared" si="718"/>
        <v>-2469273.2333015176</v>
      </c>
      <c r="P735" s="32">
        <f t="shared" si="718"/>
        <v>1588108.1074516447</v>
      </c>
      <c r="Q735" s="32">
        <f t="shared" si="718"/>
        <v>4429.1949178340801</v>
      </c>
      <c r="R735" s="32">
        <f t="shared" si="718"/>
        <v>8760.8014658709963</v>
      </c>
      <c r="S735" s="32">
        <f t="shared" si="718"/>
        <v>2350.7980440181814</v>
      </c>
      <c r="T735" s="32">
        <f t="shared" si="718"/>
        <v>-2463.2649739859398</v>
      </c>
      <c r="U735" s="32">
        <f t="shared" si="718"/>
        <v>-6818.5887300144041</v>
      </c>
      <c r="V735" s="32">
        <f t="shared" si="718"/>
        <v>0</v>
      </c>
      <c r="W735" s="33">
        <f t="shared" si="712"/>
        <v>24634790.299113914</v>
      </c>
      <c r="X735" s="30" t="str">
        <f t="shared" si="713"/>
        <v>ok</v>
      </c>
      <c r="Y735" s="34" t="str">
        <f t="shared" si="714"/>
        <v/>
      </c>
    </row>
    <row r="736" spans="1:25" ht="12" customHeight="1" x14ac:dyDescent="0.25">
      <c r="A736" s="39" t="s">
        <v>876</v>
      </c>
      <c r="F736" s="33">
        <f>F653</f>
        <v>-18175605.240000002</v>
      </c>
      <c r="G736" s="33">
        <v>0</v>
      </c>
      <c r="H736" s="33">
        <v>0</v>
      </c>
      <c r="I736" s="33">
        <v>0</v>
      </c>
      <c r="J736" s="33">
        <v>0</v>
      </c>
      <c r="K736" s="33">
        <v>0</v>
      </c>
      <c r="L736" s="33">
        <v>0</v>
      </c>
      <c r="M736" s="33">
        <f>-193714.44-408024-439488</f>
        <v>-1041226.44</v>
      </c>
      <c r="N736" s="33">
        <f>(-27995.5-142378.8-26886.3-38178.9-19210.4)*12</f>
        <v>-3055798.8</v>
      </c>
      <c r="O736" s="33">
        <f>-1173215*12</f>
        <v>-14078580</v>
      </c>
      <c r="P736" s="33">
        <v>0</v>
      </c>
      <c r="Q736" s="33">
        <v>0</v>
      </c>
      <c r="R736" s="33">
        <v>0</v>
      </c>
      <c r="S736" s="33">
        <v>0</v>
      </c>
      <c r="T736" s="33">
        <v>0</v>
      </c>
      <c r="U736" s="33">
        <v>0</v>
      </c>
      <c r="V736" s="33">
        <v>0</v>
      </c>
      <c r="W736" s="33">
        <f t="shared" si="712"/>
        <v>-18175605.239999998</v>
      </c>
      <c r="X736" s="30" t="str">
        <f t="shared" si="713"/>
        <v>ok</v>
      </c>
      <c r="Y736" s="34" t="str">
        <f t="shared" si="714"/>
        <v/>
      </c>
    </row>
    <row r="737" spans="1:32" ht="12" hidden="1" customHeight="1" x14ac:dyDescent="0.25">
      <c r="A737" s="39" t="s">
        <v>534</v>
      </c>
      <c r="E737" s="29" t="s">
        <v>536</v>
      </c>
      <c r="F737" s="32">
        <f>-F736</f>
        <v>18175605.240000002</v>
      </c>
      <c r="G737" s="32">
        <f t="shared" ref="G737:V737" si="719">IF(VLOOKUP($E737,$D$5:$AJ$1052,3,)=0,0,(VLOOKUP($E737,$D$5:$AJ$1052,G$1,)/VLOOKUP($E737,$D$5:$AJ$1052,3,))*$F737)</f>
        <v>7520510.4211579254</v>
      </c>
      <c r="H737" s="32">
        <f t="shared" si="719"/>
        <v>1705855.416671573</v>
      </c>
      <c r="I737" s="32">
        <f t="shared" si="719"/>
        <v>115302.15370987386</v>
      </c>
      <c r="J737" s="32">
        <f t="shared" si="719"/>
        <v>1888850.1608489878</v>
      </c>
      <c r="K737" s="32">
        <f t="shared" si="719"/>
        <v>130459.3408123579</v>
      </c>
      <c r="L737" s="32">
        <f t="shared" si="719"/>
        <v>1762150.6459218578</v>
      </c>
      <c r="M737" s="32">
        <f t="shared" si="719"/>
        <v>3441891.8684235439</v>
      </c>
      <c r="N737" s="32">
        <f t="shared" si="719"/>
        <v>1127133.4194835201</v>
      </c>
      <c r="O737" s="32">
        <f t="shared" si="719"/>
        <v>475355.6066943247</v>
      </c>
      <c r="P737" s="32">
        <f t="shared" si="719"/>
        <v>6910.5109157768784</v>
      </c>
      <c r="Q737" s="32">
        <f t="shared" si="719"/>
        <v>78.818252030888743</v>
      </c>
      <c r="R737" s="32">
        <f t="shared" si="719"/>
        <v>947.18995330511802</v>
      </c>
      <c r="S737" s="32">
        <f t="shared" si="719"/>
        <v>159.68715492363449</v>
      </c>
      <c r="T737" s="32">
        <f t="shared" si="719"/>
        <v>0</v>
      </c>
      <c r="U737" s="32">
        <f t="shared" si="719"/>
        <v>0</v>
      </c>
      <c r="V737" s="32">
        <f t="shared" si="719"/>
        <v>0</v>
      </c>
      <c r="W737" s="33">
        <f t="shared" si="712"/>
        <v>18175605.240000002</v>
      </c>
      <c r="X737" s="30" t="str">
        <f t="shared" si="713"/>
        <v>ok</v>
      </c>
      <c r="Y737" s="34" t="str">
        <f t="shared" si="714"/>
        <v/>
      </c>
    </row>
    <row r="738" spans="1:32" ht="12" customHeight="1" x14ac:dyDescent="0.25">
      <c r="A738" s="39"/>
      <c r="B738" s="34"/>
      <c r="D738" s="37"/>
      <c r="F738" s="33"/>
      <c r="G738" s="33"/>
      <c r="H738" s="33"/>
      <c r="I738" s="33"/>
      <c r="J738" s="33"/>
      <c r="K738" s="33"/>
      <c r="L738" s="33"/>
      <c r="M738" s="33"/>
      <c r="N738" s="33"/>
      <c r="O738" s="33"/>
      <c r="P738" s="33"/>
      <c r="Q738" s="33"/>
      <c r="R738" s="33"/>
      <c r="S738" s="33"/>
      <c r="T738" s="33"/>
      <c r="U738" s="33"/>
      <c r="V738" s="33"/>
      <c r="X738" s="30"/>
    </row>
    <row r="739" spans="1:32" ht="12" hidden="1" customHeight="1" x14ac:dyDescent="0.25">
      <c r="A739" s="29" t="s">
        <v>1451</v>
      </c>
      <c r="D739" s="37"/>
      <c r="G739" s="37"/>
      <c r="V739" s="34"/>
      <c r="X739" s="30"/>
    </row>
    <row r="740" spans="1:32" ht="12" hidden="1" customHeight="1" x14ac:dyDescent="0.25">
      <c r="B740" s="29" t="s">
        <v>1753</v>
      </c>
      <c r="E740" s="29" t="s">
        <v>1097</v>
      </c>
      <c r="F740" s="33"/>
      <c r="G740" s="33">
        <f t="shared" ref="G740:V742" si="720">IF(VLOOKUP($E740,$D$5:$AJ$997,3,)=0,0,(VLOOKUP($E740,$D$5:$AJ$997,G$1,)/VLOOKUP($E740,$D$5:$AJ$997,3,))*$F740)</f>
        <v>0</v>
      </c>
      <c r="H740" s="33">
        <f t="shared" si="720"/>
        <v>0</v>
      </c>
      <c r="I740" s="33">
        <f t="shared" si="720"/>
        <v>0</v>
      </c>
      <c r="J740" s="33">
        <f t="shared" si="720"/>
        <v>0</v>
      </c>
      <c r="K740" s="33">
        <f t="shared" si="720"/>
        <v>0</v>
      </c>
      <c r="L740" s="33">
        <f t="shared" si="720"/>
        <v>0</v>
      </c>
      <c r="M740" s="33">
        <f t="shared" si="720"/>
        <v>0</v>
      </c>
      <c r="N740" s="33">
        <f t="shared" si="720"/>
        <v>0</v>
      </c>
      <c r="O740" s="33">
        <f t="shared" si="720"/>
        <v>0</v>
      </c>
      <c r="P740" s="33">
        <f t="shared" si="720"/>
        <v>0</v>
      </c>
      <c r="Q740" s="33">
        <f t="shared" si="720"/>
        <v>0</v>
      </c>
      <c r="R740" s="33">
        <f t="shared" si="720"/>
        <v>0</v>
      </c>
      <c r="S740" s="33">
        <f t="shared" si="720"/>
        <v>0</v>
      </c>
      <c r="T740" s="33">
        <f t="shared" si="720"/>
        <v>0</v>
      </c>
      <c r="U740" s="33">
        <f t="shared" si="720"/>
        <v>0</v>
      </c>
      <c r="V740" s="33">
        <f t="shared" si="720"/>
        <v>0</v>
      </c>
      <c r="W740" s="33">
        <f t="shared" ref="W740:W743" si="721">SUM(G740:V740)</f>
        <v>0</v>
      </c>
      <c r="X740" s="30" t="str">
        <f t="shared" ref="X740:X743" si="722">IF(ABS(F740-W740)&lt;0.01,"ok","err")</f>
        <v>ok</v>
      </c>
      <c r="Y740" s="34" t="str">
        <f t="shared" ref="Y740:Y743" si="723">IF(X740="err",W740-F740,"")</f>
        <v/>
      </c>
    </row>
    <row r="741" spans="1:32" ht="12" hidden="1" customHeight="1" x14ac:dyDescent="0.25">
      <c r="B741" s="39" t="s">
        <v>2011</v>
      </c>
      <c r="E741" s="29" t="s">
        <v>1097</v>
      </c>
      <c r="F741" s="33">
        <v>0</v>
      </c>
      <c r="G741" s="33">
        <f t="shared" si="720"/>
        <v>0</v>
      </c>
      <c r="H741" s="33">
        <f t="shared" si="720"/>
        <v>0</v>
      </c>
      <c r="I741" s="33">
        <f t="shared" si="720"/>
        <v>0</v>
      </c>
      <c r="J741" s="33">
        <f t="shared" si="720"/>
        <v>0</v>
      </c>
      <c r="K741" s="33">
        <f t="shared" si="720"/>
        <v>0</v>
      </c>
      <c r="L741" s="33">
        <f t="shared" si="720"/>
        <v>0</v>
      </c>
      <c r="M741" s="33">
        <f t="shared" si="720"/>
        <v>0</v>
      </c>
      <c r="N741" s="33">
        <f t="shared" si="720"/>
        <v>0</v>
      </c>
      <c r="O741" s="33">
        <f t="shared" si="720"/>
        <v>0</v>
      </c>
      <c r="P741" s="33">
        <f t="shared" si="720"/>
        <v>0</v>
      </c>
      <c r="Q741" s="33">
        <f t="shared" si="720"/>
        <v>0</v>
      </c>
      <c r="R741" s="33">
        <f t="shared" si="720"/>
        <v>0</v>
      </c>
      <c r="S741" s="33">
        <f t="shared" si="720"/>
        <v>0</v>
      </c>
      <c r="T741" s="33">
        <f t="shared" si="720"/>
        <v>0</v>
      </c>
      <c r="U741" s="33">
        <f t="shared" si="720"/>
        <v>0</v>
      </c>
      <c r="V741" s="33">
        <f t="shared" si="720"/>
        <v>0</v>
      </c>
      <c r="W741" s="33">
        <f t="shared" si="721"/>
        <v>0</v>
      </c>
      <c r="X741" s="30" t="str">
        <f t="shared" si="722"/>
        <v>ok</v>
      </c>
      <c r="Y741" s="34" t="str">
        <f t="shared" si="723"/>
        <v/>
      </c>
    </row>
    <row r="742" spans="1:32" ht="12" hidden="1" customHeight="1" x14ac:dyDescent="0.25">
      <c r="B742" s="29" t="s">
        <v>1752</v>
      </c>
      <c r="E742" s="29" t="s">
        <v>1097</v>
      </c>
      <c r="F742" s="33"/>
      <c r="G742" s="33">
        <f t="shared" si="720"/>
        <v>0</v>
      </c>
      <c r="H742" s="33">
        <f t="shared" si="720"/>
        <v>0</v>
      </c>
      <c r="I742" s="33">
        <f t="shared" si="720"/>
        <v>0</v>
      </c>
      <c r="J742" s="33">
        <f t="shared" si="720"/>
        <v>0</v>
      </c>
      <c r="K742" s="33">
        <f t="shared" si="720"/>
        <v>0</v>
      </c>
      <c r="L742" s="33">
        <f t="shared" si="720"/>
        <v>0</v>
      </c>
      <c r="M742" s="33">
        <f t="shared" si="720"/>
        <v>0</v>
      </c>
      <c r="N742" s="33">
        <f t="shared" si="720"/>
        <v>0</v>
      </c>
      <c r="O742" s="33">
        <f t="shared" si="720"/>
        <v>0</v>
      </c>
      <c r="P742" s="33">
        <f t="shared" si="720"/>
        <v>0</v>
      </c>
      <c r="Q742" s="33">
        <f t="shared" si="720"/>
        <v>0</v>
      </c>
      <c r="R742" s="33">
        <f t="shared" si="720"/>
        <v>0</v>
      </c>
      <c r="S742" s="33">
        <f t="shared" si="720"/>
        <v>0</v>
      </c>
      <c r="T742" s="33">
        <f t="shared" si="720"/>
        <v>0</v>
      </c>
      <c r="U742" s="33">
        <f t="shared" si="720"/>
        <v>0</v>
      </c>
      <c r="V742" s="33">
        <f t="shared" si="720"/>
        <v>0</v>
      </c>
      <c r="W742" s="33">
        <f t="shared" si="721"/>
        <v>0</v>
      </c>
      <c r="X742" s="30" t="str">
        <f t="shared" si="722"/>
        <v>ok</v>
      </c>
      <c r="Y742" s="34" t="str">
        <f t="shared" si="723"/>
        <v/>
      </c>
    </row>
    <row r="743" spans="1:32" ht="12" hidden="1" customHeight="1" x14ac:dyDescent="0.25">
      <c r="A743" s="29" t="s">
        <v>875</v>
      </c>
      <c r="F743" s="32">
        <f t="shared" ref="F743:V743" si="724">SUM(F740:F742)</f>
        <v>0</v>
      </c>
      <c r="G743" s="32">
        <f t="shared" si="724"/>
        <v>0</v>
      </c>
      <c r="H743" s="32">
        <f t="shared" si="724"/>
        <v>0</v>
      </c>
      <c r="I743" s="32">
        <f t="shared" si="724"/>
        <v>0</v>
      </c>
      <c r="J743" s="32">
        <f t="shared" si="724"/>
        <v>0</v>
      </c>
      <c r="K743" s="32">
        <f t="shared" si="724"/>
        <v>0</v>
      </c>
      <c r="L743" s="32">
        <f t="shared" si="724"/>
        <v>0</v>
      </c>
      <c r="M743" s="32">
        <f t="shared" si="724"/>
        <v>0</v>
      </c>
      <c r="N743" s="32">
        <f t="shared" si="724"/>
        <v>0</v>
      </c>
      <c r="O743" s="32">
        <f t="shared" si="724"/>
        <v>0</v>
      </c>
      <c r="P743" s="32">
        <f t="shared" si="724"/>
        <v>0</v>
      </c>
      <c r="Q743" s="32">
        <f t="shared" si="724"/>
        <v>0</v>
      </c>
      <c r="R743" s="32">
        <f t="shared" si="724"/>
        <v>0</v>
      </c>
      <c r="S743" s="32">
        <f t="shared" si="724"/>
        <v>0</v>
      </c>
      <c r="T743" s="32">
        <f t="shared" si="724"/>
        <v>0</v>
      </c>
      <c r="U743" s="32">
        <f t="shared" si="724"/>
        <v>0</v>
      </c>
      <c r="V743" s="32">
        <f t="shared" si="724"/>
        <v>0</v>
      </c>
      <c r="W743" s="79">
        <f t="shared" si="721"/>
        <v>0</v>
      </c>
      <c r="X743" s="30" t="str">
        <f t="shared" si="722"/>
        <v>ok</v>
      </c>
      <c r="Y743" s="34" t="str">
        <f t="shared" si="723"/>
        <v/>
      </c>
    </row>
    <row r="744" spans="1:32" ht="12" hidden="1" customHeight="1" x14ac:dyDescent="0.25">
      <c r="F744" s="33"/>
      <c r="G744" s="33"/>
      <c r="H744" s="33"/>
      <c r="I744" s="33"/>
      <c r="J744" s="33"/>
      <c r="K744" s="33"/>
      <c r="L744" s="84"/>
      <c r="M744" s="84"/>
      <c r="N744" s="84"/>
      <c r="O744" s="84"/>
      <c r="P744" s="33"/>
      <c r="Q744" s="33"/>
      <c r="R744" s="33"/>
      <c r="S744" s="33"/>
      <c r="T744" s="33"/>
      <c r="U744" s="33"/>
      <c r="V744" s="34"/>
      <c r="W744" s="34"/>
      <c r="X744" s="30"/>
      <c r="Y744" s="66"/>
    </row>
    <row r="745" spans="1:32" ht="12" hidden="1" customHeight="1" x14ac:dyDescent="0.25">
      <c r="F745" s="33"/>
      <c r="G745" s="33"/>
      <c r="H745" s="33"/>
      <c r="I745" s="33"/>
      <c r="J745" s="33"/>
      <c r="K745" s="33"/>
      <c r="L745" s="33"/>
      <c r="M745" s="33"/>
      <c r="N745" s="33"/>
      <c r="O745" s="33"/>
      <c r="P745" s="33"/>
      <c r="Q745" s="33"/>
      <c r="R745" s="33"/>
      <c r="S745" s="33"/>
      <c r="T745" s="33"/>
      <c r="U745" s="33"/>
      <c r="V745" s="34"/>
      <c r="W745" s="34"/>
      <c r="X745" s="30"/>
      <c r="Y745" s="66"/>
      <c r="AD745" s="76"/>
      <c r="AE745" s="76"/>
      <c r="AF745" s="76"/>
    </row>
    <row r="746" spans="1:32" ht="12" customHeight="1" x14ac:dyDescent="0.25">
      <c r="F746" s="37"/>
      <c r="G746" s="37"/>
      <c r="V746" s="34"/>
      <c r="W746" s="34"/>
      <c r="X746" s="30"/>
    </row>
    <row r="747" spans="1:32" ht="12" customHeight="1" x14ac:dyDescent="0.25">
      <c r="A747" s="29" t="s">
        <v>406</v>
      </c>
      <c r="D747" s="29" t="s">
        <v>364</v>
      </c>
      <c r="F747" s="34">
        <f t="shared" ref="F747:S747" si="725">SUM(F729:F742)</f>
        <v>1221911083.2372184</v>
      </c>
      <c r="G747" s="34">
        <f t="shared" si="725"/>
        <v>511342236.12483829</v>
      </c>
      <c r="H747" s="34">
        <f t="shared" si="725"/>
        <v>147513403.98824427</v>
      </c>
      <c r="I747" s="34">
        <f t="shared" si="725"/>
        <v>9076107.2375023309</v>
      </c>
      <c r="J747" s="34">
        <f t="shared" si="725"/>
        <v>118142508.550335</v>
      </c>
      <c r="K747" s="34">
        <f t="shared" si="725"/>
        <v>8838626.0533787124</v>
      </c>
      <c r="L747" s="34">
        <f t="shared" si="725"/>
        <v>108273111.84409992</v>
      </c>
      <c r="M747" s="34">
        <f t="shared" si="725"/>
        <v>217015831.41592062</v>
      </c>
      <c r="N747" s="34">
        <f t="shared" si="725"/>
        <v>69683974.874087811</v>
      </c>
      <c r="O747" s="34">
        <f t="shared" si="725"/>
        <v>14635366.534234526</v>
      </c>
      <c r="P747" s="34">
        <f t="shared" si="725"/>
        <v>17066517.161881879</v>
      </c>
      <c r="Q747" s="34">
        <f t="shared" si="725"/>
        <v>62629.161629084541</v>
      </c>
      <c r="R747" s="34">
        <f t="shared" si="725"/>
        <v>116254.39058738561</v>
      </c>
      <c r="S747" s="34">
        <f t="shared" si="725"/>
        <v>39066.184182186989</v>
      </c>
      <c r="T747" s="34">
        <f t="shared" ref="T747:V747" si="726">SUM(T729:T742)</f>
        <v>19973.155026014058</v>
      </c>
      <c r="U747" s="34">
        <f t="shared" si="726"/>
        <v>85476.561269985585</v>
      </c>
      <c r="V747" s="34">
        <f t="shared" si="726"/>
        <v>0</v>
      </c>
      <c r="W747" s="32">
        <f t="shared" ref="W747" si="727">SUM(G747:V747)</f>
        <v>1221911083.2372181</v>
      </c>
      <c r="X747" s="30" t="str">
        <f t="shared" ref="X747" si="728">IF(ABS(F747-W747)&lt;0.01,"ok","err")</f>
        <v>ok</v>
      </c>
      <c r="Y747" s="34" t="str">
        <f t="shared" ref="Y747" si="729">IF(X747="err",W747-F747,"")</f>
        <v/>
      </c>
      <c r="AD747" s="77"/>
      <c r="AE747" s="77"/>
      <c r="AF747" s="59"/>
    </row>
    <row r="748" spans="1:32" ht="12" customHeight="1" x14ac:dyDescent="0.25">
      <c r="F748" s="34"/>
      <c r="W748" s="34"/>
      <c r="AD748" s="48"/>
      <c r="AE748" s="48"/>
      <c r="AF748" s="59"/>
    </row>
    <row r="749" spans="1:32" ht="12" customHeight="1" x14ac:dyDescent="0.25">
      <c r="A749" s="29" t="s">
        <v>868</v>
      </c>
      <c r="F749" s="34">
        <f t="shared" ref="F749:S749" si="730">F724-F747</f>
        <v>225740344.49124932</v>
      </c>
      <c r="G749" s="34">
        <f t="shared" si="730"/>
        <v>58058381.858820617</v>
      </c>
      <c r="H749" s="34">
        <f t="shared" si="730"/>
        <v>52900967.108657122</v>
      </c>
      <c r="I749" s="34">
        <f t="shared" si="730"/>
        <v>1888554.6285784934</v>
      </c>
      <c r="J749" s="34">
        <f t="shared" si="730"/>
        <v>39017869.506657377</v>
      </c>
      <c r="K749" s="34">
        <f t="shared" si="730"/>
        <v>3581160.1888371222</v>
      </c>
      <c r="L749" s="34">
        <f t="shared" si="730"/>
        <v>18854888.901616037</v>
      </c>
      <c r="M749" s="34">
        <f t="shared" si="730"/>
        <v>26905899.257173657</v>
      </c>
      <c r="N749" s="34">
        <f t="shared" si="730"/>
        <v>10349767.727182224</v>
      </c>
      <c r="O749" s="34">
        <f t="shared" si="730"/>
        <v>4130189.7583680954</v>
      </c>
      <c r="P749" s="34">
        <f t="shared" si="730"/>
        <v>10009740.353864189</v>
      </c>
      <c r="Q749" s="34">
        <f t="shared" si="730"/>
        <v>23578.524032412664</v>
      </c>
      <c r="R749" s="34">
        <f t="shared" si="730"/>
        <v>48238.557689318535</v>
      </c>
      <c r="S749" s="34">
        <f t="shared" si="730"/>
        <v>15017.926068535104</v>
      </c>
      <c r="T749" s="34">
        <f t="shared" ref="T749:V749" si="731">T724-T747</f>
        <v>-11653.005026014058</v>
      </c>
      <c r="U749" s="34">
        <f t="shared" si="731"/>
        <v>-32256.801269985583</v>
      </c>
      <c r="V749" s="34">
        <f t="shared" si="731"/>
        <v>0</v>
      </c>
      <c r="W749" s="32">
        <f t="shared" ref="W749" si="732">SUM(G749:V749)</f>
        <v>225740344.49124923</v>
      </c>
      <c r="X749" s="30" t="str">
        <f t="shared" ref="X749" si="733">IF(ABS(F749-W749)&lt;0.01,"ok","err")</f>
        <v>ok</v>
      </c>
      <c r="Y749" s="34" t="str">
        <f t="shared" ref="Y749" si="734">IF(X749="err",W749-F749,"")</f>
        <v/>
      </c>
      <c r="AA749" s="68"/>
      <c r="AD749" s="48"/>
      <c r="AE749" s="48"/>
      <c r="AF749" s="59"/>
    </row>
    <row r="750" spans="1:32" ht="12" customHeight="1" x14ac:dyDescent="0.25">
      <c r="W750" s="34"/>
      <c r="AA750" s="69"/>
      <c r="AD750" s="48"/>
      <c r="AE750" s="48"/>
      <c r="AF750" s="59"/>
    </row>
    <row r="751" spans="1:32" ht="12" hidden="1" customHeight="1" x14ac:dyDescent="0.25">
      <c r="A751" s="93" t="s">
        <v>386</v>
      </c>
      <c r="F751" s="34">
        <f t="shared" ref="F751:V751" si="735">F687</f>
        <v>4045218982.2825289</v>
      </c>
      <c r="G751" s="34">
        <f t="shared" si="735"/>
        <v>1913829757.74629</v>
      </c>
      <c r="H751" s="34">
        <f t="shared" si="735"/>
        <v>467548043.95758653</v>
      </c>
      <c r="I751" s="34">
        <f t="shared" si="735"/>
        <v>28196993.42654264</v>
      </c>
      <c r="J751" s="34">
        <f t="shared" si="735"/>
        <v>349060438.26951933</v>
      </c>
      <c r="K751" s="34">
        <f t="shared" si="735"/>
        <v>23535963.346838195</v>
      </c>
      <c r="L751" s="34">
        <f t="shared" si="735"/>
        <v>306358758.4514882</v>
      </c>
      <c r="M751" s="34">
        <f t="shared" si="735"/>
        <v>598196354.09069657</v>
      </c>
      <c r="N751" s="34">
        <f t="shared" si="735"/>
        <v>179279650.94574383</v>
      </c>
      <c r="O751" s="34">
        <f t="shared" si="735"/>
        <v>81805214.326673463</v>
      </c>
      <c r="P751" s="34">
        <f t="shared" si="735"/>
        <v>95549460.244665146</v>
      </c>
      <c r="Q751" s="34">
        <f t="shared" si="735"/>
        <v>110709.73647517695</v>
      </c>
      <c r="R751" s="34">
        <f t="shared" si="735"/>
        <v>291865.82501450198</v>
      </c>
      <c r="S751" s="34">
        <f t="shared" si="735"/>
        <v>158532.87499419737</v>
      </c>
      <c r="T751" s="34">
        <f t="shared" si="735"/>
        <v>124111.54000000001</v>
      </c>
      <c r="U751" s="34">
        <f t="shared" si="735"/>
        <v>1173127.4999999998</v>
      </c>
      <c r="V751" s="34">
        <f t="shared" si="735"/>
        <v>0</v>
      </c>
      <c r="W751" s="32">
        <f t="shared" ref="W751" si="736">SUM(G751:V751)</f>
        <v>4045218982.2825279</v>
      </c>
      <c r="X751" s="30" t="str">
        <f t="shared" ref="X751" si="737">IF(ABS(F751-W751)&lt;0.01,"ok","err")</f>
        <v>ok</v>
      </c>
      <c r="Y751" s="34" t="str">
        <f t="shared" ref="Y751" si="738">IF(X751="err",W751-F751,"")</f>
        <v/>
      </c>
      <c r="AD751" s="48"/>
      <c r="AE751" s="48"/>
      <c r="AF751" s="59"/>
    </row>
    <row r="752" spans="1:32" ht="12" hidden="1" customHeight="1" x14ac:dyDescent="0.25">
      <c r="A752" s="93" t="s">
        <v>2062</v>
      </c>
      <c r="E752" s="29" t="s">
        <v>377</v>
      </c>
      <c r="F752" s="34">
        <v>0</v>
      </c>
      <c r="G752" s="32">
        <f t="shared" ref="G752:V754" si="739">IF(VLOOKUP($E752,$D$5:$AJ$997,3,)=0,0,(VLOOKUP($E752,$D$5:$AJ$997,G$1,)/VLOOKUP($E752,$D$5:$AJ$997,3,))*$F752)</f>
        <v>0</v>
      </c>
      <c r="H752" s="32">
        <f t="shared" si="739"/>
        <v>0</v>
      </c>
      <c r="I752" s="32">
        <f t="shared" si="739"/>
        <v>0</v>
      </c>
      <c r="J752" s="32">
        <f t="shared" si="739"/>
        <v>0</v>
      </c>
      <c r="K752" s="32">
        <f t="shared" si="739"/>
        <v>0</v>
      </c>
      <c r="L752" s="32">
        <f t="shared" si="739"/>
        <v>0</v>
      </c>
      <c r="M752" s="32">
        <f t="shared" si="739"/>
        <v>0</v>
      </c>
      <c r="N752" s="32">
        <f t="shared" si="739"/>
        <v>0</v>
      </c>
      <c r="O752" s="32">
        <f t="shared" si="739"/>
        <v>0</v>
      </c>
      <c r="P752" s="32">
        <f t="shared" si="739"/>
        <v>0</v>
      </c>
      <c r="Q752" s="32">
        <f t="shared" si="739"/>
        <v>0</v>
      </c>
      <c r="R752" s="32">
        <f t="shared" si="739"/>
        <v>0</v>
      </c>
      <c r="S752" s="32">
        <f t="shared" si="739"/>
        <v>0</v>
      </c>
      <c r="T752" s="32">
        <f t="shared" si="739"/>
        <v>0</v>
      </c>
      <c r="U752" s="32">
        <f t="shared" si="739"/>
        <v>0</v>
      </c>
      <c r="V752" s="32">
        <f t="shared" si="739"/>
        <v>0</v>
      </c>
      <c r="W752" s="32">
        <f t="shared" ref="W752:W755" si="740">SUM(G752:V752)</f>
        <v>0</v>
      </c>
      <c r="X752" s="30" t="str">
        <f t="shared" ref="X752:X755" si="741">IF(ABS(F752-W752)&lt;0.01,"ok","err")</f>
        <v>ok</v>
      </c>
      <c r="Y752" s="34" t="str">
        <f t="shared" ref="Y752:Y755" si="742">IF(X752="err",W752-F752,"")</f>
        <v/>
      </c>
      <c r="AD752" s="48"/>
      <c r="AE752" s="48"/>
      <c r="AF752" s="59"/>
    </row>
    <row r="753" spans="1:32" ht="12" hidden="1" customHeight="1" x14ac:dyDescent="0.25">
      <c r="A753" s="93" t="s">
        <v>2062</v>
      </c>
      <c r="E753" s="29" t="s">
        <v>1650</v>
      </c>
      <c r="F753" s="34">
        <v>0</v>
      </c>
      <c r="G753" s="32">
        <f t="shared" si="739"/>
        <v>0</v>
      </c>
      <c r="H753" s="32">
        <f t="shared" si="739"/>
        <v>0</v>
      </c>
      <c r="I753" s="32">
        <f t="shared" si="739"/>
        <v>0</v>
      </c>
      <c r="J753" s="32">
        <f t="shared" si="739"/>
        <v>0</v>
      </c>
      <c r="K753" s="32">
        <f t="shared" si="739"/>
        <v>0</v>
      </c>
      <c r="L753" s="32">
        <f t="shared" si="739"/>
        <v>0</v>
      </c>
      <c r="M753" s="32">
        <f t="shared" si="739"/>
        <v>0</v>
      </c>
      <c r="N753" s="32">
        <f t="shared" si="739"/>
        <v>0</v>
      </c>
      <c r="O753" s="32">
        <f t="shared" si="739"/>
        <v>0</v>
      </c>
      <c r="P753" s="32">
        <f t="shared" si="739"/>
        <v>0</v>
      </c>
      <c r="Q753" s="32">
        <f t="shared" si="739"/>
        <v>0</v>
      </c>
      <c r="R753" s="32">
        <f t="shared" si="739"/>
        <v>0</v>
      </c>
      <c r="S753" s="32">
        <f t="shared" si="739"/>
        <v>0</v>
      </c>
      <c r="T753" s="32">
        <f t="shared" si="739"/>
        <v>0</v>
      </c>
      <c r="U753" s="32">
        <f t="shared" si="739"/>
        <v>0</v>
      </c>
      <c r="V753" s="32">
        <f t="shared" si="739"/>
        <v>0</v>
      </c>
      <c r="W753" s="32">
        <f t="shared" si="740"/>
        <v>0</v>
      </c>
      <c r="X753" s="30" t="str">
        <f t="shared" si="741"/>
        <v>ok</v>
      </c>
      <c r="Y753" s="34" t="str">
        <f t="shared" si="742"/>
        <v/>
      </c>
      <c r="AD753" s="48"/>
      <c r="AE753" s="48"/>
      <c r="AF753" s="59"/>
    </row>
    <row r="754" spans="1:32" ht="12" hidden="1" customHeight="1" x14ac:dyDescent="0.25">
      <c r="A754" s="93" t="s">
        <v>2062</v>
      </c>
      <c r="E754" s="29" t="s">
        <v>492</v>
      </c>
      <c r="F754" s="34">
        <v>0</v>
      </c>
      <c r="G754" s="32">
        <f t="shared" si="739"/>
        <v>0</v>
      </c>
      <c r="H754" s="32">
        <f t="shared" si="739"/>
        <v>0</v>
      </c>
      <c r="I754" s="32">
        <f t="shared" si="739"/>
        <v>0</v>
      </c>
      <c r="J754" s="32">
        <f t="shared" si="739"/>
        <v>0</v>
      </c>
      <c r="K754" s="32">
        <f t="shared" si="739"/>
        <v>0</v>
      </c>
      <c r="L754" s="32">
        <f t="shared" si="739"/>
        <v>0</v>
      </c>
      <c r="M754" s="32">
        <f t="shared" si="739"/>
        <v>0</v>
      </c>
      <c r="N754" s="32">
        <f t="shared" si="739"/>
        <v>0</v>
      </c>
      <c r="O754" s="32">
        <f t="shared" si="739"/>
        <v>0</v>
      </c>
      <c r="P754" s="32">
        <f t="shared" si="739"/>
        <v>0</v>
      </c>
      <c r="Q754" s="32">
        <f t="shared" si="739"/>
        <v>0</v>
      </c>
      <c r="R754" s="32">
        <f t="shared" si="739"/>
        <v>0</v>
      </c>
      <c r="S754" s="32">
        <f t="shared" si="739"/>
        <v>0</v>
      </c>
      <c r="T754" s="32">
        <f t="shared" si="739"/>
        <v>0</v>
      </c>
      <c r="U754" s="32">
        <f t="shared" si="739"/>
        <v>0</v>
      </c>
      <c r="V754" s="32">
        <f t="shared" si="739"/>
        <v>0</v>
      </c>
      <c r="W754" s="32">
        <f t="shared" si="740"/>
        <v>0</v>
      </c>
      <c r="X754" s="30" t="str">
        <f t="shared" si="741"/>
        <v>ok</v>
      </c>
      <c r="Y754" s="34" t="str">
        <f t="shared" si="742"/>
        <v/>
      </c>
      <c r="AD754" s="48"/>
      <c r="AE754" s="48"/>
      <c r="AF754" s="59"/>
    </row>
    <row r="755" spans="1:32" ht="12" customHeight="1" x14ac:dyDescent="0.25">
      <c r="A755" s="184" t="s">
        <v>680</v>
      </c>
      <c r="B755" s="52"/>
      <c r="C755" s="52"/>
      <c r="D755" s="52"/>
      <c r="E755" s="52"/>
      <c r="F755" s="34">
        <f t="shared" ref="F755:V755" si="743">SUM(F751:F754)</f>
        <v>4045218982.2825289</v>
      </c>
      <c r="G755" s="53">
        <f t="shared" si="743"/>
        <v>1913829757.74629</v>
      </c>
      <c r="H755" s="53">
        <f t="shared" si="743"/>
        <v>467548043.95758653</v>
      </c>
      <c r="I755" s="53">
        <f>SUM(I751:I754)</f>
        <v>28196993.42654264</v>
      </c>
      <c r="J755" s="53">
        <f t="shared" si="743"/>
        <v>349060438.26951933</v>
      </c>
      <c r="K755" s="53">
        <f>SUM(K751:K754)</f>
        <v>23535963.346838195</v>
      </c>
      <c r="L755" s="34">
        <f t="shared" si="743"/>
        <v>306358758.4514882</v>
      </c>
      <c r="M755" s="34">
        <f t="shared" si="743"/>
        <v>598196354.09069657</v>
      </c>
      <c r="N755" s="34">
        <f t="shared" si="743"/>
        <v>179279650.94574383</v>
      </c>
      <c r="O755" s="34">
        <f t="shared" si="743"/>
        <v>81805214.326673463</v>
      </c>
      <c r="P755" s="34">
        <f t="shared" si="743"/>
        <v>95549460.244665146</v>
      </c>
      <c r="Q755" s="53">
        <f t="shared" si="743"/>
        <v>110709.73647517695</v>
      </c>
      <c r="R755" s="53">
        <f t="shared" si="743"/>
        <v>291865.82501450198</v>
      </c>
      <c r="S755" s="53">
        <f t="shared" si="743"/>
        <v>158532.87499419737</v>
      </c>
      <c r="T755" s="53">
        <f t="shared" si="743"/>
        <v>124111.54000000001</v>
      </c>
      <c r="U755" s="53">
        <f t="shared" si="743"/>
        <v>1173127.4999999998</v>
      </c>
      <c r="V755" s="53">
        <f t="shared" si="743"/>
        <v>0</v>
      </c>
      <c r="W755" s="32">
        <f t="shared" si="740"/>
        <v>4045218982.2825279</v>
      </c>
      <c r="X755" s="30" t="str">
        <f t="shared" si="741"/>
        <v>ok</v>
      </c>
      <c r="Y755" s="34" t="str">
        <f t="shared" si="742"/>
        <v/>
      </c>
      <c r="AD755" s="48"/>
      <c r="AE755" s="48"/>
      <c r="AF755" s="59"/>
    </row>
    <row r="756" spans="1:32" ht="12" customHeight="1" thickBot="1" x14ac:dyDescent="0.3">
      <c r="AD756" s="76"/>
      <c r="AE756" s="76"/>
    </row>
    <row r="757" spans="1:32" ht="15" customHeight="1" thickBot="1" x14ac:dyDescent="0.3">
      <c r="A757" s="185" t="s">
        <v>407</v>
      </c>
      <c r="B757" s="186"/>
      <c r="C757" s="186"/>
      <c r="D757" s="186"/>
      <c r="E757" s="186"/>
      <c r="F757" s="187">
        <f t="shared" ref="F757:U757" si="744">F749/F755</f>
        <v>5.5804233461762942E-2</v>
      </c>
      <c r="G757" s="187">
        <f t="shared" si="744"/>
        <v>3.0336231121826471E-2</v>
      </c>
      <c r="H757" s="187">
        <f t="shared" si="744"/>
        <v>0.1131455211765489</v>
      </c>
      <c r="I757" s="187">
        <f>I749/I755</f>
        <v>6.6977163132603448E-2</v>
      </c>
      <c r="J757" s="187">
        <f t="shared" si="744"/>
        <v>0.11177969551659873</v>
      </c>
      <c r="K757" s="187">
        <f>K749/K755</f>
        <v>0.15215694110596975</v>
      </c>
      <c r="L757" s="187">
        <f t="shared" si="744"/>
        <v>6.1545127669662178E-2</v>
      </c>
      <c r="M757" s="187">
        <f t="shared" si="744"/>
        <v>4.4978373861994943E-2</v>
      </c>
      <c r="N757" s="187">
        <f t="shared" si="744"/>
        <v>5.7729740506436054E-2</v>
      </c>
      <c r="O757" s="187">
        <f t="shared" si="744"/>
        <v>5.0488098984436042E-2</v>
      </c>
      <c r="P757" s="187">
        <f t="shared" si="744"/>
        <v>0.10475977915765429</v>
      </c>
      <c r="Q757" s="187">
        <f t="shared" si="744"/>
        <v>0.21297606500670679</v>
      </c>
      <c r="R757" s="187">
        <f t="shared" si="744"/>
        <v>0.16527648513463916</v>
      </c>
      <c r="S757" s="187">
        <f t="shared" si="744"/>
        <v>9.4730673805573706E-2</v>
      </c>
      <c r="T757" s="187">
        <f t="shared" si="744"/>
        <v>-9.3891390164154417E-2</v>
      </c>
      <c r="U757" s="187">
        <f t="shared" si="744"/>
        <v>-2.7496415581414288E-2</v>
      </c>
      <c r="V757" s="187" t="e">
        <f>V749/V755</f>
        <v>#DIV/0!</v>
      </c>
      <c r="X757" s="187"/>
      <c r="Y757" s="187"/>
      <c r="AD757" s="77"/>
      <c r="AE757" s="77"/>
      <c r="AF757" s="59"/>
    </row>
    <row r="760" spans="1:32" ht="12" customHeight="1" x14ac:dyDescent="0.25">
      <c r="A760" s="3" t="s">
        <v>1128</v>
      </c>
    </row>
    <row r="762" spans="1:32" ht="12" customHeight="1" x14ac:dyDescent="0.25">
      <c r="A762" s="29" t="s">
        <v>1093</v>
      </c>
      <c r="F762" s="34">
        <f t="shared" ref="F762:V762" si="745">F724</f>
        <v>1447651427.7284677</v>
      </c>
      <c r="G762" s="34">
        <f t="shared" si="745"/>
        <v>569400617.98365891</v>
      </c>
      <c r="H762" s="34">
        <f t="shared" si="745"/>
        <v>200414371.09690139</v>
      </c>
      <c r="I762" s="34">
        <f t="shared" si="745"/>
        <v>10964661.866080824</v>
      </c>
      <c r="J762" s="34">
        <f t="shared" si="745"/>
        <v>157160378.05699238</v>
      </c>
      <c r="K762" s="34">
        <f t="shared" si="745"/>
        <v>12419786.242215835</v>
      </c>
      <c r="L762" s="34">
        <f t="shared" si="745"/>
        <v>127128000.74571596</v>
      </c>
      <c r="M762" s="34">
        <f t="shared" si="745"/>
        <v>243921730.67309427</v>
      </c>
      <c r="N762" s="34">
        <f t="shared" si="745"/>
        <v>80033742.601270035</v>
      </c>
      <c r="O762" s="34">
        <f t="shared" si="745"/>
        <v>18765556.292602621</v>
      </c>
      <c r="P762" s="34">
        <f t="shared" si="745"/>
        <v>27076257.515746068</v>
      </c>
      <c r="Q762" s="34">
        <f t="shared" si="745"/>
        <v>86207.685661497206</v>
      </c>
      <c r="R762" s="34">
        <f t="shared" si="745"/>
        <v>164492.94827670415</v>
      </c>
      <c r="S762" s="34">
        <f t="shared" si="745"/>
        <v>54084.110250722093</v>
      </c>
      <c r="T762" s="34">
        <f t="shared" si="745"/>
        <v>8320.15</v>
      </c>
      <c r="U762" s="34">
        <f t="shared" si="745"/>
        <v>53219.76</v>
      </c>
      <c r="V762" s="34">
        <f t="shared" si="745"/>
        <v>0</v>
      </c>
      <c r="W762" s="32">
        <f t="shared" ref="W762" si="746">SUM(G762:V762)</f>
        <v>1447651427.7284675</v>
      </c>
      <c r="X762" s="30" t="str">
        <f t="shared" ref="X762" si="747">IF(ABS(F762-W762)&lt;0.01,"ok","err")</f>
        <v>ok</v>
      </c>
      <c r="Y762" s="34" t="str">
        <f t="shared" ref="Y762" si="748">IF(X762="err",W762-F762,"")</f>
        <v/>
      </c>
    </row>
    <row r="763" spans="1:32" ht="12" customHeight="1" x14ac:dyDescent="0.25">
      <c r="W763" s="34"/>
    </row>
    <row r="764" spans="1:32" ht="12" customHeight="1" x14ac:dyDescent="0.25">
      <c r="A764" s="29" t="s">
        <v>401</v>
      </c>
      <c r="F764" s="34">
        <f t="shared" ref="F764:V764" si="749">F729+F730+F731+F732+F733+F734+F736+F737+F743</f>
        <v>1197276292.9381044</v>
      </c>
      <c r="G764" s="34">
        <f t="shared" si="749"/>
        <v>508378572.65940541</v>
      </c>
      <c r="H764" s="34">
        <f t="shared" si="749"/>
        <v>138608770.33898604</v>
      </c>
      <c r="I764" s="34">
        <f t="shared" si="749"/>
        <v>8811201.2240914144</v>
      </c>
      <c r="J764" s="34">
        <f t="shared" si="749"/>
        <v>111508864.66674581</v>
      </c>
      <c r="K764" s="34">
        <f t="shared" si="749"/>
        <v>8189250.8898905208</v>
      </c>
      <c r="L764" s="34">
        <f t="shared" si="749"/>
        <v>105682575.29388657</v>
      </c>
      <c r="M764" s="34">
        <f t="shared" si="749"/>
        <v>214260959.59293619</v>
      </c>
      <c r="N764" s="34">
        <f t="shared" si="749"/>
        <v>68935908.938224971</v>
      </c>
      <c r="O764" s="34">
        <f t="shared" si="749"/>
        <v>17104639.767536044</v>
      </c>
      <c r="P764" s="34">
        <f t="shared" si="749"/>
        <v>15478409.054430233</v>
      </c>
      <c r="Q764" s="34">
        <f t="shared" si="749"/>
        <v>58199.966711250461</v>
      </c>
      <c r="R764" s="34">
        <f t="shared" si="749"/>
        <v>107493.58912151461</v>
      </c>
      <c r="S764" s="34">
        <f t="shared" si="749"/>
        <v>36715.386138168811</v>
      </c>
      <c r="T764" s="34">
        <f t="shared" si="749"/>
        <v>22436.42</v>
      </c>
      <c r="U764" s="34">
        <f t="shared" si="749"/>
        <v>92295.15</v>
      </c>
      <c r="V764" s="34">
        <f t="shared" si="749"/>
        <v>0</v>
      </c>
      <c r="W764" s="32">
        <f t="shared" ref="W764" si="750">SUM(G764:V764)</f>
        <v>1197276292.9381046</v>
      </c>
      <c r="X764" s="30" t="str">
        <f t="shared" ref="X764" si="751">IF(ABS(F764-W764)&lt;0.01,"ok","err")</f>
        <v>ok</v>
      </c>
      <c r="Y764" s="34" t="str">
        <f t="shared" ref="Y764" si="752">IF(X764="err",W764-F764,"")</f>
        <v/>
      </c>
    </row>
    <row r="765" spans="1:32" ht="12" customHeight="1" x14ac:dyDescent="0.25">
      <c r="W765" s="34"/>
    </row>
    <row r="766" spans="1:32" ht="12" customHeight="1" x14ac:dyDescent="0.25">
      <c r="A766" s="29" t="s">
        <v>1094</v>
      </c>
      <c r="D766" s="29" t="s">
        <v>1095</v>
      </c>
      <c r="F766" s="57">
        <f t="shared" ref="F766:V766" si="753">F636</f>
        <v>109200167.85493113</v>
      </c>
      <c r="G766" s="57">
        <f t="shared" si="753"/>
        <v>51558644.510117233</v>
      </c>
      <c r="H766" s="57">
        <f t="shared" si="753"/>
        <v>12481536.871746996</v>
      </c>
      <c r="I766" s="57">
        <f t="shared" si="753"/>
        <v>750661.88109039015</v>
      </c>
      <c r="J766" s="57">
        <f t="shared" si="753"/>
        <v>9524839.7915602811</v>
      </c>
      <c r="K766" s="57">
        <f t="shared" si="753"/>
        <v>639610.58062774455</v>
      </c>
      <c r="L766" s="57">
        <f t="shared" si="753"/>
        <v>8361948.9427860491</v>
      </c>
      <c r="M766" s="57">
        <f t="shared" si="753"/>
        <v>16274050.709922388</v>
      </c>
      <c r="N766" s="57">
        <f t="shared" si="753"/>
        <v>4882215.4617952537</v>
      </c>
      <c r="O766" s="57">
        <f t="shared" si="753"/>
        <v>2208393.7546778098</v>
      </c>
      <c r="P766" s="57">
        <f t="shared" si="753"/>
        <v>2503763.7196987877</v>
      </c>
      <c r="Q766" s="57">
        <f t="shared" si="753"/>
        <v>2704.0826133177015</v>
      </c>
      <c r="R766" s="57">
        <f t="shared" si="753"/>
        <v>7740.8910836033929</v>
      </c>
      <c r="S766" s="57">
        <f t="shared" si="753"/>
        <v>4056.657211259836</v>
      </c>
      <c r="T766" s="57">
        <f t="shared" si="753"/>
        <v>0</v>
      </c>
      <c r="U766" s="57">
        <f t="shared" si="753"/>
        <v>0</v>
      </c>
      <c r="V766" s="57">
        <f t="shared" si="753"/>
        <v>0</v>
      </c>
      <c r="W766" s="32">
        <f t="shared" ref="W766" si="754">SUM(G766:V766)</f>
        <v>109200167.8549311</v>
      </c>
      <c r="X766" s="30" t="str">
        <f t="shared" ref="X766" si="755">IF(ABS(F766-W766)&lt;0.01,"ok","err")</f>
        <v>ok</v>
      </c>
      <c r="Y766" s="34" t="str">
        <f t="shared" ref="Y766" si="756">IF(X766="err",W766-F766,"")</f>
        <v/>
      </c>
    </row>
    <row r="767" spans="1:32" ht="12" customHeight="1" x14ac:dyDescent="0.25">
      <c r="F767" s="57"/>
      <c r="G767" s="57"/>
      <c r="H767" s="57"/>
      <c r="I767" s="57"/>
      <c r="J767" s="57"/>
      <c r="K767" s="57"/>
      <c r="L767" s="57"/>
      <c r="M767" s="57"/>
      <c r="N767" s="57"/>
      <c r="O767" s="57"/>
      <c r="P767" s="57"/>
      <c r="Q767" s="57"/>
      <c r="R767" s="57"/>
      <c r="S767" s="57"/>
      <c r="T767" s="57"/>
      <c r="U767" s="57"/>
      <c r="V767" s="57"/>
      <c r="W767" s="34"/>
      <c r="X767" s="30"/>
    </row>
    <row r="768" spans="1:32" ht="12" customHeight="1" x14ac:dyDescent="0.25">
      <c r="A768" s="29" t="s">
        <v>1129</v>
      </c>
      <c r="E768" s="29" t="s">
        <v>1095</v>
      </c>
      <c r="F768" s="74">
        <v>6243935.8163053207</v>
      </c>
      <c r="G768" s="75">
        <f t="shared" ref="G768:V768" si="757">IF(VLOOKUP($E768,$D$5:$AJ$1024,3,)=0,0,(VLOOKUP($E768,$D$5:$AJ$1024,G$1,)/VLOOKUP($E768,$D$5:$AJ$1024,3,))*$F768)</f>
        <v>2948062.016942563</v>
      </c>
      <c r="H768" s="75">
        <f t="shared" si="757"/>
        <v>713679.44433537149</v>
      </c>
      <c r="I768" s="75">
        <f t="shared" si="757"/>
        <v>42921.95421807457</v>
      </c>
      <c r="J768" s="75">
        <f t="shared" si="757"/>
        <v>544619.01925004926</v>
      </c>
      <c r="K768" s="75">
        <f t="shared" si="757"/>
        <v>36572.17283928446</v>
      </c>
      <c r="L768" s="75">
        <f t="shared" si="757"/>
        <v>478126.30258352222</v>
      </c>
      <c r="M768" s="75">
        <f t="shared" si="757"/>
        <v>930530.87829539331</v>
      </c>
      <c r="N768" s="75">
        <f t="shared" si="757"/>
        <v>279159.27771576622</v>
      </c>
      <c r="O768" s="75">
        <f t="shared" si="757"/>
        <v>126273.33027231325</v>
      </c>
      <c r="P768" s="75">
        <f t="shared" si="757"/>
        <v>143162.2338324743</v>
      </c>
      <c r="Q768" s="75">
        <f t="shared" si="757"/>
        <v>154.61623009566148</v>
      </c>
      <c r="R768" s="75">
        <f t="shared" si="757"/>
        <v>442.61495230702741</v>
      </c>
      <c r="S768" s="75">
        <f t="shared" si="757"/>
        <v>231.95483810526716</v>
      </c>
      <c r="T768" s="75">
        <f t="shared" si="757"/>
        <v>0</v>
      </c>
      <c r="U768" s="75">
        <f t="shared" si="757"/>
        <v>0</v>
      </c>
      <c r="V768" s="75">
        <f t="shared" si="757"/>
        <v>0</v>
      </c>
      <c r="W768" s="32">
        <f t="shared" ref="W768" si="758">SUM(G768:V768)</f>
        <v>6243935.8163053207</v>
      </c>
      <c r="X768" s="30" t="str">
        <f t="shared" ref="X768" si="759">IF(ABS(F768-W768)&lt;0.01,"ok","err")</f>
        <v>ok</v>
      </c>
      <c r="Y768" s="34" t="str">
        <f t="shared" ref="Y768" si="760">IF(X768="err",W768-F768,"")</f>
        <v/>
      </c>
    </row>
    <row r="769" spans="1:25" ht="12" customHeight="1" x14ac:dyDescent="0.25">
      <c r="W769" s="34"/>
    </row>
    <row r="770" spans="1:25" ht="12" customHeight="1" x14ac:dyDescent="0.25">
      <c r="A770" s="29" t="s">
        <v>1096</v>
      </c>
      <c r="D770" s="29" t="s">
        <v>1130</v>
      </c>
      <c r="F770" s="34">
        <f>F762-F764-F766-F768</f>
        <v>134931031.11912689</v>
      </c>
      <c r="G770" s="34">
        <f t="shared" ref="G770:V770" si="761">G762-G764-G766-G768</f>
        <v>6515338.7971937042</v>
      </c>
      <c r="H770" s="34">
        <f t="shared" si="761"/>
        <v>48610384.441832982</v>
      </c>
      <c r="I770" s="34">
        <f>I762-I764-I766-I768</f>
        <v>1359876.8066809452</v>
      </c>
      <c r="J770" s="34">
        <f>J762-J764-J766-J768</f>
        <v>35582054.579436243</v>
      </c>
      <c r="K770" s="34">
        <f>K762-K764-K766-K768</f>
        <v>3554352.5988582848</v>
      </c>
      <c r="L770" s="34">
        <f t="shared" si="761"/>
        <v>12605350.206459817</v>
      </c>
      <c r="M770" s="34">
        <f t="shared" si="761"/>
        <v>12456189.491940303</v>
      </c>
      <c r="N770" s="34">
        <f t="shared" si="761"/>
        <v>5936458.9235340441</v>
      </c>
      <c r="O770" s="34">
        <f>O762-O764-O766-O768</f>
        <v>-673750.55988354608</v>
      </c>
      <c r="P770" s="34">
        <f>P762-P764-P766-P768</f>
        <v>8950922.5077845715</v>
      </c>
      <c r="Q770" s="34">
        <f t="shared" si="761"/>
        <v>25149.020106833381</v>
      </c>
      <c r="R770" s="34">
        <f t="shared" si="761"/>
        <v>48815.85311927912</v>
      </c>
      <c r="S770" s="34">
        <f t="shared" si="761"/>
        <v>13080.112063188179</v>
      </c>
      <c r="T770" s="34">
        <f t="shared" si="761"/>
        <v>-14116.269999999999</v>
      </c>
      <c r="U770" s="34">
        <f t="shared" si="761"/>
        <v>-39075.389999999992</v>
      </c>
      <c r="V770" s="34">
        <f t="shared" si="761"/>
        <v>0</v>
      </c>
      <c r="W770" s="32">
        <f t="shared" ref="W770" si="762">SUM(G770:V770)</f>
        <v>134931031.11912668</v>
      </c>
      <c r="X770" s="30" t="str">
        <f t="shared" ref="X770" si="763">IF(ABS(F770-W770)&lt;0.01,"ok","err")</f>
        <v>ok</v>
      </c>
      <c r="Y770" s="34" t="str">
        <f t="shared" ref="Y770" si="764">IF(X770="err",W770-F770,"")</f>
        <v/>
      </c>
    </row>
    <row r="771" spans="1:25" ht="12" customHeight="1" x14ac:dyDescent="0.25">
      <c r="F771" s="34"/>
      <c r="G771" s="34"/>
      <c r="H771" s="34"/>
      <c r="I771" s="34"/>
      <c r="J771" s="34"/>
      <c r="K771" s="34"/>
      <c r="L771" s="34"/>
      <c r="M771" s="34"/>
      <c r="N771" s="34"/>
      <c r="O771" s="34"/>
      <c r="P771" s="34"/>
      <c r="Q771" s="34"/>
      <c r="R771" s="34"/>
      <c r="S771" s="34"/>
      <c r="T771" s="34"/>
      <c r="U771" s="34"/>
      <c r="V771" s="34"/>
      <c r="W771" s="34"/>
      <c r="X771" s="30"/>
      <c r="Y771" s="78"/>
    </row>
    <row r="772" spans="1:25" ht="12" customHeight="1" x14ac:dyDescent="0.25">
      <c r="W772" s="34"/>
    </row>
    <row r="773" spans="1:25" ht="12" customHeight="1" x14ac:dyDescent="0.25">
      <c r="A773" s="188" t="s">
        <v>1765</v>
      </c>
      <c r="W773" s="34"/>
    </row>
    <row r="774" spans="1:25" ht="12" customHeight="1" x14ac:dyDescent="0.25">
      <c r="A774" s="188"/>
      <c r="W774" s="34"/>
    </row>
    <row r="775" spans="1:25" ht="12" customHeight="1" x14ac:dyDescent="0.25">
      <c r="B775" s="93"/>
      <c r="W775" s="34"/>
    </row>
    <row r="776" spans="1:25" ht="12" customHeight="1" x14ac:dyDescent="0.25">
      <c r="W776" s="34"/>
    </row>
    <row r="777" spans="1:25" ht="12" customHeight="1" x14ac:dyDescent="0.25">
      <c r="A777" s="93" t="s">
        <v>194</v>
      </c>
      <c r="W777" s="34"/>
    </row>
    <row r="778" spans="1:25" ht="12" customHeight="1" x14ac:dyDescent="0.25">
      <c r="W778" s="34"/>
    </row>
    <row r="779" spans="1:25" ht="12" customHeight="1" x14ac:dyDescent="0.25">
      <c r="A779" s="29" t="s">
        <v>1093</v>
      </c>
      <c r="F779" s="34">
        <f t="shared" ref="F779:V779" si="765">F724</f>
        <v>1447651427.7284677</v>
      </c>
      <c r="G779" s="34">
        <f t="shared" si="765"/>
        <v>569400617.98365891</v>
      </c>
      <c r="H779" s="34">
        <f t="shared" si="765"/>
        <v>200414371.09690139</v>
      </c>
      <c r="I779" s="34">
        <f t="shared" si="765"/>
        <v>10964661.866080824</v>
      </c>
      <c r="J779" s="34">
        <f t="shared" si="765"/>
        <v>157160378.05699238</v>
      </c>
      <c r="K779" s="34">
        <f t="shared" si="765"/>
        <v>12419786.242215835</v>
      </c>
      <c r="L779" s="34">
        <f t="shared" si="765"/>
        <v>127128000.74571596</v>
      </c>
      <c r="M779" s="34">
        <f t="shared" si="765"/>
        <v>243921730.67309427</v>
      </c>
      <c r="N779" s="34">
        <f t="shared" si="765"/>
        <v>80033742.601270035</v>
      </c>
      <c r="O779" s="34">
        <f t="shared" si="765"/>
        <v>18765556.292602621</v>
      </c>
      <c r="P779" s="34">
        <f t="shared" si="765"/>
        <v>27076257.515746068</v>
      </c>
      <c r="Q779" s="34">
        <f t="shared" si="765"/>
        <v>86207.685661497206</v>
      </c>
      <c r="R779" s="34">
        <f t="shared" si="765"/>
        <v>164492.94827670415</v>
      </c>
      <c r="S779" s="34">
        <f t="shared" si="765"/>
        <v>54084.110250722093</v>
      </c>
      <c r="T779" s="34">
        <f t="shared" si="765"/>
        <v>8320.15</v>
      </c>
      <c r="U779" s="34">
        <f t="shared" si="765"/>
        <v>53219.76</v>
      </c>
      <c r="V779" s="34">
        <f t="shared" si="765"/>
        <v>0</v>
      </c>
      <c r="W779" s="32">
        <f t="shared" ref="W779" si="766">SUM(G779:V779)</f>
        <v>1447651427.7284675</v>
      </c>
      <c r="X779" s="30" t="str">
        <f t="shared" ref="X779:X780" si="767">IF(ABS(F779-W779)&lt;0.01,"ok","err")</f>
        <v>ok</v>
      </c>
      <c r="Y779" s="34" t="str">
        <f t="shared" ref="Y779" si="768">IF(X779="err",W779-F779,"")</f>
        <v/>
      </c>
    </row>
    <row r="780" spans="1:25" ht="12" customHeight="1" x14ac:dyDescent="0.25">
      <c r="A780" s="29" t="s">
        <v>870</v>
      </c>
      <c r="E780" s="79"/>
      <c r="F780" s="34">
        <v>112918874</v>
      </c>
      <c r="G780" s="32">
        <f>50433651+6406</f>
        <v>50440057</v>
      </c>
      <c r="H780" s="32">
        <v>15621049</v>
      </c>
      <c r="I780" s="32">
        <v>852252</v>
      </c>
      <c r="J780" s="32">
        <v>11291546</v>
      </c>
      <c r="K780" s="32">
        <v>894458</v>
      </c>
      <c r="L780" s="32">
        <v>8381858</v>
      </c>
      <c r="M780" s="32">
        <v>15925393</v>
      </c>
      <c r="N780" s="32">
        <v>5347588</v>
      </c>
      <c r="O780" s="32">
        <v>2077780</v>
      </c>
      <c r="P780" s="32">
        <v>2090440</v>
      </c>
      <c r="Q780" s="32">
        <v>0</v>
      </c>
      <c r="R780" s="32">
        <v>-396</v>
      </c>
      <c r="S780" s="32">
        <v>3921</v>
      </c>
      <c r="T780" s="32">
        <f>-2064</f>
        <v>-2064</v>
      </c>
      <c r="U780" s="32">
        <f>-5008</f>
        <v>-5008</v>
      </c>
      <c r="V780" s="34"/>
      <c r="W780" s="32">
        <f t="shared" ref="W780" si="769">SUM(G780:V780)</f>
        <v>112918874</v>
      </c>
      <c r="X780" s="30" t="str">
        <f t="shared" si="767"/>
        <v>ok</v>
      </c>
    </row>
    <row r="781" spans="1:25" ht="12" customHeight="1" x14ac:dyDescent="0.25">
      <c r="A781" s="29" t="s">
        <v>2328</v>
      </c>
      <c r="E781" s="79"/>
      <c r="F781" s="34">
        <v>199767</v>
      </c>
      <c r="G781" s="32">
        <v>0</v>
      </c>
      <c r="H781" s="32">
        <v>0</v>
      </c>
      <c r="I781" s="32">
        <v>0</v>
      </c>
      <c r="J781" s="32">
        <v>0</v>
      </c>
      <c r="K781" s="32">
        <v>0</v>
      </c>
      <c r="L781" s="32">
        <v>0</v>
      </c>
      <c r="M781" s="32">
        <v>0</v>
      </c>
      <c r="N781" s="32">
        <v>0</v>
      </c>
      <c r="O781" s="32">
        <v>0</v>
      </c>
      <c r="P781" s="32">
        <v>0</v>
      </c>
      <c r="Q781" s="32">
        <v>0</v>
      </c>
      <c r="R781" s="32">
        <v>0</v>
      </c>
      <c r="S781" s="32">
        <v>0</v>
      </c>
      <c r="T781" s="32">
        <v>31199</v>
      </c>
      <c r="U781" s="32">
        <v>168568</v>
      </c>
      <c r="V781" s="34"/>
      <c r="W781" s="32">
        <f t="shared" ref="W781" si="770">SUM(G781:V781)</f>
        <v>199767</v>
      </c>
      <c r="X781" s="30" t="str">
        <f t="shared" ref="X781:X783" si="771">IF(ABS(F781-W781)&lt;0.01,"ok","err")</f>
        <v>ok</v>
      </c>
      <c r="Y781" s="34" t="str">
        <f t="shared" ref="Y781:Y785" si="772">IF(X781="err",W781-F781,"")</f>
        <v/>
      </c>
    </row>
    <row r="782" spans="1:25" ht="12" customHeight="1" x14ac:dyDescent="0.25">
      <c r="A782" s="29" t="s">
        <v>2332</v>
      </c>
      <c r="E782" s="79"/>
      <c r="F782" s="34">
        <v>-794</v>
      </c>
      <c r="G782" s="32">
        <v>0</v>
      </c>
      <c r="H782" s="32">
        <v>0</v>
      </c>
      <c r="I782" s="32">
        <v>0</v>
      </c>
      <c r="J782" s="32">
        <v>0</v>
      </c>
      <c r="K782" s="32">
        <v>0</v>
      </c>
      <c r="L782" s="32">
        <v>0</v>
      </c>
      <c r="M782" s="32">
        <v>0</v>
      </c>
      <c r="N782" s="32">
        <v>0</v>
      </c>
      <c r="O782" s="32">
        <v>0</v>
      </c>
      <c r="P782" s="32">
        <v>0</v>
      </c>
      <c r="Q782" s="32">
        <v>0</v>
      </c>
      <c r="R782" s="32">
        <v>0</v>
      </c>
      <c r="S782" s="32">
        <v>0</v>
      </c>
      <c r="T782" s="32">
        <f>F782</f>
        <v>-794</v>
      </c>
      <c r="U782" s="32">
        <v>0</v>
      </c>
      <c r="V782" s="34"/>
      <c r="W782" s="32">
        <f t="shared" ref="W782" si="773">SUM(G782:V782)</f>
        <v>-794</v>
      </c>
      <c r="X782" s="30" t="str">
        <f t="shared" ref="X782" si="774">IF(ABS(F782-W782)&lt;0.01,"ok","err")</f>
        <v>ok</v>
      </c>
      <c r="Y782" s="34"/>
    </row>
    <row r="783" spans="1:25" ht="12" customHeight="1" x14ac:dyDescent="0.25">
      <c r="A783" s="29" t="s">
        <v>2330</v>
      </c>
      <c r="E783" s="79" t="s">
        <v>1761</v>
      </c>
      <c r="F783" s="32">
        <v>-337386</v>
      </c>
      <c r="G783" s="32">
        <f t="shared" ref="G783:V785" si="775">IF(VLOOKUP($E783,$D$5:$AJ$997,3,)=0,0,(VLOOKUP($E783,$D$5:$AJ$997,G$1,)/VLOOKUP($E783,$D$5:$AJ$997,3,))*$F783)</f>
        <v>-262435.00696374913</v>
      </c>
      <c r="H783" s="32">
        <f t="shared" si="775"/>
        <v>-52876.931325221296</v>
      </c>
      <c r="I783" s="32">
        <f t="shared" si="775"/>
        <v>-1949.6485475290799</v>
      </c>
      <c r="J783" s="32">
        <f t="shared" si="775"/>
        <v>-15616.987678505036</v>
      </c>
      <c r="K783" s="32">
        <f t="shared" si="775"/>
        <v>-719.76272543188247</v>
      </c>
      <c r="L783" s="32">
        <f t="shared" si="775"/>
        <v>-2586.1377537564645</v>
      </c>
      <c r="M783" s="32">
        <f t="shared" si="775"/>
        <v>-906.1090621132762</v>
      </c>
      <c r="N783" s="32">
        <f t="shared" si="775"/>
        <v>-87.349845319403229</v>
      </c>
      <c r="O783" s="32">
        <f t="shared" si="775"/>
        <v>-3.4939938127761283</v>
      </c>
      <c r="P783" s="32">
        <f t="shared" si="775"/>
        <v>-204.57210456170424</v>
      </c>
      <c r="Q783" s="32">
        <f t="shared" si="775"/>
        <v>0</v>
      </c>
      <c r="R783" s="32">
        <f t="shared" si="775"/>
        <v>0</v>
      </c>
      <c r="S783" s="32">
        <f t="shared" si="775"/>
        <v>0</v>
      </c>
      <c r="T783" s="32">
        <f t="shared" si="775"/>
        <v>0</v>
      </c>
      <c r="U783" s="32">
        <f t="shared" si="775"/>
        <v>0</v>
      </c>
      <c r="V783" s="32">
        <f t="shared" si="775"/>
        <v>0</v>
      </c>
      <c r="W783" s="32">
        <f t="shared" ref="W783" si="776">SUM(G783:V783)</f>
        <v>-337386.00000000006</v>
      </c>
      <c r="X783" s="30" t="str">
        <f t="shared" si="771"/>
        <v>ok</v>
      </c>
      <c r="Y783" s="34" t="str">
        <f t="shared" ref="Y783" si="777">IF(X783="err",W783-F783,"")</f>
        <v/>
      </c>
    </row>
    <row r="784" spans="1:25" ht="12" customHeight="1" x14ac:dyDescent="0.25">
      <c r="A784" s="29" t="s">
        <v>2331</v>
      </c>
      <c r="E784" s="79" t="s">
        <v>1018</v>
      </c>
      <c r="F784" s="32">
        <v>-86814</v>
      </c>
      <c r="G784" s="32">
        <f t="shared" si="775"/>
        <v>-80847.191010013063</v>
      </c>
      <c r="H784" s="32">
        <f t="shared" si="775"/>
        <v>-5357.3724423160647</v>
      </c>
      <c r="I784" s="32">
        <f t="shared" si="775"/>
        <v>-51.8037953796049</v>
      </c>
      <c r="J784" s="32">
        <f t="shared" si="775"/>
        <v>-414.95644698035971</v>
      </c>
      <c r="K784" s="32">
        <f t="shared" si="775"/>
        <v>-19.124698652685684</v>
      </c>
      <c r="L784" s="32">
        <f t="shared" si="775"/>
        <v>-68.715846858072098</v>
      </c>
      <c r="M784" s="32">
        <f t="shared" si="775"/>
        <v>-24.076076944643141</v>
      </c>
      <c r="N784" s="32">
        <f t="shared" si="775"/>
        <v>-2.3209585743550587</v>
      </c>
      <c r="O784" s="32">
        <f t="shared" si="775"/>
        <v>-9.2838342974202348E-2</v>
      </c>
      <c r="P784" s="32">
        <f t="shared" si="775"/>
        <v>-28.345885938180235</v>
      </c>
      <c r="Q784" s="32">
        <f t="shared" si="775"/>
        <v>0</v>
      </c>
      <c r="R784" s="32">
        <f t="shared" si="775"/>
        <v>0</v>
      </c>
      <c r="S784" s="32">
        <f t="shared" si="775"/>
        <v>0</v>
      </c>
      <c r="T784" s="32">
        <f t="shared" si="775"/>
        <v>0</v>
      </c>
      <c r="U784" s="32">
        <f t="shared" si="775"/>
        <v>0</v>
      </c>
      <c r="V784" s="32">
        <f t="shared" si="775"/>
        <v>0</v>
      </c>
      <c r="W784" s="32">
        <f t="shared" ref="W784" si="778">SUM(G784:V784)</f>
        <v>-86814</v>
      </c>
      <c r="X784" s="30" t="str">
        <f t="shared" ref="X784" si="779">IF(ABS(F784-W784)&lt;0.01,"ok","err")</f>
        <v>ok</v>
      </c>
      <c r="Y784" s="34" t="str">
        <f t="shared" ref="Y784" si="780">IF(X784="err",W784-F784,"")</f>
        <v/>
      </c>
    </row>
    <row r="785" spans="1:25" ht="12" customHeight="1" x14ac:dyDescent="0.25">
      <c r="A785" s="29" t="s">
        <v>2329</v>
      </c>
      <c r="E785" s="79" t="s">
        <v>2010</v>
      </c>
      <c r="F785" s="32">
        <f>-34816+794</f>
        <v>-34022</v>
      </c>
      <c r="G785" s="32">
        <f t="shared" si="775"/>
        <v>-3883.4748963616053</v>
      </c>
      <c r="H785" s="32">
        <f t="shared" si="775"/>
        <v>-5724.8522019845741</v>
      </c>
      <c r="I785" s="32">
        <f t="shared" si="775"/>
        <v>-2161.4343408762616</v>
      </c>
      <c r="J785" s="32">
        <f t="shared" si="775"/>
        <v>-17313.424777066783</v>
      </c>
      <c r="K785" s="32">
        <f t="shared" si="775"/>
        <v>-797.94887853137982</v>
      </c>
      <c r="L785" s="32">
        <f t="shared" si="775"/>
        <v>-2867.0638912280406</v>
      </c>
      <c r="M785" s="32">
        <f t="shared" si="775"/>
        <v>-1004.5375849472711</v>
      </c>
      <c r="N785" s="32">
        <f t="shared" si="775"/>
        <v>-96.838456132449011</v>
      </c>
      <c r="O785" s="32">
        <f t="shared" si="775"/>
        <v>-3.8735382452979601</v>
      </c>
      <c r="P785" s="32">
        <f t="shared" si="775"/>
        <v>-168.55143462633538</v>
      </c>
      <c r="Q785" s="32">
        <f t="shared" si="775"/>
        <v>0</v>
      </c>
      <c r="R785" s="32">
        <f t="shared" si="775"/>
        <v>0</v>
      </c>
      <c r="S785" s="32">
        <f t="shared" si="775"/>
        <v>0</v>
      </c>
      <c r="T785" s="32">
        <f t="shared" si="775"/>
        <v>0</v>
      </c>
      <c r="U785" s="32">
        <f t="shared" si="775"/>
        <v>0</v>
      </c>
      <c r="V785" s="32">
        <f t="shared" si="775"/>
        <v>0</v>
      </c>
      <c r="W785" s="32">
        <f t="shared" ref="W785" si="781">SUM(G785:V785)</f>
        <v>-34022</v>
      </c>
      <c r="X785" s="30" t="str">
        <f t="shared" ref="X785" si="782">IF(ABS(F785-W785)&lt;0.01,"ok","err")</f>
        <v>ok</v>
      </c>
      <c r="Y785" s="34" t="str">
        <f t="shared" si="772"/>
        <v/>
      </c>
    </row>
    <row r="786" spans="1:25" ht="12" customHeight="1" x14ac:dyDescent="0.25">
      <c r="E786" s="79"/>
      <c r="F786" s="32"/>
      <c r="G786" s="32"/>
      <c r="H786" s="32"/>
      <c r="I786" s="32"/>
      <c r="J786" s="32"/>
      <c r="K786" s="32"/>
      <c r="L786" s="32"/>
      <c r="M786" s="32"/>
      <c r="N786" s="32"/>
      <c r="O786" s="32"/>
      <c r="P786" s="32"/>
      <c r="Q786" s="32"/>
      <c r="R786" s="32"/>
      <c r="S786" s="32"/>
      <c r="T786" s="32"/>
      <c r="U786" s="32"/>
      <c r="V786" s="32"/>
      <c r="W786" s="79"/>
      <c r="X786" s="30"/>
      <c r="Y786" s="34"/>
    </row>
    <row r="787" spans="1:25" ht="12" customHeight="1" x14ac:dyDescent="0.25">
      <c r="E787" s="79"/>
      <c r="F787" s="32"/>
      <c r="G787" s="32"/>
      <c r="H787" s="79"/>
      <c r="I787" s="79"/>
      <c r="J787" s="79"/>
      <c r="K787" s="79"/>
      <c r="L787" s="79"/>
      <c r="M787" s="79"/>
      <c r="N787" s="79"/>
      <c r="O787" s="79"/>
      <c r="P787" s="79"/>
      <c r="Q787" s="79"/>
      <c r="R787" s="79"/>
      <c r="S787" s="79"/>
      <c r="T787" s="79"/>
      <c r="U787" s="79"/>
      <c r="V787" s="34"/>
      <c r="X787" s="30"/>
    </row>
    <row r="788" spans="1:25" ht="12" customHeight="1" x14ac:dyDescent="0.25">
      <c r="A788" s="29" t="s">
        <v>485</v>
      </c>
      <c r="E788" s="59"/>
      <c r="F788" s="32">
        <f t="shared" ref="F788:V788" si="783">SUM(F779:F787)</f>
        <v>1560311052.7284677</v>
      </c>
      <c r="G788" s="32">
        <f t="shared" si="783"/>
        <v>619493509.31078887</v>
      </c>
      <c r="H788" s="32">
        <f t="shared" si="783"/>
        <v>215971460.94093186</v>
      </c>
      <c r="I788" s="32">
        <f t="shared" si="783"/>
        <v>11812750.97939704</v>
      </c>
      <c r="J788" s="32">
        <f t="shared" si="783"/>
        <v>168418578.68808985</v>
      </c>
      <c r="K788" s="32">
        <f t="shared" si="783"/>
        <v>13312707.405913219</v>
      </c>
      <c r="L788" s="32">
        <f t="shared" si="783"/>
        <v>135504336.82822412</v>
      </c>
      <c r="M788" s="32">
        <f t="shared" si="783"/>
        <v>259845188.95037025</v>
      </c>
      <c r="N788" s="32">
        <f t="shared" si="783"/>
        <v>85381144.092010006</v>
      </c>
      <c r="O788" s="32">
        <f t="shared" si="783"/>
        <v>20843328.832232222</v>
      </c>
      <c r="P788" s="32">
        <f t="shared" si="783"/>
        <v>29166296.046320941</v>
      </c>
      <c r="Q788" s="32">
        <f t="shared" si="783"/>
        <v>86207.685661497206</v>
      </c>
      <c r="R788" s="32">
        <f t="shared" si="783"/>
        <v>164096.94827670415</v>
      </c>
      <c r="S788" s="32">
        <f t="shared" si="783"/>
        <v>58005.110250722093</v>
      </c>
      <c r="T788" s="32">
        <f t="shared" si="783"/>
        <v>36661.15</v>
      </c>
      <c r="U788" s="32">
        <f t="shared" si="783"/>
        <v>216779.76</v>
      </c>
      <c r="V788" s="32">
        <f t="shared" si="783"/>
        <v>0</v>
      </c>
      <c r="W788" s="32">
        <f t="shared" ref="W788" si="784">SUM(G788:V788)</f>
        <v>1560311052.7284675</v>
      </c>
      <c r="X788" s="30" t="str">
        <f t="shared" ref="X788" si="785">IF(ABS(F788-W788)&lt;0.01,"ok","err")</f>
        <v>ok</v>
      </c>
      <c r="Y788" s="34" t="str">
        <f t="shared" ref="Y788" si="786">IF(X788="err",W788-F788,"")</f>
        <v/>
      </c>
    </row>
    <row r="789" spans="1:25" ht="12" customHeight="1" x14ac:dyDescent="0.25">
      <c r="A789" s="93"/>
      <c r="E789" s="79"/>
      <c r="F789" s="32"/>
      <c r="G789" s="32"/>
      <c r="H789" s="32"/>
      <c r="I789" s="32"/>
      <c r="J789" s="32"/>
      <c r="K789" s="32"/>
      <c r="L789" s="32"/>
      <c r="M789" s="32"/>
      <c r="N789" s="32"/>
      <c r="O789" s="32"/>
      <c r="P789" s="32"/>
      <c r="Q789" s="32"/>
      <c r="R789" s="32"/>
      <c r="S789" s="32"/>
      <c r="T789" s="32"/>
      <c r="U789" s="32"/>
      <c r="V789" s="34"/>
      <c r="W789" s="34"/>
      <c r="X789" s="30"/>
    </row>
    <row r="790" spans="1:25" ht="12" customHeight="1" x14ac:dyDescent="0.25">
      <c r="A790" s="93"/>
      <c r="E790" s="32"/>
      <c r="F790" s="32"/>
      <c r="G790" s="32"/>
      <c r="H790" s="32"/>
      <c r="I790" s="32"/>
      <c r="J790" s="32"/>
      <c r="K790" s="32"/>
      <c r="L790" s="32"/>
      <c r="M790" s="32"/>
      <c r="N790" s="32"/>
      <c r="O790" s="32"/>
      <c r="P790" s="32"/>
      <c r="Q790" s="32"/>
      <c r="R790" s="32"/>
      <c r="S790" s="32"/>
      <c r="T790" s="32"/>
      <c r="U790" s="32"/>
      <c r="V790" s="34"/>
      <c r="W790" s="34"/>
      <c r="X790" s="30"/>
    </row>
    <row r="791" spans="1:25" ht="12" customHeight="1" x14ac:dyDescent="0.25">
      <c r="A791" s="93" t="s">
        <v>401</v>
      </c>
      <c r="E791" s="32"/>
      <c r="F791" s="32"/>
      <c r="G791" s="32"/>
      <c r="H791" s="32"/>
      <c r="I791" s="32"/>
      <c r="J791" s="32"/>
      <c r="K791" s="32"/>
      <c r="L791" s="32"/>
      <c r="M791" s="32"/>
      <c r="N791" s="32"/>
      <c r="O791" s="32"/>
      <c r="P791" s="32"/>
      <c r="Q791" s="32"/>
      <c r="R791" s="32"/>
      <c r="S791" s="32"/>
      <c r="T791" s="32"/>
      <c r="U791" s="32"/>
      <c r="V791" s="34"/>
      <c r="W791" s="34"/>
      <c r="X791" s="30"/>
    </row>
    <row r="792" spans="1:25" ht="12" customHeight="1" x14ac:dyDescent="0.25">
      <c r="A792" s="93"/>
      <c r="E792" s="79"/>
      <c r="F792" s="32"/>
      <c r="G792" s="32"/>
      <c r="H792" s="32"/>
      <c r="I792" s="32"/>
      <c r="J792" s="32"/>
      <c r="K792" s="32"/>
      <c r="L792" s="32"/>
      <c r="M792" s="32"/>
      <c r="N792" s="32"/>
      <c r="O792" s="32"/>
      <c r="P792" s="32"/>
      <c r="Q792" s="32"/>
      <c r="R792" s="32"/>
      <c r="S792" s="32"/>
      <c r="T792" s="32"/>
      <c r="U792" s="32"/>
      <c r="V792" s="34"/>
      <c r="W792" s="34"/>
      <c r="X792" s="30"/>
    </row>
    <row r="793" spans="1:25" ht="12" customHeight="1" x14ac:dyDescent="0.25">
      <c r="A793" s="29" t="s">
        <v>406</v>
      </c>
      <c r="E793" s="79"/>
      <c r="F793" s="32">
        <f>F683</f>
        <v>1221911083.2372184</v>
      </c>
      <c r="G793" s="32">
        <f t="shared" ref="G793:U793" si="787">G747</f>
        <v>511342236.12483829</v>
      </c>
      <c r="H793" s="32">
        <f t="shared" si="787"/>
        <v>147513403.98824427</v>
      </c>
      <c r="I793" s="32">
        <f t="shared" si="787"/>
        <v>9076107.2375023309</v>
      </c>
      <c r="J793" s="32">
        <f t="shared" si="787"/>
        <v>118142508.550335</v>
      </c>
      <c r="K793" s="32">
        <f t="shared" si="787"/>
        <v>8838626.0533787124</v>
      </c>
      <c r="L793" s="32">
        <f t="shared" si="787"/>
        <v>108273111.84409992</v>
      </c>
      <c r="M793" s="32">
        <f t="shared" si="787"/>
        <v>217015831.41592062</v>
      </c>
      <c r="N793" s="32">
        <f t="shared" si="787"/>
        <v>69683974.874087811</v>
      </c>
      <c r="O793" s="32">
        <f t="shared" si="787"/>
        <v>14635366.534234526</v>
      </c>
      <c r="P793" s="32">
        <f t="shared" si="787"/>
        <v>17066517.161881879</v>
      </c>
      <c r="Q793" s="32">
        <f t="shared" si="787"/>
        <v>62629.161629084541</v>
      </c>
      <c r="R793" s="32">
        <f t="shared" si="787"/>
        <v>116254.39058738561</v>
      </c>
      <c r="S793" s="32">
        <f t="shared" si="787"/>
        <v>39066.184182186989</v>
      </c>
      <c r="T793" s="32">
        <f t="shared" si="787"/>
        <v>19973.155026014058</v>
      </c>
      <c r="U793" s="32">
        <f t="shared" si="787"/>
        <v>85476.561269985585</v>
      </c>
      <c r="V793" s="32">
        <f>V683</f>
        <v>0</v>
      </c>
      <c r="W793" s="32">
        <f t="shared" ref="W793" si="788">SUM(G793:V793)</f>
        <v>1221911083.2372181</v>
      </c>
      <c r="X793" s="30" t="str">
        <f t="shared" ref="X793" si="789">IF(ABS(F793-W793)&lt;0.01,"ok","err")</f>
        <v>ok</v>
      </c>
      <c r="Y793" s="34" t="str">
        <f t="shared" ref="Y793" si="790">IF(X793="err",W793-F793,"")</f>
        <v/>
      </c>
    </row>
    <row r="794" spans="1:25" ht="12" customHeight="1" x14ac:dyDescent="0.25">
      <c r="E794" s="79"/>
      <c r="F794" s="32"/>
      <c r="G794" s="32"/>
      <c r="H794" s="32"/>
      <c r="I794" s="32"/>
      <c r="J794" s="32"/>
      <c r="K794" s="32"/>
      <c r="L794" s="32"/>
      <c r="M794" s="32"/>
      <c r="N794" s="32"/>
      <c r="O794" s="32"/>
      <c r="P794" s="32"/>
      <c r="Q794" s="32"/>
      <c r="R794" s="32"/>
      <c r="S794" s="32"/>
      <c r="T794" s="32"/>
      <c r="U794" s="32"/>
      <c r="V794" s="34"/>
      <c r="W794" s="34"/>
      <c r="X794" s="80"/>
    </row>
    <row r="795" spans="1:25" ht="12" customHeight="1" x14ac:dyDescent="0.25">
      <c r="A795" s="29" t="s">
        <v>195</v>
      </c>
      <c r="E795" s="79"/>
      <c r="F795" s="32"/>
      <c r="G795" s="32"/>
      <c r="H795" s="32"/>
      <c r="I795" s="32"/>
      <c r="J795" s="32"/>
      <c r="K795" s="32"/>
      <c r="L795" s="32"/>
      <c r="M795" s="32"/>
      <c r="N795" s="32"/>
      <c r="O795" s="32"/>
      <c r="P795" s="32"/>
      <c r="Q795" s="32"/>
      <c r="R795" s="32"/>
      <c r="S795" s="32"/>
      <c r="T795" s="32"/>
      <c r="U795" s="32"/>
      <c r="V795" s="32"/>
      <c r="W795" s="32"/>
      <c r="X795" s="30"/>
      <c r="Y795" s="34" t="str">
        <f t="shared" ref="Y795:Y796" si="791">IF(X795="err",W795-F795,"")</f>
        <v/>
      </c>
    </row>
    <row r="796" spans="1:25" ht="12" customHeight="1" x14ac:dyDescent="0.25">
      <c r="A796" s="29" t="s">
        <v>2059</v>
      </c>
      <c r="E796" s="81">
        <v>3.16E-3</v>
      </c>
      <c r="F796" s="32">
        <f>SUM(F780:F785)*$E$796</f>
        <v>356004.41499999998</v>
      </c>
      <c r="G796" s="32">
        <f t="shared" ref="G796:V796" si="792">SUM(G780:G785)*$E$796</f>
        <v>158293.53659373039</v>
      </c>
      <c r="H796" s="32">
        <f t="shared" si="792"/>
        <v>49160.403907136308</v>
      </c>
      <c r="I796" s="32">
        <f t="shared" si="792"/>
        <v>2679.9615980792396</v>
      </c>
      <c r="J796" s="32">
        <f t="shared" si="792"/>
        <v>35575.913994267932</v>
      </c>
      <c r="K796" s="32">
        <f t="shared" si="792"/>
        <v>2821.6308772837338</v>
      </c>
      <c r="L796" s="32">
        <f t="shared" si="792"/>
        <v>26469.222020725778</v>
      </c>
      <c r="M796" s="32">
        <f t="shared" si="792"/>
        <v>50318.128156192142</v>
      </c>
      <c r="N796" s="32">
        <f t="shared" si="792"/>
        <v>16897.788710738318</v>
      </c>
      <c r="O796" s="32">
        <f t="shared" si="792"/>
        <v>6565.761225229533</v>
      </c>
      <c r="P796" s="32">
        <f t="shared" si="792"/>
        <v>6604.5217566166011</v>
      </c>
      <c r="Q796" s="32">
        <f t="shared" si="792"/>
        <v>0</v>
      </c>
      <c r="R796" s="32">
        <f t="shared" si="792"/>
        <v>-1.25136</v>
      </c>
      <c r="S796" s="32">
        <f t="shared" si="792"/>
        <v>12.390359999999999</v>
      </c>
      <c r="T796" s="32">
        <f t="shared" si="792"/>
        <v>89.557559999999995</v>
      </c>
      <c r="U796" s="32">
        <f t="shared" si="792"/>
        <v>516.84960000000001</v>
      </c>
      <c r="V796" s="32">
        <f t="shared" si="792"/>
        <v>0</v>
      </c>
      <c r="W796" s="32">
        <f t="shared" ref="W796:W797" si="793">SUM(G796:V796)</f>
        <v>356004.41499999992</v>
      </c>
      <c r="X796" s="30" t="str">
        <f t="shared" ref="X796:X797" si="794">IF(ABS(F796-W796)&lt;0.01,"ok","err")</f>
        <v>ok</v>
      </c>
      <c r="Y796" s="34" t="str">
        <f t="shared" si="791"/>
        <v/>
      </c>
    </row>
    <row r="797" spans="1:25" ht="12" customHeight="1" x14ac:dyDescent="0.25">
      <c r="A797" s="29" t="s">
        <v>2060</v>
      </c>
      <c r="E797" s="81">
        <v>2E-3</v>
      </c>
      <c r="F797" s="32">
        <f>SUM(F780:F785)*$E$797</f>
        <v>225319.25</v>
      </c>
      <c r="G797" s="32">
        <f t="shared" ref="G797:V797" si="795">SUM(G780:G785)*$E$797</f>
        <v>100185.78265425975</v>
      </c>
      <c r="H797" s="32">
        <f t="shared" si="795"/>
        <v>31114.179688060955</v>
      </c>
      <c r="I797" s="32">
        <f t="shared" si="795"/>
        <v>1696.1782266324301</v>
      </c>
      <c r="J797" s="32">
        <f t="shared" si="795"/>
        <v>22516.401262194893</v>
      </c>
      <c r="K797" s="32">
        <f t="shared" si="795"/>
        <v>1785.8423273947681</v>
      </c>
      <c r="L797" s="32">
        <f t="shared" si="795"/>
        <v>16752.672165016313</v>
      </c>
      <c r="M797" s="32">
        <f t="shared" si="795"/>
        <v>31846.91655455199</v>
      </c>
      <c r="N797" s="32">
        <f t="shared" si="795"/>
        <v>10694.802981479948</v>
      </c>
      <c r="O797" s="32">
        <f t="shared" si="795"/>
        <v>4155.5450792591982</v>
      </c>
      <c r="P797" s="32">
        <f t="shared" si="795"/>
        <v>4180.0770611497474</v>
      </c>
      <c r="Q797" s="32">
        <f t="shared" si="795"/>
        <v>0</v>
      </c>
      <c r="R797" s="32">
        <f t="shared" si="795"/>
        <v>-0.79200000000000004</v>
      </c>
      <c r="S797" s="32">
        <f t="shared" si="795"/>
        <v>7.8420000000000005</v>
      </c>
      <c r="T797" s="32">
        <f t="shared" si="795"/>
        <v>56.682000000000002</v>
      </c>
      <c r="U797" s="32">
        <f t="shared" si="795"/>
        <v>327.12</v>
      </c>
      <c r="V797" s="32">
        <f t="shared" si="795"/>
        <v>0</v>
      </c>
      <c r="W797" s="32">
        <f t="shared" si="793"/>
        <v>225319.25</v>
      </c>
      <c r="X797" s="30" t="str">
        <f t="shared" si="794"/>
        <v>ok</v>
      </c>
      <c r="Y797" s="34" t="str">
        <f t="shared" ref="Y797" si="796">IF(X797="err",W797-F797,"")</f>
        <v/>
      </c>
    </row>
    <row r="798" spans="1:25" ht="12" customHeight="1" x14ac:dyDescent="0.25">
      <c r="W798" s="34"/>
    </row>
    <row r="799" spans="1:25" ht="12" customHeight="1" x14ac:dyDescent="0.25">
      <c r="A799" s="29" t="s">
        <v>878</v>
      </c>
      <c r="E799" s="59">
        <f>0.049742+0.19847058</f>
        <v>0.24821258000000002</v>
      </c>
      <c r="F799" s="32">
        <f t="shared" ref="F799:V799" si="797">SUM(F780:F786)*$E$799</f>
        <v>27963536.183082502</v>
      </c>
      <c r="G799" s="32">
        <f t="shared" si="797"/>
        <v>12433685.79596653</v>
      </c>
      <c r="H799" s="32">
        <f t="shared" si="797"/>
        <v>3861465.4074786026</v>
      </c>
      <c r="I799" s="32">
        <f t="shared" si="797"/>
        <v>210506.38688613009</v>
      </c>
      <c r="J799" s="32">
        <f t="shared" si="797"/>
        <v>2794427.0248023258</v>
      </c>
      <c r="K799" s="32">
        <f t="shared" si="797"/>
        <v>221634.26577793006</v>
      </c>
      <c r="L799" s="32">
        <f t="shared" si="797"/>
        <v>2079111.9899864427</v>
      </c>
      <c r="M799" s="32">
        <f t="shared" si="797"/>
        <v>3952402.6615250302</v>
      </c>
      <c r="N799" s="32">
        <f t="shared" si="797"/>
        <v>1327292.3203124152</v>
      </c>
      <c r="O799" s="32">
        <f t="shared" si="797"/>
        <v>515729.28271461505</v>
      </c>
      <c r="P799" s="32">
        <f t="shared" si="797"/>
        <v>518773.85597339831</v>
      </c>
      <c r="Q799" s="32">
        <f t="shared" si="797"/>
        <v>0</v>
      </c>
      <c r="R799" s="32">
        <f t="shared" si="797"/>
        <v>-98.292181680000013</v>
      </c>
      <c r="S799" s="32">
        <f t="shared" si="797"/>
        <v>973.24152618000005</v>
      </c>
      <c r="T799" s="32">
        <f t="shared" si="797"/>
        <v>7034.5927297800008</v>
      </c>
      <c r="U799" s="32">
        <f t="shared" si="797"/>
        <v>40597.649584800005</v>
      </c>
      <c r="V799" s="32">
        <f t="shared" si="797"/>
        <v>0</v>
      </c>
      <c r="W799" s="32">
        <f t="shared" ref="W799" si="798">SUM(G799:V799)</f>
        <v>27963536.183082499</v>
      </c>
      <c r="X799" s="30" t="str">
        <f t="shared" ref="X799" si="799">IF(ABS(F799-W799)&lt;0.01,"ok","err")</f>
        <v>ok</v>
      </c>
      <c r="Y799" s="34" t="str">
        <f t="shared" ref="Y799" si="800">IF(X799="err",W799-F799,"")</f>
        <v/>
      </c>
    </row>
    <row r="800" spans="1:25" ht="12" customHeight="1" x14ac:dyDescent="0.25">
      <c r="F800" s="32"/>
      <c r="G800" s="32"/>
      <c r="H800" s="32"/>
      <c r="I800" s="32"/>
      <c r="J800" s="32"/>
      <c r="K800" s="32"/>
      <c r="L800" s="32"/>
      <c r="M800" s="32"/>
      <c r="N800" s="32"/>
      <c r="O800" s="32"/>
      <c r="P800" s="32"/>
      <c r="Q800" s="32"/>
      <c r="R800" s="32"/>
      <c r="S800" s="32"/>
      <c r="T800" s="32"/>
      <c r="U800" s="32"/>
      <c r="V800" s="34"/>
      <c r="W800" s="34"/>
      <c r="X800" s="80"/>
    </row>
    <row r="801" spans="1:25" ht="12" customHeight="1" x14ac:dyDescent="0.25">
      <c r="A801" s="29" t="s">
        <v>196</v>
      </c>
      <c r="F801" s="32">
        <f>SUM(F793:F799)</f>
        <v>1250455943.0853009</v>
      </c>
      <c r="G801" s="32">
        <f t="shared" ref="G801:V801" si="801">SUM(G793:G799)</f>
        <v>524034401.24005282</v>
      </c>
      <c r="H801" s="32">
        <f t="shared" si="801"/>
        <v>151455143.97931808</v>
      </c>
      <c r="I801" s="32">
        <f t="shared" si="801"/>
        <v>9290989.7642131746</v>
      </c>
      <c r="J801" s="32">
        <f t="shared" si="801"/>
        <v>120995027.89039379</v>
      </c>
      <c r="K801" s="32">
        <f t="shared" si="801"/>
        <v>9064867.7923613228</v>
      </c>
      <c r="L801" s="32">
        <f t="shared" si="801"/>
        <v>110395445.72827213</v>
      </c>
      <c r="M801" s="32">
        <f t="shared" si="801"/>
        <v>221050399.12215638</v>
      </c>
      <c r="N801" s="32">
        <f t="shared" si="801"/>
        <v>71038859.786092445</v>
      </c>
      <c r="O801" s="32">
        <f t="shared" si="801"/>
        <v>15161817.123253629</v>
      </c>
      <c r="P801" s="32">
        <f t="shared" si="801"/>
        <v>17596075.616673045</v>
      </c>
      <c r="Q801" s="32">
        <f t="shared" si="801"/>
        <v>62629.161629084541</v>
      </c>
      <c r="R801" s="32">
        <f t="shared" si="801"/>
        <v>116154.05504570562</v>
      </c>
      <c r="S801" s="32">
        <f t="shared" si="801"/>
        <v>40059.658068366982</v>
      </c>
      <c r="T801" s="32">
        <f t="shared" si="801"/>
        <v>27153.98731579406</v>
      </c>
      <c r="U801" s="32">
        <f t="shared" si="801"/>
        <v>126918.18045478559</v>
      </c>
      <c r="V801" s="32">
        <f t="shared" si="801"/>
        <v>0</v>
      </c>
      <c r="W801" s="32">
        <f t="shared" ref="W801" si="802">SUM(G801:V801)</f>
        <v>1250455943.0853007</v>
      </c>
      <c r="X801" s="30" t="str">
        <f t="shared" ref="X801" si="803">IF(ABS(F801-W801)&lt;0.01,"ok","err")</f>
        <v>ok</v>
      </c>
      <c r="Y801" s="34" t="str">
        <f t="shared" ref="Y801" si="804">IF(X801="err",W801-F801,"")</f>
        <v/>
      </c>
    </row>
    <row r="802" spans="1:25" ht="12" customHeight="1" x14ac:dyDescent="0.25">
      <c r="E802" s="34"/>
      <c r="W802" s="34"/>
    </row>
    <row r="803" spans="1:25" ht="12" customHeight="1" x14ac:dyDescent="0.25">
      <c r="A803" s="29" t="s">
        <v>877</v>
      </c>
      <c r="F803" s="32">
        <f>F788-F801</f>
        <v>309855109.64316678</v>
      </c>
      <c r="G803" s="32">
        <f t="shared" ref="G803:V803" si="805">G788-G801</f>
        <v>95459108.070736051</v>
      </c>
      <c r="H803" s="32">
        <f t="shared" si="805"/>
        <v>64516316.961613774</v>
      </c>
      <c r="I803" s="32">
        <f>I788-I801</f>
        <v>2521761.2151838653</v>
      </c>
      <c r="J803" s="32">
        <f t="shared" si="805"/>
        <v>47423550.797696054</v>
      </c>
      <c r="K803" s="32">
        <f>K788-K801</f>
        <v>4247839.6135518961</v>
      </c>
      <c r="L803" s="32">
        <f t="shared" si="805"/>
        <v>25108891.099951997</v>
      </c>
      <c r="M803" s="32">
        <f t="shared" si="805"/>
        <v>38794789.828213871</v>
      </c>
      <c r="N803" s="32">
        <f t="shared" si="805"/>
        <v>14342284.305917561</v>
      </c>
      <c r="O803" s="32">
        <f t="shared" si="805"/>
        <v>5681511.7089785933</v>
      </c>
      <c r="P803" s="32">
        <f t="shared" si="805"/>
        <v>11570220.429647896</v>
      </c>
      <c r="Q803" s="32">
        <f t="shared" si="805"/>
        <v>23578.524032412664</v>
      </c>
      <c r="R803" s="32">
        <f t="shared" si="805"/>
        <v>47942.893230998525</v>
      </c>
      <c r="S803" s="32">
        <f t="shared" si="805"/>
        <v>17945.452182355111</v>
      </c>
      <c r="T803" s="32">
        <f t="shared" si="805"/>
        <v>9507.1626842059413</v>
      </c>
      <c r="U803" s="32">
        <f t="shared" si="805"/>
        <v>89861.579545214423</v>
      </c>
      <c r="V803" s="32">
        <f t="shared" si="805"/>
        <v>0</v>
      </c>
      <c r="W803" s="32">
        <f t="shared" ref="W803" si="806">SUM(G803:V803)</f>
        <v>309855109.64316672</v>
      </c>
      <c r="X803" s="30" t="str">
        <f t="shared" ref="X803" si="807">IF(ABS(F803-W803)&lt;0.01,"ok","err")</f>
        <v>ok</v>
      </c>
      <c r="Y803" s="34" t="str">
        <f t="shared" ref="Y803" si="808">IF(X803="err",W803-F803,"")</f>
        <v/>
      </c>
    </row>
    <row r="804" spans="1:25" ht="12" customHeight="1" x14ac:dyDescent="0.25">
      <c r="W804" s="34"/>
    </row>
    <row r="805" spans="1:25" ht="12" customHeight="1" x14ac:dyDescent="0.25">
      <c r="A805" s="93" t="s">
        <v>386</v>
      </c>
      <c r="F805" s="34">
        <f t="shared" ref="F805:V805" si="809">F755</f>
        <v>4045218982.2825289</v>
      </c>
      <c r="G805" s="34">
        <f t="shared" si="809"/>
        <v>1913829757.74629</v>
      </c>
      <c r="H805" s="34">
        <f t="shared" si="809"/>
        <v>467548043.95758653</v>
      </c>
      <c r="I805" s="34">
        <f t="shared" si="809"/>
        <v>28196993.42654264</v>
      </c>
      <c r="J805" s="34">
        <f t="shared" si="809"/>
        <v>349060438.26951933</v>
      </c>
      <c r="K805" s="34">
        <f t="shared" si="809"/>
        <v>23535963.346838195</v>
      </c>
      <c r="L805" s="34">
        <f t="shared" si="809"/>
        <v>306358758.4514882</v>
      </c>
      <c r="M805" s="34">
        <f t="shared" si="809"/>
        <v>598196354.09069657</v>
      </c>
      <c r="N805" s="34">
        <f t="shared" si="809"/>
        <v>179279650.94574383</v>
      </c>
      <c r="O805" s="34">
        <f t="shared" si="809"/>
        <v>81805214.326673463</v>
      </c>
      <c r="P805" s="34">
        <f t="shared" si="809"/>
        <v>95549460.244665146</v>
      </c>
      <c r="Q805" s="34">
        <f t="shared" si="809"/>
        <v>110709.73647517695</v>
      </c>
      <c r="R805" s="34">
        <f t="shared" si="809"/>
        <v>291865.82501450198</v>
      </c>
      <c r="S805" s="34">
        <f t="shared" si="809"/>
        <v>158532.87499419737</v>
      </c>
      <c r="T805" s="34">
        <f t="shared" si="809"/>
        <v>124111.54000000001</v>
      </c>
      <c r="U805" s="34">
        <f t="shared" si="809"/>
        <v>1173127.4999999998</v>
      </c>
      <c r="V805" s="34">
        <f t="shared" si="809"/>
        <v>0</v>
      </c>
      <c r="W805" s="32">
        <f t="shared" ref="W805" si="810">SUM(G805:V805)</f>
        <v>4045218982.2825279</v>
      </c>
      <c r="X805" s="30" t="str">
        <f t="shared" ref="X805" si="811">IF(ABS(F805-W805)&lt;0.01,"ok","err")</f>
        <v>ok</v>
      </c>
      <c r="Y805" s="34" t="str">
        <f t="shared" ref="Y805" si="812">IF(X805="err",W805-F805,"")</f>
        <v/>
      </c>
    </row>
    <row r="806" spans="1:25" ht="12" customHeight="1" thickBot="1" x14ac:dyDescent="0.3"/>
    <row r="807" spans="1:25" ht="12" customHeight="1" thickBot="1" x14ac:dyDescent="0.3">
      <c r="A807" s="185" t="s">
        <v>407</v>
      </c>
      <c r="B807" s="186"/>
      <c r="C807" s="186"/>
      <c r="D807" s="186"/>
      <c r="E807" s="186"/>
      <c r="F807" s="187">
        <f t="shared" ref="F807:P807" si="813">F803/F805</f>
        <v>7.6597858113562484E-2</v>
      </c>
      <c r="G807" s="187">
        <f t="shared" si="813"/>
        <v>4.987857863760458E-2</v>
      </c>
      <c r="H807" s="187">
        <f t="shared" si="813"/>
        <v>0.13798863623834634</v>
      </c>
      <c r="I807" s="187">
        <f>I803/I805</f>
        <v>8.9433691636430251E-2</v>
      </c>
      <c r="J807" s="187">
        <f t="shared" si="813"/>
        <v>0.13586057197658993</v>
      </c>
      <c r="K807" s="187">
        <f>K803/K805</f>
        <v>0.18048292950467004</v>
      </c>
      <c r="L807" s="187">
        <f t="shared" si="813"/>
        <v>8.1959109727649526E-2</v>
      </c>
      <c r="M807" s="187">
        <f t="shared" si="813"/>
        <v>6.4852935934698014E-2</v>
      </c>
      <c r="N807" s="187">
        <f t="shared" si="813"/>
        <v>7.9999510431097542E-2</v>
      </c>
      <c r="O807" s="187">
        <f t="shared" si="813"/>
        <v>6.945170617475023E-2</v>
      </c>
      <c r="P807" s="187">
        <f t="shared" si="813"/>
        <v>0.12109142636725571</v>
      </c>
      <c r="Q807" s="187">
        <f>Q803/Q805</f>
        <v>0.21297606500670679</v>
      </c>
      <c r="R807" s="187">
        <f>R803/R805</f>
        <v>0.16426347013603385</v>
      </c>
      <c r="S807" s="187">
        <f>S803/S805</f>
        <v>0.11319703993895243</v>
      </c>
      <c r="T807" s="187">
        <f t="shared" ref="T807:U807" si="814">T803/T805</f>
        <v>7.660176228742259E-2</v>
      </c>
      <c r="U807" s="187">
        <f t="shared" si="814"/>
        <v>7.6600011120031231E-2</v>
      </c>
      <c r="V807" s="182"/>
      <c r="X807" s="182"/>
    </row>
    <row r="808" spans="1:25" ht="12" customHeight="1" x14ac:dyDescent="0.25">
      <c r="L808" s="44"/>
      <c r="M808" s="44"/>
      <c r="N808" s="44"/>
      <c r="R808" s="81"/>
    </row>
    <row r="809" spans="1:25" ht="12" customHeight="1" x14ac:dyDescent="0.25">
      <c r="A809" s="60"/>
      <c r="S809" s="59"/>
    </row>
    <row r="810" spans="1:25" ht="12" customHeight="1" x14ac:dyDescent="0.25">
      <c r="A810" s="60"/>
      <c r="F810" s="34"/>
      <c r="S810" s="59"/>
    </row>
    <row r="811" spans="1:25" ht="12" customHeight="1" x14ac:dyDescent="0.25">
      <c r="R811" s="81"/>
      <c r="S811" s="82"/>
    </row>
    <row r="812" spans="1:25" ht="12" customHeight="1" x14ac:dyDescent="0.25">
      <c r="A812" s="3" t="s">
        <v>482</v>
      </c>
    </row>
    <row r="814" spans="1:25" ht="12" customHeight="1" x14ac:dyDescent="0.25">
      <c r="A814" s="3" t="s">
        <v>410</v>
      </c>
    </row>
    <row r="815" spans="1:25" ht="12" customHeight="1" x14ac:dyDescent="0.25">
      <c r="A815" s="29" t="s">
        <v>411</v>
      </c>
      <c r="D815" s="29" t="s">
        <v>376</v>
      </c>
      <c r="E815" s="29" t="s">
        <v>104</v>
      </c>
      <c r="F815" s="50">
        <v>1</v>
      </c>
      <c r="G815" s="50">
        <f t="shared" ref="G815:V815" si="815">IF(VLOOKUP($E815,$D$5:$AJ$990,3,)=0,0,(VLOOKUP($E815,$D$5:$AJ$990,G$1,)/VLOOKUP($E815,$D$5:$AJ$990,3,))*$F815)</f>
        <v>0.33731992190583671</v>
      </c>
      <c r="H815" s="50">
        <f t="shared" si="815"/>
        <v>9.8407727011230919E-2</v>
      </c>
      <c r="I815" s="50">
        <f t="shared" si="815"/>
        <v>7.4760517020812664E-3</v>
      </c>
      <c r="J815" s="50">
        <f t="shared" si="815"/>
        <v>0.10228742449180793</v>
      </c>
      <c r="K815" s="50">
        <f t="shared" si="815"/>
        <v>7.9571749589310778E-3</v>
      </c>
      <c r="L815" s="50">
        <f t="shared" si="815"/>
        <v>0.10394737493387803</v>
      </c>
      <c r="M815" s="50">
        <f t="shared" si="815"/>
        <v>0.22229660765974113</v>
      </c>
      <c r="N815" s="50">
        <f t="shared" si="815"/>
        <v>7.9544167493396448E-2</v>
      </c>
      <c r="O815" s="50">
        <f t="shared" si="815"/>
        <v>3.3623016060700749E-2</v>
      </c>
      <c r="P815" s="50">
        <f t="shared" si="815"/>
        <v>6.9554315794618567E-3</v>
      </c>
      <c r="Q815" s="50">
        <f t="shared" si="815"/>
        <v>7.515167839675316E-5</v>
      </c>
      <c r="R815" s="50">
        <f t="shared" si="815"/>
        <v>8.8761653009158993E-5</v>
      </c>
      <c r="S815" s="50">
        <f t="shared" si="815"/>
        <v>2.1188871527741896E-5</v>
      </c>
      <c r="T815" s="50">
        <f t="shared" si="815"/>
        <v>0</v>
      </c>
      <c r="U815" s="50">
        <f t="shared" si="815"/>
        <v>0</v>
      </c>
      <c r="V815" s="50">
        <f t="shared" si="815"/>
        <v>0</v>
      </c>
      <c r="W815" s="50">
        <f t="shared" ref="W815" si="816">SUM(G815:V815)</f>
        <v>0.99999999999999978</v>
      </c>
      <c r="X815" s="30" t="str">
        <f t="shared" ref="X815" si="817">IF(ABS(F815-W815)&lt;0.01,"ok","err")</f>
        <v>ok</v>
      </c>
      <c r="Y815" s="34" t="str">
        <f t="shared" ref="Y815" si="818">IF(X815="err",W815-F815,"")</f>
        <v/>
      </c>
    </row>
    <row r="817" spans="1:25" ht="12" customHeight="1" x14ac:dyDescent="0.25">
      <c r="A817" s="3" t="s">
        <v>412</v>
      </c>
    </row>
    <row r="818" spans="1:25" ht="12" customHeight="1" x14ac:dyDescent="0.25">
      <c r="A818" s="29" t="s">
        <v>420</v>
      </c>
      <c r="D818" s="29" t="s">
        <v>791</v>
      </c>
      <c r="E818" s="29" t="s">
        <v>872</v>
      </c>
      <c r="F818" s="46">
        <v>1</v>
      </c>
      <c r="G818" s="49">
        <f t="shared" ref="G818:V818" si="819">IF(VLOOKUP($E818,$D$5:$AJ$990,3,)=0,0,(VLOOKUP($E818,$D$5:$AJ$990,G$1,)/VLOOKUP($E818,$D$5:$AJ$990,3,))*$F818)</f>
        <v>0.79872730134444125</v>
      </c>
      <c r="H818" s="49">
        <f t="shared" si="819"/>
        <v>0.15453753491044989</v>
      </c>
      <c r="I818" s="49">
        <f t="shared" si="819"/>
        <v>1.021233606272351E-3</v>
      </c>
      <c r="J818" s="49">
        <f t="shared" si="819"/>
        <v>8.1808498566978641E-3</v>
      </c>
      <c r="K818" s="49">
        <f t="shared" si="819"/>
        <v>3.7701455715430875E-4</v>
      </c>
      <c r="L818" s="49">
        <f t="shared" si="819"/>
        <v>1.3543241373504295E-3</v>
      </c>
      <c r="M818" s="49">
        <f t="shared" si="819"/>
        <v>4.7401344807265034E-4</v>
      </c>
      <c r="N818" s="49">
        <f t="shared" si="819"/>
        <v>0</v>
      </c>
      <c r="O818" s="49">
        <f t="shared" si="819"/>
        <v>0</v>
      </c>
      <c r="P818" s="49">
        <f t="shared" si="819"/>
        <v>3.5155692370762708E-2</v>
      </c>
      <c r="Q818" s="49">
        <f t="shared" si="819"/>
        <v>5.4905032595287682E-6</v>
      </c>
      <c r="R818" s="49">
        <f t="shared" si="819"/>
        <v>1.5556425901998178E-4</v>
      </c>
      <c r="S818" s="49">
        <f t="shared" si="819"/>
        <v>1.0981006519057536E-5</v>
      </c>
      <c r="T818" s="49">
        <f t="shared" si="819"/>
        <v>0</v>
      </c>
      <c r="U818" s="49">
        <f t="shared" si="819"/>
        <v>0</v>
      </c>
      <c r="V818" s="49">
        <f t="shared" si="819"/>
        <v>0</v>
      </c>
      <c r="W818" s="46">
        <f t="shared" ref="W818:W823" si="820">SUM(G818:V818)</f>
        <v>1</v>
      </c>
      <c r="X818" s="30" t="str">
        <f t="shared" ref="X818:X823" si="821">IF(ABS(F818-W818)&lt;0.01,"ok","err")</f>
        <v>ok</v>
      </c>
      <c r="Y818" s="34" t="str">
        <f t="shared" ref="Y818:Y823" si="822">IF(X818="err",W818-F818,"")</f>
        <v/>
      </c>
    </row>
    <row r="819" spans="1:25" ht="12" customHeight="1" x14ac:dyDescent="0.25">
      <c r="A819" s="29" t="s">
        <v>1437</v>
      </c>
      <c r="D819" s="29" t="s">
        <v>379</v>
      </c>
      <c r="F819" s="46">
        <v>1</v>
      </c>
      <c r="G819" s="50">
        <v>0.70169272693198992</v>
      </c>
      <c r="H819" s="50">
        <v>0.27518659925861694</v>
      </c>
      <c r="I819" s="50">
        <v>2.3613541389336623E-3</v>
      </c>
      <c r="J819" s="50">
        <v>1.7603438912896594E-2</v>
      </c>
      <c r="K819" s="50">
        <v>0</v>
      </c>
      <c r="L819" s="50">
        <v>3.1322502183406195E-3</v>
      </c>
      <c r="M819" s="50">
        <v>0</v>
      </c>
      <c r="N819" s="50">
        <v>0</v>
      </c>
      <c r="O819" s="50">
        <v>0</v>
      </c>
      <c r="P819" s="50">
        <v>0</v>
      </c>
      <c r="Q819" s="50">
        <v>0</v>
      </c>
      <c r="R819" s="50">
        <v>0</v>
      </c>
      <c r="S819" s="50">
        <v>2.3630539222323709E-5</v>
      </c>
      <c r="T819" s="50">
        <v>0</v>
      </c>
      <c r="U819" s="50">
        <v>0</v>
      </c>
      <c r="V819" s="50">
        <v>0</v>
      </c>
      <c r="W819" s="46">
        <f t="shared" si="820"/>
        <v>1</v>
      </c>
      <c r="X819" s="30" t="str">
        <f t="shared" si="821"/>
        <v>ok</v>
      </c>
      <c r="Y819" s="34" t="str">
        <f t="shared" si="822"/>
        <v/>
      </c>
    </row>
    <row r="820" spans="1:25" ht="12" customHeight="1" x14ac:dyDescent="0.25">
      <c r="A820" s="29" t="s">
        <v>421</v>
      </c>
      <c r="D820" s="29" t="s">
        <v>380</v>
      </c>
      <c r="F820" s="46">
        <v>1</v>
      </c>
      <c r="G820" s="50">
        <v>0.61579357484938146</v>
      </c>
      <c r="H820" s="50">
        <v>0.23689349630218326</v>
      </c>
      <c r="I820" s="50">
        <v>5.2037099271930896E-3</v>
      </c>
      <c r="J820" s="50">
        <v>6.6832256078682678E-2</v>
      </c>
      <c r="K820" s="50">
        <v>1.5717670915976721E-2</v>
      </c>
      <c r="L820" s="50">
        <v>1.2984557724076586E-2</v>
      </c>
      <c r="M820" s="50">
        <v>2.7951895309238698E-2</v>
      </c>
      <c r="N820" s="50">
        <v>1.657242185920452E-2</v>
      </c>
      <c r="O820" s="50">
        <v>8.3754551553800224E-4</v>
      </c>
      <c r="P820" s="50">
        <v>0</v>
      </c>
      <c r="Q820" s="50">
        <v>4.3741042922219761E-5</v>
      </c>
      <c r="R820" s="50">
        <v>1.0794160592096167E-3</v>
      </c>
      <c r="S820" s="50">
        <v>8.9714416393190261E-5</v>
      </c>
      <c r="T820" s="50">
        <v>0</v>
      </c>
      <c r="U820" s="50">
        <v>0</v>
      </c>
      <c r="V820" s="50">
        <v>0</v>
      </c>
      <c r="W820" s="46">
        <f t="shared" si="820"/>
        <v>1.0000000000000002</v>
      </c>
      <c r="X820" s="30" t="str">
        <f t="shared" si="821"/>
        <v>ok</v>
      </c>
      <c r="Y820" s="34" t="str">
        <f t="shared" si="822"/>
        <v/>
      </c>
    </row>
    <row r="821" spans="1:25" ht="12" customHeight="1" x14ac:dyDescent="0.25">
      <c r="A821" s="29" t="s">
        <v>422</v>
      </c>
      <c r="D821" s="29" t="s">
        <v>381</v>
      </c>
      <c r="E821" s="29" t="s">
        <v>481</v>
      </c>
      <c r="F821" s="46">
        <v>1</v>
      </c>
      <c r="G821" s="49">
        <f t="shared" ref="G821:P822" si="823">IF(VLOOKUP($E821,$D$5:$AJ$990,3,)=0,0,(VLOOKUP($E821,$D$5:$AJ$990,G$1,)/VLOOKUP($E821,$D$5:$AJ$990,3,))*$F821)</f>
        <v>0</v>
      </c>
      <c r="H821" s="49">
        <f t="shared" si="823"/>
        <v>0</v>
      </c>
      <c r="I821" s="49">
        <f t="shared" si="823"/>
        <v>0</v>
      </c>
      <c r="J821" s="49">
        <f t="shared" si="823"/>
        <v>0</v>
      </c>
      <c r="K821" s="49">
        <f t="shared" si="823"/>
        <v>0</v>
      </c>
      <c r="L821" s="49">
        <f t="shared" si="823"/>
        <v>0</v>
      </c>
      <c r="M821" s="49">
        <f t="shared" si="823"/>
        <v>0</v>
      </c>
      <c r="N821" s="49">
        <f t="shared" si="823"/>
        <v>0</v>
      </c>
      <c r="O821" s="49">
        <f t="shared" si="823"/>
        <v>0</v>
      </c>
      <c r="P821" s="49">
        <f t="shared" si="823"/>
        <v>1</v>
      </c>
      <c r="Q821" s="49">
        <v>0</v>
      </c>
      <c r="R821" s="49">
        <v>0</v>
      </c>
      <c r="S821" s="49">
        <f t="shared" ref="S821:V822" si="824">IF(VLOOKUP($E821,$D$5:$AJ$990,3,)=0,0,(VLOOKUP($E821,$D$5:$AJ$990,S$1,)/VLOOKUP($E821,$D$5:$AJ$990,3,))*$F821)</f>
        <v>0</v>
      </c>
      <c r="T821" s="49">
        <f t="shared" si="824"/>
        <v>0</v>
      </c>
      <c r="U821" s="49">
        <f t="shared" si="824"/>
        <v>0</v>
      </c>
      <c r="V821" s="49">
        <f t="shared" si="824"/>
        <v>0</v>
      </c>
      <c r="W821" s="46">
        <f t="shared" si="820"/>
        <v>1</v>
      </c>
      <c r="X821" s="30" t="str">
        <f t="shared" si="821"/>
        <v>ok</v>
      </c>
      <c r="Y821" s="34" t="str">
        <f t="shared" si="822"/>
        <v/>
      </c>
    </row>
    <row r="822" spans="1:25" ht="12" customHeight="1" x14ac:dyDescent="0.25">
      <c r="A822" s="29" t="s">
        <v>423</v>
      </c>
      <c r="D822" s="29" t="s">
        <v>382</v>
      </c>
      <c r="E822" s="29" t="s">
        <v>820</v>
      </c>
      <c r="F822" s="46">
        <v>1</v>
      </c>
      <c r="G822" s="49">
        <f t="shared" si="823"/>
        <v>0.64251852811532928</v>
      </c>
      <c r="H822" s="49">
        <f t="shared" si="823"/>
        <v>0.24862861029565483</v>
      </c>
      <c r="I822" s="49">
        <f t="shared" si="823"/>
        <v>8.2150880840000124E-3</v>
      </c>
      <c r="J822" s="49">
        <f t="shared" si="823"/>
        <v>3.2904519476236606E-2</v>
      </c>
      <c r="K822" s="49">
        <f t="shared" si="823"/>
        <v>1.5164051481218659E-3</v>
      </c>
      <c r="L822" s="49">
        <f t="shared" si="823"/>
        <v>2.7236403145878177E-2</v>
      </c>
      <c r="M822" s="49">
        <f t="shared" si="823"/>
        <v>9.5327411010573612E-3</v>
      </c>
      <c r="N822" s="49">
        <f t="shared" si="823"/>
        <v>9.2014875492831677E-4</v>
      </c>
      <c r="O822" s="49">
        <f t="shared" si="823"/>
        <v>7.3611900394265342E-5</v>
      </c>
      <c r="P822" s="49">
        <f t="shared" si="823"/>
        <v>2.8280219893468857E-2</v>
      </c>
      <c r="Q822" s="49">
        <f>IF(VLOOKUP($E822,$D$5:$AJ$990,3,)=0,0,(VLOOKUP($E822,$D$5:$AJ$990,Q$1,)/VLOOKUP($E822,$D$5:$AJ$990,3,))*$F822)</f>
        <v>4.4167140236559204E-6</v>
      </c>
      <c r="R822" s="49">
        <f>IF(VLOOKUP($E822,$D$5:$AJ$990,3,)=0,0,(VLOOKUP($E822,$D$5:$AJ$990,R$1,)/VLOOKUP($E822,$D$5:$AJ$990,3,))*$F822)</f>
        <v>1.2514023067025109E-4</v>
      </c>
      <c r="S822" s="49">
        <f t="shared" si="824"/>
        <v>4.4167140236559201E-5</v>
      </c>
      <c r="T822" s="49">
        <f t="shared" si="824"/>
        <v>0</v>
      </c>
      <c r="U822" s="49">
        <f t="shared" si="824"/>
        <v>0</v>
      </c>
      <c r="V822" s="49">
        <f t="shared" si="824"/>
        <v>0</v>
      </c>
      <c r="W822" s="46">
        <f t="shared" si="820"/>
        <v>1</v>
      </c>
      <c r="X822" s="30" t="str">
        <f t="shared" si="821"/>
        <v>ok</v>
      </c>
      <c r="Y822" s="34" t="str">
        <f t="shared" si="822"/>
        <v/>
      </c>
    </row>
    <row r="823" spans="1:25" ht="12" customHeight="1" x14ac:dyDescent="0.25">
      <c r="A823" s="29" t="s">
        <v>898</v>
      </c>
      <c r="D823" s="29" t="s">
        <v>383</v>
      </c>
      <c r="E823" s="29" t="s">
        <v>821</v>
      </c>
      <c r="F823" s="46">
        <v>1</v>
      </c>
      <c r="G823" s="49">
        <f t="shared" ref="G823:V823" si="825">IF(VLOOKUP($E823,$D$5:$AJ$990,3,)=0,0,ROUND((VLOOKUP($E823,$D$5:$AJ$990,G$1,)/VLOOKUP($E823,$D$5:$AJ$990,3,))*$F823,10))</f>
        <v>0.79868929619999995</v>
      </c>
      <c r="H823" s="49">
        <f t="shared" si="825"/>
        <v>0.15453018169999999</v>
      </c>
      <c r="I823" s="49">
        <f t="shared" si="825"/>
        <v>1.021185E-3</v>
      </c>
      <c r="J823" s="49">
        <f t="shared" si="825"/>
        <v>8.1804605999999998E-3</v>
      </c>
      <c r="K823" s="49">
        <f t="shared" si="825"/>
        <v>3.7699659999999998E-4</v>
      </c>
      <c r="L823" s="49">
        <f t="shared" si="825"/>
        <v>1.3542597E-3</v>
      </c>
      <c r="M823" s="49">
        <f t="shared" si="825"/>
        <v>4.7399090000000002E-4</v>
      </c>
      <c r="N823" s="49">
        <f t="shared" si="825"/>
        <v>4.5751999999999998E-5</v>
      </c>
      <c r="O823" s="49">
        <f t="shared" si="825"/>
        <v>1.8301000000000001E-6</v>
      </c>
      <c r="P823" s="49">
        <f t="shared" si="825"/>
        <v>3.5154019600000003E-2</v>
      </c>
      <c r="Q823" s="49">
        <f t="shared" si="825"/>
        <v>5.4902000000000004E-6</v>
      </c>
      <c r="R823" s="49">
        <f t="shared" si="825"/>
        <v>1.5555690000000001E-4</v>
      </c>
      <c r="S823" s="49">
        <f t="shared" si="825"/>
        <v>1.0980499999999999E-5</v>
      </c>
      <c r="T823" s="49">
        <f t="shared" si="825"/>
        <v>0</v>
      </c>
      <c r="U823" s="49">
        <f t="shared" si="825"/>
        <v>0</v>
      </c>
      <c r="V823" s="49">
        <f t="shared" si="825"/>
        <v>0</v>
      </c>
      <c r="W823" s="46">
        <f t="shared" si="820"/>
        <v>1</v>
      </c>
      <c r="X823" s="30" t="str">
        <f t="shared" si="821"/>
        <v>ok</v>
      </c>
      <c r="Y823" s="34" t="str">
        <f t="shared" si="822"/>
        <v/>
      </c>
    </row>
    <row r="824" spans="1:25" ht="12" customHeight="1" x14ac:dyDescent="0.25">
      <c r="F824" s="46"/>
      <c r="G824" s="49"/>
      <c r="H824" s="49"/>
      <c r="I824" s="49"/>
      <c r="J824" s="49"/>
      <c r="K824" s="49"/>
      <c r="L824" s="49"/>
      <c r="M824" s="49"/>
      <c r="N824" s="49"/>
      <c r="O824" s="49"/>
      <c r="P824" s="49"/>
      <c r="Q824" s="49"/>
      <c r="R824" s="49"/>
      <c r="S824" s="49"/>
      <c r="T824" s="49"/>
      <c r="U824" s="49"/>
      <c r="V824" s="49"/>
      <c r="X824" s="30"/>
    </row>
    <row r="825" spans="1:25" ht="12" customHeight="1" x14ac:dyDescent="0.25">
      <c r="A825" s="29" t="s">
        <v>333</v>
      </c>
      <c r="D825" s="29" t="s">
        <v>479</v>
      </c>
      <c r="F825" s="33">
        <v>1421546812.3251231</v>
      </c>
      <c r="G825" s="33">
        <v>548415755.63999999</v>
      </c>
      <c r="H825" s="33">
        <v>195335990.06999999</v>
      </c>
      <c r="I825" s="33">
        <v>10580354.35</v>
      </c>
      <c r="J825" s="33">
        <v>153184602.70000002</v>
      </c>
      <c r="K825" s="33">
        <v>12152454.16</v>
      </c>
      <c r="L825" s="33">
        <v>123859983.27000001</v>
      </c>
      <c r="M825" s="33">
        <v>238251994.34999999</v>
      </c>
      <c r="N825" s="33">
        <v>80897271.019999996</v>
      </c>
      <c r="O825" s="33">
        <v>31706991.170000002</v>
      </c>
      <c r="P825" s="33">
        <v>26808058.205123302</v>
      </c>
      <c r="Q825" s="33">
        <v>83913.11</v>
      </c>
      <c r="R825" s="33">
        <v>162373.04999999999</v>
      </c>
      <c r="S825" s="33">
        <v>51252</v>
      </c>
      <c r="T825" s="33">
        <v>2599.4699999999998</v>
      </c>
      <c r="U825" s="33">
        <v>53219.76</v>
      </c>
      <c r="V825" s="33">
        <v>0</v>
      </c>
      <c r="W825" s="37">
        <f t="shared" ref="W825:W827" si="826">SUM(G825:V825)</f>
        <v>1421546812.3251231</v>
      </c>
      <c r="X825" s="30" t="str">
        <f t="shared" ref="X825:X827" si="827">IF(ABS(F825-W825)&lt;0.01,"ok","err")</f>
        <v>ok</v>
      </c>
      <c r="Y825" s="34" t="str">
        <f t="shared" ref="Y825:Y827" si="828">IF(X825="err",W825-F825,"")</f>
        <v/>
      </c>
    </row>
    <row r="826" spans="1:25" ht="12" customHeight="1" x14ac:dyDescent="0.25">
      <c r="A826" s="29" t="s">
        <v>1764</v>
      </c>
      <c r="F826" s="33">
        <v>17880431062.135239</v>
      </c>
      <c r="G826" s="33">
        <v>5965245032.1352386</v>
      </c>
      <c r="H826" s="33">
        <v>1740265447</v>
      </c>
      <c r="I826" s="33">
        <v>132208261</v>
      </c>
      <c r="J826" s="33">
        <v>1808874932</v>
      </c>
      <c r="K826" s="33">
        <v>144252627</v>
      </c>
      <c r="L826" s="33">
        <v>1838229887</v>
      </c>
      <c r="M826" s="33">
        <v>4029931451</v>
      </c>
      <c r="N826" s="33">
        <v>1472660548</v>
      </c>
      <c r="O826" s="33">
        <v>622487994</v>
      </c>
      <c r="P826" s="33">
        <v>123001492</v>
      </c>
      <c r="Q826" s="33">
        <v>1329000</v>
      </c>
      <c r="R826" s="33">
        <v>1569682</v>
      </c>
      <c r="S826" s="33">
        <v>374709</v>
      </c>
      <c r="T826" s="33">
        <v>0</v>
      </c>
      <c r="U826" s="33">
        <v>0</v>
      </c>
      <c r="V826" s="33">
        <v>0</v>
      </c>
      <c r="W826" s="37">
        <f t="shared" si="826"/>
        <v>17880431062.135239</v>
      </c>
      <c r="X826" s="30" t="str">
        <f t="shared" si="827"/>
        <v>ok</v>
      </c>
      <c r="Y826" s="34" t="str">
        <f t="shared" si="828"/>
        <v/>
      </c>
    </row>
    <row r="827" spans="1:25" ht="12" customHeight="1" x14ac:dyDescent="0.25">
      <c r="A827" s="29" t="s">
        <v>1763</v>
      </c>
      <c r="D827" s="29" t="s">
        <v>104</v>
      </c>
      <c r="F827" s="48">
        <v>18934276729.253975</v>
      </c>
      <c r="G827" s="33">
        <f t="shared" ref="G827:L827" si="829">G826/0.93398</f>
        <v>6386908747.6554518</v>
      </c>
      <c r="H827" s="33">
        <f t="shared" si="829"/>
        <v>1863279135.5275273</v>
      </c>
      <c r="I827" s="33">
        <f t="shared" si="829"/>
        <v>141553631.7694169</v>
      </c>
      <c r="J827" s="33">
        <f t="shared" si="829"/>
        <v>1936738401.250562</v>
      </c>
      <c r="K827" s="33">
        <f>K826/0.95745</f>
        <v>150663352.65549114</v>
      </c>
      <c r="L827" s="33">
        <f t="shared" si="829"/>
        <v>1968168362.2775648</v>
      </c>
      <c r="M827" s="33">
        <f>M826/0.95745</f>
        <v>4209025485.4039373</v>
      </c>
      <c r="N827" s="33">
        <f>N826/0.97779</f>
        <v>1506111279.5180969</v>
      </c>
      <c r="O827" s="33">
        <f>O826/0.97779</f>
        <v>636627490.56545877</v>
      </c>
      <c r="P827" s="33">
        <f>P826/0.93398</f>
        <v>131696066.29692285</v>
      </c>
      <c r="Q827" s="33">
        <f>Q826/0.93398</f>
        <v>1422942.675432022</v>
      </c>
      <c r="R827" s="33">
        <f>R826/0.93398</f>
        <v>1680637.7010214352</v>
      </c>
      <c r="S827" s="33">
        <f>S826/0.93398</f>
        <v>401195.95708687551</v>
      </c>
      <c r="T827" s="33">
        <f t="shared" ref="T827:V827" si="830">T826/0.93398</f>
        <v>0</v>
      </c>
      <c r="U827" s="33">
        <f t="shared" si="830"/>
        <v>0</v>
      </c>
      <c r="V827" s="33">
        <f t="shared" si="830"/>
        <v>0</v>
      </c>
      <c r="W827" s="37">
        <f t="shared" si="826"/>
        <v>18934276729.253975</v>
      </c>
      <c r="X827" s="30" t="str">
        <f t="shared" si="827"/>
        <v>ok</v>
      </c>
      <c r="Y827" s="34" t="str">
        <f t="shared" si="828"/>
        <v/>
      </c>
    </row>
    <row r="828" spans="1:25" ht="12" customHeight="1" x14ac:dyDescent="0.25">
      <c r="F828" s="33"/>
      <c r="G828" s="33"/>
      <c r="H828" s="33"/>
      <c r="I828" s="33"/>
      <c r="J828" s="33"/>
      <c r="K828" s="33"/>
      <c r="L828" s="33"/>
      <c r="M828" s="33"/>
      <c r="N828" s="33"/>
      <c r="O828" s="33"/>
      <c r="P828" s="33"/>
      <c r="Q828" s="33"/>
      <c r="R828" s="33"/>
      <c r="S828" s="33"/>
      <c r="T828" s="33"/>
      <c r="U828" s="33"/>
      <c r="V828" s="48"/>
      <c r="X828" s="30"/>
    </row>
    <row r="829" spans="1:25" ht="12" customHeight="1" x14ac:dyDescent="0.25">
      <c r="A829" s="93" t="s">
        <v>531</v>
      </c>
      <c r="F829" s="33"/>
      <c r="G829" s="33"/>
      <c r="H829" s="33"/>
      <c r="I829" s="33"/>
      <c r="J829" s="33"/>
      <c r="K829" s="33"/>
      <c r="L829" s="33"/>
      <c r="M829" s="33"/>
      <c r="N829" s="33"/>
      <c r="O829" s="33"/>
      <c r="P829" s="33"/>
      <c r="Q829" s="33"/>
      <c r="R829" s="33"/>
      <c r="S829" s="33"/>
      <c r="T829" s="33"/>
      <c r="U829" s="33"/>
      <c r="V829" s="48"/>
      <c r="X829" s="30"/>
    </row>
    <row r="830" spans="1:25" ht="12" customHeight="1" x14ac:dyDescent="0.25">
      <c r="A830" s="29" t="s">
        <v>476</v>
      </c>
      <c r="F830" s="83">
        <v>8409641</v>
      </c>
      <c r="G830" s="33">
        <v>5237077</v>
      </c>
      <c r="H830" s="33">
        <v>1013270</v>
      </c>
      <c r="I830" s="33">
        <v>6696</v>
      </c>
      <c r="J830" s="33">
        <v>53636</v>
      </c>
      <c r="K830" s="33">
        <v>2472</v>
      </c>
      <c r="L830" s="33">
        <v>8882</v>
      </c>
      <c r="M830" s="33">
        <v>3112</v>
      </c>
      <c r="N830" s="33">
        <v>300</v>
      </c>
      <c r="O830" s="33">
        <v>12</v>
      </c>
      <c r="P830" s="33">
        <v>2074560</v>
      </c>
      <c r="Q830" s="33">
        <v>372</v>
      </c>
      <c r="R830" s="33">
        <v>9180</v>
      </c>
      <c r="S830" s="33">
        <v>72</v>
      </c>
      <c r="T830" s="33">
        <v>0</v>
      </c>
      <c r="U830" s="33">
        <v>0</v>
      </c>
      <c r="V830" s="33">
        <v>0</v>
      </c>
      <c r="W830" s="37">
        <f t="shared" ref="W830:W839" si="831">SUM(G830:V830)</f>
        <v>8409641</v>
      </c>
      <c r="X830" s="30" t="str">
        <f t="shared" ref="X830:X839" si="832">IF(ABS(F830-W830)&lt;0.01,"ok","err")</f>
        <v>ok</v>
      </c>
      <c r="Y830" s="34" t="str">
        <f t="shared" ref="Y830:Y839" si="833">IF(X830="err",W830-F830,"")</f>
        <v/>
      </c>
    </row>
    <row r="831" spans="1:25" ht="12" customHeight="1" x14ac:dyDescent="0.25">
      <c r="A831" s="29" t="s">
        <v>477</v>
      </c>
      <c r="F831" s="83">
        <v>700803</v>
      </c>
      <c r="G831" s="33">
        <f>ROUND(+G830/12,0)</f>
        <v>436423</v>
      </c>
      <c r="H831" s="33">
        <f t="shared" ref="H831:U831" si="834">ROUND(+H830/12,0)</f>
        <v>84439</v>
      </c>
      <c r="I831" s="33">
        <f>ROUND(+I830/12,0)</f>
        <v>558</v>
      </c>
      <c r="J831" s="33">
        <f t="shared" si="834"/>
        <v>4470</v>
      </c>
      <c r="K831" s="33">
        <f>ROUND(+K830/12,0)</f>
        <v>206</v>
      </c>
      <c r="L831" s="33">
        <f t="shared" si="834"/>
        <v>740</v>
      </c>
      <c r="M831" s="33">
        <f t="shared" si="834"/>
        <v>259</v>
      </c>
      <c r="N831" s="33">
        <f t="shared" si="834"/>
        <v>25</v>
      </c>
      <c r="O831" s="33">
        <f t="shared" si="834"/>
        <v>1</v>
      </c>
      <c r="P831" s="33">
        <f t="shared" si="834"/>
        <v>172880</v>
      </c>
      <c r="Q831" s="33">
        <f t="shared" si="834"/>
        <v>31</v>
      </c>
      <c r="R831" s="33">
        <f t="shared" si="834"/>
        <v>765</v>
      </c>
      <c r="S831" s="33">
        <f t="shared" si="834"/>
        <v>6</v>
      </c>
      <c r="T831" s="33">
        <f t="shared" si="834"/>
        <v>0</v>
      </c>
      <c r="U831" s="33">
        <f t="shared" si="834"/>
        <v>0</v>
      </c>
      <c r="V831" s="33">
        <v>0</v>
      </c>
      <c r="W831" s="37">
        <f t="shared" si="831"/>
        <v>700803</v>
      </c>
      <c r="X831" s="30" t="str">
        <f t="shared" si="832"/>
        <v>ok</v>
      </c>
      <c r="Y831" s="34" t="str">
        <f t="shared" si="833"/>
        <v/>
      </c>
    </row>
    <row r="832" spans="1:25" ht="12" customHeight="1" x14ac:dyDescent="0.25">
      <c r="A832" s="29" t="s">
        <v>478</v>
      </c>
      <c r="F832" s="33">
        <v>700803</v>
      </c>
      <c r="G832" s="33">
        <f t="shared" ref="G832:U832" si="835">G831</f>
        <v>436423</v>
      </c>
      <c r="H832" s="33">
        <f t="shared" si="835"/>
        <v>84439</v>
      </c>
      <c r="I832" s="33">
        <f>I831</f>
        <v>558</v>
      </c>
      <c r="J832" s="33">
        <f>J831</f>
        <v>4470</v>
      </c>
      <c r="K832" s="33">
        <f>K831</f>
        <v>206</v>
      </c>
      <c r="L832" s="33">
        <f t="shared" si="835"/>
        <v>740</v>
      </c>
      <c r="M832" s="33">
        <f t="shared" si="835"/>
        <v>259</v>
      </c>
      <c r="N832" s="33">
        <f t="shared" si="835"/>
        <v>25</v>
      </c>
      <c r="O832" s="33">
        <f t="shared" si="835"/>
        <v>1</v>
      </c>
      <c r="P832" s="33">
        <f>P831</f>
        <v>172880</v>
      </c>
      <c r="Q832" s="33">
        <f t="shared" si="835"/>
        <v>31</v>
      </c>
      <c r="R832" s="33">
        <f t="shared" si="835"/>
        <v>765</v>
      </c>
      <c r="S832" s="33">
        <f t="shared" si="835"/>
        <v>6</v>
      </c>
      <c r="T832" s="33">
        <f t="shared" si="835"/>
        <v>0</v>
      </c>
      <c r="U832" s="33">
        <f t="shared" si="835"/>
        <v>0</v>
      </c>
      <c r="V832" s="33">
        <v>0</v>
      </c>
      <c r="W832" s="37">
        <f t="shared" si="831"/>
        <v>700803</v>
      </c>
      <c r="X832" s="30" t="str">
        <f t="shared" si="832"/>
        <v>ok</v>
      </c>
      <c r="Y832" s="34" t="str">
        <f t="shared" si="833"/>
        <v/>
      </c>
    </row>
    <row r="833" spans="1:25" ht="12" customHeight="1" x14ac:dyDescent="0.25">
      <c r="A833" s="29" t="s">
        <v>738</v>
      </c>
      <c r="D833" s="29" t="s">
        <v>820</v>
      </c>
      <c r="F833" s="33">
        <v>679238</v>
      </c>
      <c r="G833" s="33">
        <f>ROUND(G832,0)</f>
        <v>436423</v>
      </c>
      <c r="H833" s="33">
        <f>ROUND(H832*2,0)</f>
        <v>168878</v>
      </c>
      <c r="I833" s="33">
        <f>ROUND(I832*10,0)</f>
        <v>5580</v>
      </c>
      <c r="J833" s="33">
        <f>ROUND(J832*5,0)</f>
        <v>22350</v>
      </c>
      <c r="K833" s="33">
        <f>ROUND(K832*5,0)</f>
        <v>1030</v>
      </c>
      <c r="L833" s="33">
        <f>ROUND(L832*25,0)</f>
        <v>18500</v>
      </c>
      <c r="M833" s="33">
        <f>ROUND(M832*25,0)</f>
        <v>6475</v>
      </c>
      <c r="N833" s="33">
        <f>ROUND(N832*25,0)</f>
        <v>625</v>
      </c>
      <c r="O833" s="33">
        <f>ROUND(O832*50,0)</f>
        <v>50</v>
      </c>
      <c r="P833" s="33">
        <f>ROUND(P832*1/9,0)</f>
        <v>19209</v>
      </c>
      <c r="Q833" s="33">
        <f>ROUND(Q832*1/9,0)</f>
        <v>3</v>
      </c>
      <c r="R833" s="33">
        <f>ROUND(R832*1/9,0)</f>
        <v>85</v>
      </c>
      <c r="S833" s="33">
        <f>ROUND(S832*5,0)</f>
        <v>30</v>
      </c>
      <c r="T833" s="33">
        <f>ROUND(T832*2,0)</f>
        <v>0</v>
      </c>
      <c r="U833" s="33">
        <f>ROUND(U832,0)</f>
        <v>0</v>
      </c>
      <c r="V833" s="33">
        <v>0</v>
      </c>
      <c r="W833" s="37">
        <f t="shared" si="831"/>
        <v>679238</v>
      </c>
      <c r="X833" s="30" t="str">
        <f t="shared" si="832"/>
        <v>ok</v>
      </c>
      <c r="Y833" s="34" t="str">
        <f t="shared" si="833"/>
        <v/>
      </c>
    </row>
    <row r="834" spans="1:25" ht="12" customHeight="1" x14ac:dyDescent="0.25">
      <c r="A834" s="29" t="s">
        <v>371</v>
      </c>
      <c r="D834" s="29" t="s">
        <v>481</v>
      </c>
      <c r="F834" s="33">
        <f>'WSS-26'!F43</f>
        <v>127240903.38000001</v>
      </c>
      <c r="G834" s="37">
        <v>0</v>
      </c>
      <c r="H834" s="37">
        <v>0</v>
      </c>
      <c r="I834" s="37">
        <v>0</v>
      </c>
      <c r="J834" s="37">
        <v>0</v>
      </c>
      <c r="K834" s="37">
        <v>0</v>
      </c>
      <c r="L834" s="37">
        <v>0</v>
      </c>
      <c r="M834" s="37">
        <v>0</v>
      </c>
      <c r="N834" s="33">
        <v>0</v>
      </c>
      <c r="O834" s="37">
        <v>0</v>
      </c>
      <c r="P834" s="37">
        <f>F834</f>
        <v>127240903.38000001</v>
      </c>
      <c r="Q834" s="37">
        <v>0</v>
      </c>
      <c r="R834" s="37">
        <v>0</v>
      </c>
      <c r="S834" s="37">
        <v>0</v>
      </c>
      <c r="T834" s="37">
        <v>0</v>
      </c>
      <c r="U834" s="37"/>
      <c r="V834" s="33">
        <v>0</v>
      </c>
      <c r="W834" s="37">
        <f t="shared" si="831"/>
        <v>127240903.38000001</v>
      </c>
      <c r="X834" s="30" t="str">
        <f t="shared" si="832"/>
        <v>ok</v>
      </c>
      <c r="Y834" s="34" t="str">
        <f t="shared" si="833"/>
        <v/>
      </c>
    </row>
    <row r="835" spans="1:25" ht="12" customHeight="1" x14ac:dyDescent="0.25">
      <c r="A835" s="29" t="s">
        <v>819</v>
      </c>
      <c r="D835" s="29" t="s">
        <v>480</v>
      </c>
      <c r="F835" s="33">
        <v>700803</v>
      </c>
      <c r="G835" s="33">
        <f>G832</f>
        <v>436423</v>
      </c>
      <c r="H835" s="33">
        <f t="shared" ref="H835:U835" si="836">H832</f>
        <v>84439</v>
      </c>
      <c r="I835" s="33">
        <f>I832</f>
        <v>558</v>
      </c>
      <c r="J835" s="33">
        <f>J832</f>
        <v>4470</v>
      </c>
      <c r="K835" s="33">
        <f>K832</f>
        <v>206</v>
      </c>
      <c r="L835" s="33">
        <f t="shared" si="836"/>
        <v>740</v>
      </c>
      <c r="M835" s="33">
        <f t="shared" si="836"/>
        <v>259</v>
      </c>
      <c r="N835" s="33">
        <f t="shared" si="836"/>
        <v>25</v>
      </c>
      <c r="O835" s="33">
        <f>O832</f>
        <v>1</v>
      </c>
      <c r="P835" s="33">
        <f>P832</f>
        <v>172880</v>
      </c>
      <c r="Q835" s="33">
        <f t="shared" si="836"/>
        <v>31</v>
      </c>
      <c r="R835" s="33">
        <f t="shared" si="836"/>
        <v>765</v>
      </c>
      <c r="S835" s="33">
        <f t="shared" si="836"/>
        <v>6</v>
      </c>
      <c r="T835" s="33">
        <f t="shared" si="836"/>
        <v>0</v>
      </c>
      <c r="U835" s="33">
        <f t="shared" si="836"/>
        <v>0</v>
      </c>
      <c r="V835" s="33">
        <v>0</v>
      </c>
      <c r="W835" s="37">
        <f t="shared" si="831"/>
        <v>700803</v>
      </c>
      <c r="X835" s="30" t="str">
        <f t="shared" si="832"/>
        <v>ok</v>
      </c>
      <c r="Y835" s="34" t="str">
        <f t="shared" si="833"/>
        <v/>
      </c>
    </row>
    <row r="836" spans="1:25" ht="12" customHeight="1" x14ac:dyDescent="0.25">
      <c r="A836" s="29" t="s">
        <v>739</v>
      </c>
      <c r="D836" s="29" t="s">
        <v>821</v>
      </c>
      <c r="F836" s="33">
        <v>546424</v>
      </c>
      <c r="G836" s="33">
        <f t="shared" ref="G836:U836" si="837">G832</f>
        <v>436423</v>
      </c>
      <c r="H836" s="33">
        <f t="shared" si="837"/>
        <v>84439</v>
      </c>
      <c r="I836" s="33">
        <f>I832</f>
        <v>558</v>
      </c>
      <c r="J836" s="33">
        <f t="shared" si="837"/>
        <v>4470</v>
      </c>
      <c r="K836" s="33">
        <f>K832</f>
        <v>206</v>
      </c>
      <c r="L836" s="33">
        <f t="shared" si="837"/>
        <v>740</v>
      </c>
      <c r="M836" s="33">
        <f t="shared" si="837"/>
        <v>259</v>
      </c>
      <c r="N836" s="33">
        <f t="shared" si="837"/>
        <v>25</v>
      </c>
      <c r="O836" s="33">
        <f t="shared" si="837"/>
        <v>1</v>
      </c>
      <c r="P836" s="33">
        <f>ROUND(P832/9,0)</f>
        <v>19209</v>
      </c>
      <c r="Q836" s="33">
        <f>ROUND(Q832/9,0)</f>
        <v>3</v>
      </c>
      <c r="R836" s="33">
        <f>ROUND(R832/9,0)</f>
        <v>85</v>
      </c>
      <c r="S836" s="33">
        <f t="shared" si="837"/>
        <v>6</v>
      </c>
      <c r="T836" s="33">
        <f t="shared" si="837"/>
        <v>0</v>
      </c>
      <c r="U836" s="33">
        <f t="shared" si="837"/>
        <v>0</v>
      </c>
      <c r="V836" s="33">
        <v>0</v>
      </c>
      <c r="W836" s="37">
        <f t="shared" si="831"/>
        <v>546424</v>
      </c>
      <c r="X836" s="30" t="str">
        <f t="shared" si="832"/>
        <v>ok</v>
      </c>
      <c r="Y836" s="34" t="str">
        <f t="shared" si="833"/>
        <v/>
      </c>
    </row>
    <row r="837" spans="1:25" ht="12" customHeight="1" x14ac:dyDescent="0.25">
      <c r="A837" s="29" t="s">
        <v>740</v>
      </c>
      <c r="D837" s="29" t="s">
        <v>871</v>
      </c>
      <c r="F837" s="33">
        <v>545933</v>
      </c>
      <c r="G837" s="33">
        <f>G836</f>
        <v>436423</v>
      </c>
      <c r="H837" s="33">
        <f t="shared" ref="H837:L837" si="838">H836</f>
        <v>84439</v>
      </c>
      <c r="I837" s="33">
        <f t="shared" si="838"/>
        <v>558</v>
      </c>
      <c r="J837" s="33">
        <f t="shared" si="838"/>
        <v>4470</v>
      </c>
      <c r="K837" s="33">
        <v>0</v>
      </c>
      <c r="L837" s="33">
        <f t="shared" si="838"/>
        <v>740</v>
      </c>
      <c r="M837" s="33">
        <v>0</v>
      </c>
      <c r="N837" s="33">
        <v>0</v>
      </c>
      <c r="O837" s="33">
        <v>0</v>
      </c>
      <c r="P837" s="33">
        <f t="shared" ref="P837:U837" si="839">P836</f>
        <v>19209</v>
      </c>
      <c r="Q837" s="33">
        <f t="shared" si="839"/>
        <v>3</v>
      </c>
      <c r="R837" s="33">
        <f t="shared" si="839"/>
        <v>85</v>
      </c>
      <c r="S837" s="33">
        <f t="shared" si="839"/>
        <v>6</v>
      </c>
      <c r="T837" s="33">
        <f t="shared" si="839"/>
        <v>0</v>
      </c>
      <c r="U837" s="33">
        <f t="shared" si="839"/>
        <v>0</v>
      </c>
      <c r="V837" s="33">
        <v>0</v>
      </c>
      <c r="W837" s="37">
        <f t="shared" si="831"/>
        <v>545933</v>
      </c>
      <c r="X837" s="30" t="str">
        <f t="shared" si="832"/>
        <v>ok</v>
      </c>
      <c r="Y837" s="34" t="str">
        <f t="shared" si="833"/>
        <v/>
      </c>
    </row>
    <row r="838" spans="1:25" ht="12" customHeight="1" x14ac:dyDescent="0.25">
      <c r="A838" s="29" t="s">
        <v>741</v>
      </c>
      <c r="D838" s="29" t="s">
        <v>872</v>
      </c>
      <c r="F838" s="33">
        <v>546398</v>
      </c>
      <c r="G838" s="33">
        <f>G836</f>
        <v>436423</v>
      </c>
      <c r="H838" s="33">
        <f t="shared" ref="H838:M838" si="840">H836</f>
        <v>84439</v>
      </c>
      <c r="I838" s="33">
        <f t="shared" si="840"/>
        <v>558</v>
      </c>
      <c r="J838" s="33">
        <f t="shared" si="840"/>
        <v>4470</v>
      </c>
      <c r="K838" s="33">
        <f t="shared" si="840"/>
        <v>206</v>
      </c>
      <c r="L838" s="33">
        <f t="shared" si="840"/>
        <v>740</v>
      </c>
      <c r="M838" s="33">
        <f t="shared" si="840"/>
        <v>259</v>
      </c>
      <c r="N838" s="33">
        <v>0</v>
      </c>
      <c r="O838" s="33">
        <v>0</v>
      </c>
      <c r="P838" s="33">
        <f t="shared" ref="P838:U838" si="841">P836</f>
        <v>19209</v>
      </c>
      <c r="Q838" s="33">
        <f t="shared" si="841"/>
        <v>3</v>
      </c>
      <c r="R838" s="33">
        <f t="shared" si="841"/>
        <v>85</v>
      </c>
      <c r="S838" s="33">
        <f t="shared" si="841"/>
        <v>6</v>
      </c>
      <c r="T838" s="33">
        <f t="shared" si="841"/>
        <v>0</v>
      </c>
      <c r="U838" s="33">
        <f t="shared" si="841"/>
        <v>0</v>
      </c>
      <c r="V838" s="33">
        <v>0</v>
      </c>
      <c r="W838" s="37">
        <f t="shared" si="831"/>
        <v>546398</v>
      </c>
      <c r="X838" s="30" t="str">
        <f t="shared" si="832"/>
        <v>ok</v>
      </c>
      <c r="Y838" s="34" t="str">
        <f t="shared" si="833"/>
        <v/>
      </c>
    </row>
    <row r="839" spans="1:25" ht="12" customHeight="1" x14ac:dyDescent="0.25">
      <c r="A839" s="29" t="s">
        <v>2056</v>
      </c>
      <c r="D839" s="29" t="s">
        <v>2057</v>
      </c>
      <c r="F839" s="33">
        <v>545933</v>
      </c>
      <c r="G839" s="33">
        <f>G837</f>
        <v>436423</v>
      </c>
      <c r="H839" s="33">
        <f t="shared" ref="H839:U839" si="842">H837</f>
        <v>84439</v>
      </c>
      <c r="I839" s="33">
        <f t="shared" si="842"/>
        <v>558</v>
      </c>
      <c r="J839" s="33">
        <f t="shared" si="842"/>
        <v>4470</v>
      </c>
      <c r="K839" s="33">
        <f t="shared" si="842"/>
        <v>0</v>
      </c>
      <c r="L839" s="33">
        <f t="shared" si="842"/>
        <v>740</v>
      </c>
      <c r="M839" s="33">
        <f t="shared" si="842"/>
        <v>0</v>
      </c>
      <c r="N839" s="33">
        <f t="shared" si="842"/>
        <v>0</v>
      </c>
      <c r="O839" s="33">
        <f t="shared" si="842"/>
        <v>0</v>
      </c>
      <c r="P839" s="33">
        <f t="shared" si="842"/>
        <v>19209</v>
      </c>
      <c r="Q839" s="33">
        <f t="shared" si="842"/>
        <v>3</v>
      </c>
      <c r="R839" s="33">
        <f t="shared" si="842"/>
        <v>85</v>
      </c>
      <c r="S839" s="33">
        <f t="shared" si="842"/>
        <v>6</v>
      </c>
      <c r="T839" s="33">
        <f t="shared" si="842"/>
        <v>0</v>
      </c>
      <c r="U839" s="33">
        <f t="shared" si="842"/>
        <v>0</v>
      </c>
      <c r="V839" s="33">
        <v>0</v>
      </c>
      <c r="W839" s="37">
        <f t="shared" si="831"/>
        <v>545933</v>
      </c>
      <c r="X839" s="30" t="str">
        <f t="shared" si="832"/>
        <v>ok</v>
      </c>
      <c r="Y839" s="34" t="str">
        <f t="shared" si="833"/>
        <v/>
      </c>
    </row>
    <row r="840" spans="1:25" ht="12" customHeight="1" x14ac:dyDescent="0.25">
      <c r="F840" s="84"/>
      <c r="G840" s="84"/>
      <c r="H840" s="84"/>
      <c r="I840" s="84"/>
      <c r="J840" s="84"/>
      <c r="K840" s="84"/>
      <c r="L840" s="84"/>
      <c r="M840" s="84"/>
      <c r="N840" s="84"/>
      <c r="O840" s="84"/>
      <c r="P840" s="84"/>
      <c r="Q840" s="84"/>
      <c r="R840" s="84"/>
      <c r="S840" s="84"/>
      <c r="T840" s="84"/>
      <c r="U840" s="84"/>
      <c r="V840" s="84"/>
      <c r="X840" s="85"/>
      <c r="Y840" s="41"/>
    </row>
    <row r="841" spans="1:25" ht="12" customHeight="1" x14ac:dyDescent="0.25">
      <c r="A841" s="93" t="s">
        <v>532</v>
      </c>
      <c r="F841" s="33"/>
      <c r="G841" s="33"/>
      <c r="H841" s="33"/>
      <c r="I841" s="33"/>
      <c r="J841" s="33"/>
      <c r="K841" s="33"/>
      <c r="L841" s="33"/>
      <c r="M841" s="33"/>
      <c r="N841" s="33"/>
      <c r="O841" s="33"/>
      <c r="P841" s="33"/>
      <c r="Q841" s="84"/>
      <c r="R841" s="84"/>
      <c r="S841" s="84"/>
      <c r="T841" s="84"/>
      <c r="U841" s="33"/>
      <c r="V841" s="48"/>
      <c r="X841" s="30"/>
    </row>
    <row r="842" spans="1:25" ht="12" customHeight="1" x14ac:dyDescent="0.25">
      <c r="A842" s="29" t="s">
        <v>2305</v>
      </c>
      <c r="F842" s="83">
        <v>700675.85000000009</v>
      </c>
      <c r="G842" s="83">
        <f>436254+61</f>
        <v>436315</v>
      </c>
      <c r="H842" s="83">
        <f>64524+19899</f>
        <v>84423</v>
      </c>
      <c r="I842" s="83">
        <f>265+293</f>
        <v>558</v>
      </c>
      <c r="J842" s="83">
        <f>4471</f>
        <v>4471</v>
      </c>
      <c r="K842" s="83">
        <f>206</f>
        <v>206</v>
      </c>
      <c r="L842" s="83">
        <f>735.54</f>
        <v>735.54</v>
      </c>
      <c r="M842" s="83">
        <f>259.31</f>
        <v>259.31</v>
      </c>
      <c r="N842" s="83">
        <f>25</f>
        <v>25</v>
      </c>
      <c r="O842" s="83">
        <f>1</f>
        <v>1</v>
      </c>
      <c r="P842" s="83">
        <f>P831</f>
        <v>172880</v>
      </c>
      <c r="Q842" s="83">
        <f>31</f>
        <v>31</v>
      </c>
      <c r="R842" s="83">
        <v>765</v>
      </c>
      <c r="S842" s="83">
        <f>6</f>
        <v>6</v>
      </c>
      <c r="T842" s="83">
        <f>T831</f>
        <v>0</v>
      </c>
      <c r="U842" s="83">
        <f>U831</f>
        <v>0</v>
      </c>
      <c r="V842" s="33">
        <v>0</v>
      </c>
      <c r="W842" s="37">
        <f t="shared" ref="W842:W850" si="843">SUM(G842:V842)</f>
        <v>700675.85000000009</v>
      </c>
      <c r="X842" s="30" t="str">
        <f t="shared" ref="X842:X850" si="844">IF(ABS(F842-W842)&lt;0.01,"ok","err")</f>
        <v>ok</v>
      </c>
      <c r="Y842" s="34" t="str">
        <f t="shared" ref="Y842:Y850" si="845">IF(X842="err",W842-F842,"")</f>
        <v/>
      </c>
    </row>
    <row r="843" spans="1:25" ht="12" customHeight="1" x14ac:dyDescent="0.25">
      <c r="A843" s="29" t="s">
        <v>478</v>
      </c>
      <c r="F843" s="83">
        <v>700675.85000000009</v>
      </c>
      <c r="G843" s="83">
        <f>G842</f>
        <v>436315</v>
      </c>
      <c r="H843" s="83">
        <f>H842</f>
        <v>84423</v>
      </c>
      <c r="I843" s="83">
        <f>I842</f>
        <v>558</v>
      </c>
      <c r="J843" s="83">
        <f t="shared" ref="J843:U843" si="846">J842</f>
        <v>4471</v>
      </c>
      <c r="K843" s="83">
        <f t="shared" si="846"/>
        <v>206</v>
      </c>
      <c r="L843" s="83">
        <f t="shared" si="846"/>
        <v>735.54</v>
      </c>
      <c r="M843" s="83">
        <f t="shared" si="846"/>
        <v>259.31</v>
      </c>
      <c r="N843" s="83">
        <f t="shared" si="846"/>
        <v>25</v>
      </c>
      <c r="O843" s="83">
        <f t="shared" si="846"/>
        <v>1</v>
      </c>
      <c r="P843" s="83">
        <f t="shared" si="846"/>
        <v>172880</v>
      </c>
      <c r="Q843" s="83">
        <f t="shared" si="846"/>
        <v>31</v>
      </c>
      <c r="R843" s="83">
        <f t="shared" si="846"/>
        <v>765</v>
      </c>
      <c r="S843" s="83">
        <f t="shared" si="846"/>
        <v>6</v>
      </c>
      <c r="T843" s="83">
        <f t="shared" si="846"/>
        <v>0</v>
      </c>
      <c r="U843" s="83">
        <f t="shared" si="846"/>
        <v>0</v>
      </c>
      <c r="V843" s="33">
        <v>0</v>
      </c>
      <c r="W843" s="37">
        <f t="shared" si="843"/>
        <v>700675.85000000009</v>
      </c>
      <c r="X843" s="30" t="str">
        <f t="shared" si="844"/>
        <v>ok</v>
      </c>
      <c r="Y843" s="34" t="str">
        <f t="shared" si="845"/>
        <v/>
      </c>
    </row>
    <row r="844" spans="1:25" ht="12" customHeight="1" x14ac:dyDescent="0.25">
      <c r="A844" s="29" t="s">
        <v>738</v>
      </c>
      <c r="D844" s="29" t="s">
        <v>2298</v>
      </c>
      <c r="F844" s="83">
        <v>679000</v>
      </c>
      <c r="G844" s="33">
        <f>ROUND(G843,0)</f>
        <v>436315</v>
      </c>
      <c r="H844" s="33">
        <f>ROUND(H843*2,0)</f>
        <v>168846</v>
      </c>
      <c r="I844" s="33">
        <f>ROUND(I843*10,0)</f>
        <v>5580</v>
      </c>
      <c r="J844" s="33">
        <f>ROUND(J843*5,0)</f>
        <v>22355</v>
      </c>
      <c r="K844" s="33">
        <f>ROUND(K843*5,0)</f>
        <v>1030</v>
      </c>
      <c r="L844" s="33">
        <f>ROUND(L843*25,0)</f>
        <v>18389</v>
      </c>
      <c r="M844" s="33">
        <f>ROUND(M843*25,0)</f>
        <v>6483</v>
      </c>
      <c r="N844" s="33">
        <f>ROUND(N843*25,0)</f>
        <v>625</v>
      </c>
      <c r="O844" s="33">
        <f>ROUND(O843*50,0)</f>
        <v>50</v>
      </c>
      <c r="P844" s="33">
        <f>ROUND(P843*1/9,0)</f>
        <v>19209</v>
      </c>
      <c r="Q844" s="33">
        <f>ROUND(Q843*1/9,0)</f>
        <v>3</v>
      </c>
      <c r="R844" s="33">
        <f>ROUND(R843*1/9,0)</f>
        <v>85</v>
      </c>
      <c r="S844" s="33">
        <f>ROUND(S843*5,0)</f>
        <v>30</v>
      </c>
      <c r="T844" s="33">
        <f>ROUND(T843*2,0)</f>
        <v>0</v>
      </c>
      <c r="U844" s="33">
        <f>ROUND(U843*2,0)</f>
        <v>0</v>
      </c>
      <c r="V844" s="33">
        <v>0</v>
      </c>
      <c r="W844" s="37">
        <f t="shared" si="843"/>
        <v>679000</v>
      </c>
      <c r="X844" s="30" t="str">
        <f t="shared" si="844"/>
        <v>ok</v>
      </c>
      <c r="Y844" s="34" t="str">
        <f t="shared" si="845"/>
        <v/>
      </c>
    </row>
    <row r="845" spans="1:25" ht="12" customHeight="1" x14ac:dyDescent="0.25">
      <c r="A845" s="29" t="s">
        <v>371</v>
      </c>
      <c r="D845" s="29" t="s">
        <v>2299</v>
      </c>
      <c r="F845" s="83">
        <v>127240903.38000001</v>
      </c>
      <c r="G845" s="83">
        <v>0</v>
      </c>
      <c r="H845" s="83">
        <v>0</v>
      </c>
      <c r="I845" s="83">
        <v>0</v>
      </c>
      <c r="J845" s="83">
        <v>0</v>
      </c>
      <c r="K845" s="83">
        <v>0</v>
      </c>
      <c r="L845" s="83">
        <v>0</v>
      </c>
      <c r="M845" s="83">
        <v>0</v>
      </c>
      <c r="N845" s="83">
        <v>0</v>
      </c>
      <c r="O845" s="83">
        <v>0</v>
      </c>
      <c r="P845" s="83">
        <f>P834</f>
        <v>127240903.38000001</v>
      </c>
      <c r="Q845" s="83">
        <v>0</v>
      </c>
      <c r="R845" s="83">
        <v>0</v>
      </c>
      <c r="S845" s="83">
        <v>0</v>
      </c>
      <c r="T845" s="83">
        <v>0</v>
      </c>
      <c r="U845" s="83">
        <v>0</v>
      </c>
      <c r="V845" s="33">
        <v>0</v>
      </c>
      <c r="W845" s="37">
        <f t="shared" si="843"/>
        <v>127240903.38000001</v>
      </c>
      <c r="X845" s="30" t="str">
        <f t="shared" si="844"/>
        <v>ok</v>
      </c>
      <c r="Y845" s="34" t="str">
        <f t="shared" si="845"/>
        <v/>
      </c>
    </row>
    <row r="846" spans="1:25" ht="12" customHeight="1" x14ac:dyDescent="0.25">
      <c r="A846" s="29" t="s">
        <v>819</v>
      </c>
      <c r="D846" s="29" t="s">
        <v>2300</v>
      </c>
      <c r="F846" s="83">
        <v>700675.85000000009</v>
      </c>
      <c r="G846" s="83">
        <f>G842</f>
        <v>436315</v>
      </c>
      <c r="H846" s="83">
        <f>H842</f>
        <v>84423</v>
      </c>
      <c r="I846" s="83">
        <f>I835</f>
        <v>558</v>
      </c>
      <c r="J846" s="83">
        <f>J842</f>
        <v>4471</v>
      </c>
      <c r="K846" s="83">
        <f>K842</f>
        <v>206</v>
      </c>
      <c r="L846" s="83">
        <f t="shared" ref="L846:O846" si="847">L842</f>
        <v>735.54</v>
      </c>
      <c r="M846" s="83">
        <f t="shared" si="847"/>
        <v>259.31</v>
      </c>
      <c r="N846" s="83">
        <f t="shared" si="847"/>
        <v>25</v>
      </c>
      <c r="O846" s="83">
        <f t="shared" si="847"/>
        <v>1</v>
      </c>
      <c r="P846" s="83">
        <f>P842</f>
        <v>172880</v>
      </c>
      <c r="Q846" s="83">
        <f>Q842</f>
        <v>31</v>
      </c>
      <c r="R846" s="83">
        <f>R842</f>
        <v>765</v>
      </c>
      <c r="S846" s="83">
        <f>S842</f>
        <v>6</v>
      </c>
      <c r="T846" s="83">
        <f t="shared" ref="T846:U850" si="848">T835</f>
        <v>0</v>
      </c>
      <c r="U846" s="83">
        <f t="shared" si="848"/>
        <v>0</v>
      </c>
      <c r="V846" s="33">
        <v>0</v>
      </c>
      <c r="W846" s="37">
        <f t="shared" si="843"/>
        <v>700675.85000000009</v>
      </c>
      <c r="X846" s="30" t="str">
        <f t="shared" si="844"/>
        <v>ok</v>
      </c>
      <c r="Y846" s="34" t="str">
        <f t="shared" si="845"/>
        <v/>
      </c>
    </row>
    <row r="847" spans="1:25" ht="12" customHeight="1" x14ac:dyDescent="0.25">
      <c r="A847" s="29" t="s">
        <v>739</v>
      </c>
      <c r="D847" s="29" t="s">
        <v>2301</v>
      </c>
      <c r="F847" s="83">
        <v>546296.73888888897</v>
      </c>
      <c r="G847" s="83">
        <f>G842</f>
        <v>436315</v>
      </c>
      <c r="H847" s="83">
        <f>H842</f>
        <v>84423</v>
      </c>
      <c r="I847" s="83">
        <f>I836</f>
        <v>558</v>
      </c>
      <c r="J847" s="83">
        <f>J842</f>
        <v>4471</v>
      </c>
      <c r="K847" s="83">
        <f>K842</f>
        <v>206</v>
      </c>
      <c r="L847" s="83">
        <f t="shared" ref="L847:O847" si="849">L842</f>
        <v>735.54</v>
      </c>
      <c r="M847" s="83">
        <f t="shared" si="849"/>
        <v>259.31</v>
      </c>
      <c r="N847" s="83">
        <f t="shared" si="849"/>
        <v>25</v>
      </c>
      <c r="O847" s="83">
        <f t="shared" si="849"/>
        <v>1</v>
      </c>
      <c r="P847" s="83">
        <f>P846/9</f>
        <v>19208.888888888891</v>
      </c>
      <c r="Q847" s="83">
        <f>Q844</f>
        <v>3</v>
      </c>
      <c r="R847" s="83">
        <f>R844</f>
        <v>85</v>
      </c>
      <c r="S847" s="83">
        <f>S842</f>
        <v>6</v>
      </c>
      <c r="T847" s="83">
        <f t="shared" si="848"/>
        <v>0</v>
      </c>
      <c r="U847" s="83">
        <f t="shared" si="848"/>
        <v>0</v>
      </c>
      <c r="V847" s="33">
        <v>0</v>
      </c>
      <c r="W847" s="37">
        <f t="shared" si="843"/>
        <v>546296.73888888897</v>
      </c>
      <c r="X847" s="30" t="str">
        <f t="shared" si="844"/>
        <v>ok</v>
      </c>
      <c r="Y847" s="34" t="str">
        <f t="shared" si="845"/>
        <v/>
      </c>
    </row>
    <row r="848" spans="1:25" ht="12" customHeight="1" x14ac:dyDescent="0.25">
      <c r="A848" s="29" t="s">
        <v>740</v>
      </c>
      <c r="D848" s="29" t="s">
        <v>2302</v>
      </c>
      <c r="F848" s="83">
        <v>540592.88888888888</v>
      </c>
      <c r="G848" s="83">
        <f>G842</f>
        <v>436315</v>
      </c>
      <c r="H848" s="83">
        <f>H842</f>
        <v>84423</v>
      </c>
      <c r="I848" s="83">
        <f>I837</f>
        <v>558</v>
      </c>
      <c r="J848" s="83">
        <v>0</v>
      </c>
      <c r="K848" s="83">
        <v>0</v>
      </c>
      <c r="L848" s="83">
        <v>0</v>
      </c>
      <c r="M848" s="83">
        <v>0</v>
      </c>
      <c r="N848" s="83">
        <v>0</v>
      </c>
      <c r="O848" s="83">
        <v>0</v>
      </c>
      <c r="P848" s="83">
        <f>P847</f>
        <v>19208.888888888891</v>
      </c>
      <c r="Q848" s="83">
        <f>Q844</f>
        <v>3</v>
      </c>
      <c r="R848" s="83">
        <f>R844</f>
        <v>85</v>
      </c>
      <c r="S848" s="83">
        <v>0</v>
      </c>
      <c r="T848" s="83">
        <f t="shared" si="848"/>
        <v>0</v>
      </c>
      <c r="U848" s="83">
        <f t="shared" si="848"/>
        <v>0</v>
      </c>
      <c r="V848" s="33">
        <v>0</v>
      </c>
      <c r="W848" s="37">
        <f t="shared" si="843"/>
        <v>540592.88888888888</v>
      </c>
      <c r="X848" s="30" t="str">
        <f t="shared" si="844"/>
        <v>ok</v>
      </c>
      <c r="Y848" s="34" t="str">
        <f t="shared" si="845"/>
        <v/>
      </c>
    </row>
    <row r="849" spans="1:25" ht="12" customHeight="1" x14ac:dyDescent="0.25">
      <c r="A849" s="29" t="s">
        <v>741</v>
      </c>
      <c r="D849" s="29" t="s">
        <v>2303</v>
      </c>
      <c r="F849" s="83">
        <v>546270.73888888897</v>
      </c>
      <c r="G849" s="83">
        <f>G842</f>
        <v>436315</v>
      </c>
      <c r="H849" s="83">
        <f>H842</f>
        <v>84423</v>
      </c>
      <c r="I849" s="83">
        <f>I838</f>
        <v>558</v>
      </c>
      <c r="J849" s="83">
        <f>J842</f>
        <v>4471</v>
      </c>
      <c r="K849" s="83">
        <f>K843</f>
        <v>206</v>
      </c>
      <c r="L849" s="83">
        <f>L842</f>
        <v>735.54</v>
      </c>
      <c r="M849" s="83">
        <f>M842</f>
        <v>259.31</v>
      </c>
      <c r="N849" s="83">
        <v>0</v>
      </c>
      <c r="O849" s="83">
        <v>0</v>
      </c>
      <c r="P849" s="83">
        <f>P847</f>
        <v>19208.888888888891</v>
      </c>
      <c r="Q849" s="83">
        <f>Q844</f>
        <v>3</v>
      </c>
      <c r="R849" s="83">
        <f>R844</f>
        <v>85</v>
      </c>
      <c r="S849" s="83">
        <f>S842</f>
        <v>6</v>
      </c>
      <c r="T849" s="83">
        <f t="shared" si="848"/>
        <v>0</v>
      </c>
      <c r="U849" s="83">
        <f t="shared" si="848"/>
        <v>0</v>
      </c>
      <c r="V849" s="33">
        <v>0</v>
      </c>
      <c r="W849" s="37">
        <f t="shared" si="843"/>
        <v>546270.73888888897</v>
      </c>
      <c r="X849" s="30" t="str">
        <f t="shared" si="844"/>
        <v>ok</v>
      </c>
      <c r="Y849" s="34" t="str">
        <f t="shared" si="845"/>
        <v/>
      </c>
    </row>
    <row r="850" spans="1:25" ht="12" customHeight="1" x14ac:dyDescent="0.25">
      <c r="A850" s="29" t="s">
        <v>2056</v>
      </c>
      <c r="D850" s="29" t="s">
        <v>2304</v>
      </c>
      <c r="F850" s="33">
        <v>545805.42888888891</v>
      </c>
      <c r="G850" s="33">
        <f>G842</f>
        <v>436315</v>
      </c>
      <c r="H850" s="33">
        <f>H842</f>
        <v>84423</v>
      </c>
      <c r="I850" s="33">
        <f>I839</f>
        <v>558</v>
      </c>
      <c r="J850" s="33">
        <f>J842</f>
        <v>4471</v>
      </c>
      <c r="K850" s="33">
        <v>0</v>
      </c>
      <c r="L850" s="33">
        <f>L842</f>
        <v>735.54</v>
      </c>
      <c r="M850" s="33">
        <v>0</v>
      </c>
      <c r="N850" s="33">
        <v>0</v>
      </c>
      <c r="O850" s="33">
        <v>0</v>
      </c>
      <c r="P850" s="33">
        <f>P847</f>
        <v>19208.888888888891</v>
      </c>
      <c r="Q850" s="33">
        <f>Q844</f>
        <v>3</v>
      </c>
      <c r="R850" s="33">
        <f>R844</f>
        <v>85</v>
      </c>
      <c r="S850" s="33">
        <f>S842</f>
        <v>6</v>
      </c>
      <c r="T850" s="33">
        <f t="shared" si="848"/>
        <v>0</v>
      </c>
      <c r="U850" s="33">
        <f t="shared" si="848"/>
        <v>0</v>
      </c>
      <c r="V850" s="33">
        <v>0</v>
      </c>
      <c r="W850" s="37">
        <f t="shared" si="843"/>
        <v>545805.42888888891</v>
      </c>
      <c r="X850" s="30" t="str">
        <f t="shared" si="844"/>
        <v>ok</v>
      </c>
      <c r="Y850" s="34" t="str">
        <f t="shared" si="845"/>
        <v/>
      </c>
    </row>
    <row r="851" spans="1:25" ht="12" customHeight="1" x14ac:dyDescent="0.25">
      <c r="F851" s="33"/>
      <c r="G851" s="33"/>
      <c r="H851" s="33"/>
      <c r="I851" s="33"/>
      <c r="J851" s="33"/>
      <c r="K851" s="33"/>
      <c r="L851" s="33"/>
      <c r="M851" s="33"/>
      <c r="N851" s="33"/>
      <c r="O851" s="33"/>
      <c r="P851" s="33"/>
      <c r="Q851" s="33"/>
      <c r="R851" s="33"/>
      <c r="S851" s="33"/>
      <c r="T851" s="37"/>
      <c r="U851" s="37"/>
      <c r="V851" s="33"/>
      <c r="X851" s="30"/>
    </row>
    <row r="852" spans="1:25" ht="12" customHeight="1" x14ac:dyDescent="0.25">
      <c r="A852" s="3" t="s">
        <v>742</v>
      </c>
    </row>
    <row r="853" spans="1:25" ht="12" customHeight="1" x14ac:dyDescent="0.25">
      <c r="A853" s="29" t="s">
        <v>2128</v>
      </c>
      <c r="D853" s="29" t="s">
        <v>2125</v>
      </c>
      <c r="F853" s="33">
        <v>4894227.146466136</v>
      </c>
      <c r="G853" s="33">
        <v>2102336.3139277636</v>
      </c>
      <c r="H853" s="33">
        <v>620178.83600551554</v>
      </c>
      <c r="I853" s="33">
        <v>54854.194807101536</v>
      </c>
      <c r="J853" s="33">
        <v>467895.08603379852</v>
      </c>
      <c r="K853" s="33">
        <v>31001.36569980246</v>
      </c>
      <c r="L853" s="33">
        <v>373309.8854522215</v>
      </c>
      <c r="M853" s="33">
        <v>797394.97063316475</v>
      </c>
      <c r="N853" s="33">
        <v>255156.51767321353</v>
      </c>
      <c r="O853" s="33">
        <v>156048.62321541386</v>
      </c>
      <c r="P853" s="33">
        <v>34827.270565944593</v>
      </c>
      <c r="Q853" s="33">
        <v>410.94214278614794</v>
      </c>
      <c r="R853" s="33">
        <v>226.11945375317208</v>
      </c>
      <c r="S853" s="33">
        <v>587.02085565546167</v>
      </c>
      <c r="T853" s="33">
        <v>0</v>
      </c>
      <c r="U853" s="33">
        <v>0</v>
      </c>
      <c r="V853" s="33">
        <v>0</v>
      </c>
      <c r="W853" s="37">
        <f t="shared" ref="W853:W856" si="850">SUM(G853:V853)</f>
        <v>4894227.146466136</v>
      </c>
      <c r="X853" s="30" t="str">
        <f t="shared" ref="X853:X856" si="851">IF(ABS(F853-W853)&lt;0.01,"ok","err")</f>
        <v>ok</v>
      </c>
      <c r="Y853" s="34" t="str">
        <f t="shared" ref="Y853:Y856" si="852">IF(X853="err",W853-F853,"")</f>
        <v/>
      </c>
    </row>
    <row r="854" spans="1:25" ht="12" customHeight="1" x14ac:dyDescent="0.25">
      <c r="A854" s="29" t="s">
        <v>2127</v>
      </c>
      <c r="D854" s="29" t="s">
        <v>2129</v>
      </c>
      <c r="F854" s="33">
        <v>4483022.0055775084</v>
      </c>
      <c r="G854" s="33">
        <f>G853</f>
        <v>2102336.3139277636</v>
      </c>
      <c r="H854" s="33">
        <f t="shared" ref="H854:M854" si="853">H853</f>
        <v>620178.83600551554</v>
      </c>
      <c r="I854" s="33">
        <f t="shared" si="853"/>
        <v>54854.194807101536</v>
      </c>
      <c r="J854" s="33">
        <f t="shared" si="853"/>
        <v>467895.08603379852</v>
      </c>
      <c r="K854" s="33">
        <f t="shared" si="853"/>
        <v>31001.36569980246</v>
      </c>
      <c r="L854" s="33">
        <f t="shared" si="853"/>
        <v>373309.8854522215</v>
      </c>
      <c r="M854" s="33">
        <f t="shared" si="853"/>
        <v>797394.97063316475</v>
      </c>
      <c r="N854" s="33">
        <v>0</v>
      </c>
      <c r="O854" s="33">
        <v>0</v>
      </c>
      <c r="P854" s="33">
        <f t="shared" ref="P854:U854" si="854">P853</f>
        <v>34827.270565944593</v>
      </c>
      <c r="Q854" s="33">
        <f t="shared" si="854"/>
        <v>410.94214278614794</v>
      </c>
      <c r="R854" s="33">
        <f t="shared" si="854"/>
        <v>226.11945375317208</v>
      </c>
      <c r="S854" s="33">
        <f t="shared" si="854"/>
        <v>587.02085565546167</v>
      </c>
      <c r="T854" s="33">
        <f t="shared" si="854"/>
        <v>0</v>
      </c>
      <c r="U854" s="33">
        <f t="shared" si="854"/>
        <v>0</v>
      </c>
      <c r="V854" s="33">
        <v>0</v>
      </c>
      <c r="W854" s="37">
        <f t="shared" si="850"/>
        <v>4483022.0055775084</v>
      </c>
      <c r="X854" s="30" t="str">
        <f t="shared" si="851"/>
        <v>ok</v>
      </c>
      <c r="Y854" s="34" t="str">
        <f t="shared" si="852"/>
        <v/>
      </c>
    </row>
    <row r="855" spans="1:25" ht="12" customHeight="1" x14ac:dyDescent="0.25">
      <c r="A855" s="29" t="s">
        <v>2126</v>
      </c>
      <c r="D855" s="29" t="s">
        <v>2058</v>
      </c>
      <c r="F855" s="33">
        <v>6572900.3455103189</v>
      </c>
      <c r="G855" s="33">
        <v>4190322.4033223609</v>
      </c>
      <c r="H855" s="33">
        <v>1098034.3549623999</v>
      </c>
      <c r="I855" s="33">
        <v>65605.359194381846</v>
      </c>
      <c r="J855" s="33">
        <v>697633.78981077101</v>
      </c>
      <c r="K855" s="33">
        <v>0</v>
      </c>
      <c r="L855" s="33">
        <v>484938.58331722789</v>
      </c>
      <c r="M855" s="33">
        <v>0</v>
      </c>
      <c r="N855" s="33">
        <v>0</v>
      </c>
      <c r="O855" s="33">
        <v>0</v>
      </c>
      <c r="P855" s="33">
        <v>34827.270565944593</v>
      </c>
      <c r="Q855" s="33">
        <v>410.94214278614794</v>
      </c>
      <c r="R855" s="33">
        <v>226.11945375317208</v>
      </c>
      <c r="S855" s="33">
        <v>901.52274069272687</v>
      </c>
      <c r="T855" s="33">
        <v>0</v>
      </c>
      <c r="U855" s="33">
        <v>0</v>
      </c>
      <c r="V855" s="33">
        <v>0</v>
      </c>
      <c r="W855" s="37">
        <f t="shared" si="850"/>
        <v>6572900.3455103189</v>
      </c>
      <c r="X855" s="30" t="str">
        <f t="shared" si="851"/>
        <v>ok</v>
      </c>
      <c r="Y855" s="34" t="str">
        <f t="shared" si="852"/>
        <v/>
      </c>
    </row>
    <row r="856" spans="1:25" ht="12" customHeight="1" x14ac:dyDescent="0.25">
      <c r="A856" s="29" t="s">
        <v>710</v>
      </c>
      <c r="D856" s="29" t="s">
        <v>709</v>
      </c>
      <c r="F856" s="33">
        <v>5389426.4496416273</v>
      </c>
      <c r="G856" s="33">
        <f>G855</f>
        <v>4190322.4033223609</v>
      </c>
      <c r="H856" s="33">
        <f>H855</f>
        <v>1098034.3549623999</v>
      </c>
      <c r="I856" s="33">
        <f>I855</f>
        <v>65605.359194381846</v>
      </c>
      <c r="J856" s="33">
        <v>0</v>
      </c>
      <c r="K856" s="33">
        <v>0</v>
      </c>
      <c r="L856" s="33">
        <v>0</v>
      </c>
      <c r="M856" s="33">
        <v>0</v>
      </c>
      <c r="N856" s="33">
        <v>0</v>
      </c>
      <c r="O856" s="33">
        <v>0</v>
      </c>
      <c r="P856" s="33">
        <f>P855</f>
        <v>34827.270565944593</v>
      </c>
      <c r="Q856" s="33">
        <f>Q855</f>
        <v>410.94214278614794</v>
      </c>
      <c r="R856" s="33">
        <f>R855</f>
        <v>226.11945375317208</v>
      </c>
      <c r="S856" s="33">
        <v>0</v>
      </c>
      <c r="T856" s="33">
        <f>T855</f>
        <v>0</v>
      </c>
      <c r="U856" s="33">
        <f>U855</f>
        <v>0</v>
      </c>
      <c r="V856" s="33">
        <v>0</v>
      </c>
      <c r="W856" s="37">
        <f t="shared" si="850"/>
        <v>5389426.4496416273</v>
      </c>
      <c r="X856" s="30" t="str">
        <f t="shared" si="851"/>
        <v>ok</v>
      </c>
      <c r="Y856" s="34" t="str">
        <f t="shared" si="852"/>
        <v/>
      </c>
    </row>
    <row r="857" spans="1:25" ht="12" customHeight="1" x14ac:dyDescent="0.25">
      <c r="A857" s="29" t="s">
        <v>2202</v>
      </c>
      <c r="D857" s="29" t="s">
        <v>2132</v>
      </c>
      <c r="F857" s="33">
        <v>231980.94458548498</v>
      </c>
      <c r="G857" s="33">
        <v>95986.63088400125</v>
      </c>
      <c r="H857" s="33">
        <v>21772.367173492679</v>
      </c>
      <c r="I857" s="33">
        <v>1471.6375150738759</v>
      </c>
      <c r="J857" s="33">
        <v>24107.986430618217</v>
      </c>
      <c r="K857" s="33">
        <v>1665.0934432184274</v>
      </c>
      <c r="L857" s="33">
        <v>22490.880823227813</v>
      </c>
      <c r="M857" s="33">
        <v>43929.94435424883</v>
      </c>
      <c r="N857" s="33">
        <v>14385.956994170207</v>
      </c>
      <c r="O857" s="33">
        <v>6067.1125499728178</v>
      </c>
      <c r="P857" s="33">
        <v>88.201016067524634</v>
      </c>
      <c r="Q857" s="33">
        <v>1.0059820465545273</v>
      </c>
      <c r="R857" s="33">
        <v>12.089282154193764</v>
      </c>
      <c r="S857" s="33">
        <v>2.0381371925831617</v>
      </c>
      <c r="T857" s="33">
        <v>0</v>
      </c>
      <c r="U857" s="33">
        <v>0</v>
      </c>
      <c r="V857" s="33">
        <v>0</v>
      </c>
      <c r="W857" s="37">
        <f>SUM(G857:V857)</f>
        <v>231980.94458548498</v>
      </c>
      <c r="X857" s="30" t="str">
        <f>IF(ABS(F857-W857)&lt;0.01,"ok","err")</f>
        <v>ok</v>
      </c>
      <c r="Y857" s="34" t="str">
        <f>IF(X857="err",W857-F857,"")</f>
        <v/>
      </c>
    </row>
    <row r="858" spans="1:25" ht="12" customHeight="1" x14ac:dyDescent="0.25">
      <c r="F858" s="33"/>
      <c r="G858" s="33"/>
      <c r="H858" s="33"/>
      <c r="I858" s="33"/>
      <c r="J858" s="33"/>
      <c r="K858" s="33"/>
      <c r="L858" s="33"/>
      <c r="M858" s="33"/>
      <c r="N858" s="33"/>
      <c r="O858" s="33"/>
      <c r="P858" s="33"/>
      <c r="Q858" s="33"/>
      <c r="R858" s="33"/>
      <c r="S858" s="33"/>
      <c r="T858" s="33"/>
      <c r="U858" s="33"/>
      <c r="V858" s="33"/>
      <c r="X858" s="30"/>
      <c r="Y858" s="34"/>
    </row>
    <row r="859" spans="1:25" ht="12" customHeight="1" x14ac:dyDescent="0.25">
      <c r="A859" s="24" t="s">
        <v>2268</v>
      </c>
      <c r="F859" s="50"/>
      <c r="G859" s="49"/>
      <c r="H859" s="49"/>
      <c r="I859" s="49"/>
      <c r="J859" s="49"/>
      <c r="K859" s="49"/>
      <c r="L859" s="49"/>
      <c r="M859" s="49"/>
      <c r="N859" s="49"/>
      <c r="O859" s="49"/>
      <c r="P859" s="49"/>
      <c r="Q859" s="49"/>
      <c r="R859" s="49"/>
      <c r="S859" s="49"/>
      <c r="T859" s="49"/>
      <c r="U859" s="49"/>
      <c r="V859" s="49"/>
      <c r="X859" s="30"/>
    </row>
    <row r="860" spans="1:25" ht="12" customHeight="1" x14ac:dyDescent="0.25">
      <c r="A860" s="29" t="s">
        <v>2222</v>
      </c>
      <c r="D860" s="29" t="s">
        <v>2214</v>
      </c>
      <c r="F860" s="33">
        <f>F857</f>
        <v>231980.94458548498</v>
      </c>
      <c r="G860" s="33">
        <f>G857</f>
        <v>95986.63088400125</v>
      </c>
      <c r="H860" s="33">
        <f t="shared" ref="H860:V860" si="855">H857</f>
        <v>21772.367173492679</v>
      </c>
      <c r="I860" s="33">
        <f t="shared" si="855"/>
        <v>1471.6375150738759</v>
      </c>
      <c r="J860" s="33">
        <f t="shared" si="855"/>
        <v>24107.986430618217</v>
      </c>
      <c r="K860" s="33">
        <f t="shared" si="855"/>
        <v>1665.0934432184274</v>
      </c>
      <c r="L860" s="33">
        <f t="shared" si="855"/>
        <v>22490.880823227813</v>
      </c>
      <c r="M860" s="33">
        <f t="shared" si="855"/>
        <v>43929.94435424883</v>
      </c>
      <c r="N860" s="33">
        <f t="shared" si="855"/>
        <v>14385.956994170207</v>
      </c>
      <c r="O860" s="33">
        <f t="shared" si="855"/>
        <v>6067.1125499728178</v>
      </c>
      <c r="P860" s="33">
        <f t="shared" si="855"/>
        <v>88.201016067524634</v>
      </c>
      <c r="Q860" s="33">
        <f t="shared" si="855"/>
        <v>1.0059820465545273</v>
      </c>
      <c r="R860" s="33">
        <f t="shared" si="855"/>
        <v>12.089282154193764</v>
      </c>
      <c r="S860" s="33">
        <f t="shared" si="855"/>
        <v>2.0381371925831617</v>
      </c>
      <c r="T860" s="33">
        <f t="shared" si="855"/>
        <v>0</v>
      </c>
      <c r="U860" s="33">
        <f t="shared" si="855"/>
        <v>0</v>
      </c>
      <c r="V860" s="33">
        <f t="shared" si="855"/>
        <v>0</v>
      </c>
      <c r="W860" s="37">
        <f>SUM(G860:V860)</f>
        <v>231980.94458548498</v>
      </c>
      <c r="X860" s="30" t="str">
        <f>IF(ABS(F860-W860)&lt;0.01,"ok","err")</f>
        <v>ok</v>
      </c>
      <c r="Y860" s="34" t="str">
        <f>IF(X860="err",W860-F860,"")</f>
        <v/>
      </c>
    </row>
    <row r="861" spans="1:25" ht="12" customHeight="1" x14ac:dyDescent="0.25">
      <c r="A861" s="29" t="s">
        <v>2223</v>
      </c>
      <c r="F861" s="34">
        <f>F8</f>
        <v>4640065359.6988649</v>
      </c>
      <c r="G861" s="33"/>
      <c r="H861" s="33"/>
      <c r="I861" s="33"/>
      <c r="J861" s="33"/>
      <c r="K861" s="33"/>
      <c r="L861" s="33"/>
      <c r="M861" s="33"/>
      <c r="N861" s="33"/>
      <c r="O861" s="33"/>
      <c r="P861" s="33"/>
      <c r="Q861" s="33"/>
      <c r="R861" s="33"/>
      <c r="S861" s="33"/>
      <c r="T861" s="33"/>
      <c r="U861" s="33"/>
      <c r="V861" s="33">
        <f>V858</f>
        <v>0</v>
      </c>
      <c r="W861" s="37">
        <f>F861</f>
        <v>4640065359.6988649</v>
      </c>
      <c r="X861" s="30" t="str">
        <f>IF(ABS(F861-W861)&lt;0.01,"ok","err")</f>
        <v>ok</v>
      </c>
      <c r="Y861" s="34" t="str">
        <f>IF(X861="err",W861-F861,"")</f>
        <v/>
      </c>
    </row>
    <row r="862" spans="1:25" ht="12" customHeight="1" x14ac:dyDescent="0.25">
      <c r="A862" s="29" t="s">
        <v>818</v>
      </c>
      <c r="F862" s="34">
        <v>1356066.4</v>
      </c>
      <c r="G862" s="34"/>
      <c r="H862" s="34"/>
      <c r="I862" s="34"/>
      <c r="J862" s="34"/>
      <c r="K862" s="34"/>
      <c r="L862" s="34"/>
      <c r="M862" s="34"/>
      <c r="N862" s="34"/>
      <c r="O862" s="34"/>
      <c r="P862" s="34"/>
      <c r="Q862" s="34"/>
      <c r="R862" s="34"/>
      <c r="S862" s="34"/>
      <c r="T862" s="34"/>
      <c r="U862" s="34">
        <f>1356066.4</f>
        <v>1356066.4</v>
      </c>
      <c r="V862" s="34"/>
      <c r="W862" s="37">
        <f t="shared" ref="W862:W863" si="856">SUM(G862:V862)</f>
        <v>1356066.4</v>
      </c>
      <c r="X862" s="30" t="str">
        <f t="shared" ref="X862:X864" si="857">IF(ABS(F862-W862)&lt;0.01,"ok","err")</f>
        <v>ok</v>
      </c>
      <c r="Y862" s="34" t="str">
        <f t="shared" ref="Y862:Y864" si="858">IF(X862="err",W862-F862,"")</f>
        <v/>
      </c>
    </row>
    <row r="863" spans="1:25" ht="12" customHeight="1" x14ac:dyDescent="0.25">
      <c r="A863" s="29" t="s">
        <v>2224</v>
      </c>
      <c r="E863" s="29" t="s">
        <v>2214</v>
      </c>
      <c r="F863" s="34">
        <f>F861-F862</f>
        <v>4638709293.2988653</v>
      </c>
      <c r="G863" s="32">
        <f t="shared" ref="G863:V863" si="859">IF(VLOOKUP($E863,$D$5:$AJ$990,3,)=0,0,(VLOOKUP($E863,$D$5:$AJ$990,G$1,)/VLOOKUP($E863,$D$5:$AJ$990,3,))*$F863)</f>
        <v>1919356253.6339633</v>
      </c>
      <c r="H863" s="32">
        <f t="shared" si="859"/>
        <v>435361973.91238195</v>
      </c>
      <c r="I863" s="32">
        <f t="shared" si="859"/>
        <v>29426980.003630739</v>
      </c>
      <c r="J863" s="32">
        <f t="shared" si="859"/>
        <v>482065201.0804376</v>
      </c>
      <c r="K863" s="32">
        <f t="shared" si="859"/>
        <v>33295340.02488758</v>
      </c>
      <c r="L863" s="32">
        <f t="shared" si="859"/>
        <v>449729429.61157304</v>
      </c>
      <c r="M863" s="32">
        <f t="shared" si="859"/>
        <v>878426637.55972326</v>
      </c>
      <c r="N863" s="32">
        <f t="shared" si="859"/>
        <v>287662732.47613364</v>
      </c>
      <c r="O863" s="32">
        <f t="shared" si="859"/>
        <v>121318461.82166994</v>
      </c>
      <c r="P863" s="32">
        <f t="shared" si="859"/>
        <v>1763674.4847379541</v>
      </c>
      <c r="Q863" s="32">
        <f t="shared" si="859"/>
        <v>20115.696470598286</v>
      </c>
      <c r="R863" s="32">
        <f t="shared" si="859"/>
        <v>241738.24094981106</v>
      </c>
      <c r="S863" s="32">
        <f t="shared" si="859"/>
        <v>40754.752305828515</v>
      </c>
      <c r="T863" s="32">
        <f t="shared" si="859"/>
        <v>0</v>
      </c>
      <c r="U863" s="32">
        <f t="shared" si="859"/>
        <v>0</v>
      </c>
      <c r="V863" s="32">
        <f t="shared" si="859"/>
        <v>0</v>
      </c>
      <c r="W863" s="37">
        <f t="shared" si="856"/>
        <v>4638709293.2988653</v>
      </c>
      <c r="X863" s="30" t="str">
        <f t="shared" si="857"/>
        <v>ok</v>
      </c>
      <c r="Y863" s="34" t="str">
        <f t="shared" si="858"/>
        <v/>
      </c>
    </row>
    <row r="864" spans="1:25" ht="12" customHeight="1" x14ac:dyDescent="0.25">
      <c r="A864" s="29" t="s">
        <v>2225</v>
      </c>
      <c r="D864" s="29" t="s">
        <v>2215</v>
      </c>
      <c r="F864" s="34">
        <f t="shared" ref="F864" si="860">F862+F863</f>
        <v>4640065359.6988649</v>
      </c>
      <c r="G864" s="34">
        <f>G862+G863</f>
        <v>1919356253.6339633</v>
      </c>
      <c r="H864" s="34">
        <f t="shared" ref="H864:V864" si="861">H862+H863</f>
        <v>435361973.91238195</v>
      </c>
      <c r="I864" s="34">
        <f t="shared" si="861"/>
        <v>29426980.003630739</v>
      </c>
      <c r="J864" s="34">
        <f t="shared" si="861"/>
        <v>482065201.0804376</v>
      </c>
      <c r="K864" s="34">
        <f t="shared" si="861"/>
        <v>33295340.02488758</v>
      </c>
      <c r="L864" s="34">
        <f t="shared" si="861"/>
        <v>449729429.61157304</v>
      </c>
      <c r="M864" s="34">
        <f t="shared" si="861"/>
        <v>878426637.55972326</v>
      </c>
      <c r="N864" s="34">
        <f t="shared" si="861"/>
        <v>287662732.47613364</v>
      </c>
      <c r="O864" s="34">
        <f t="shared" si="861"/>
        <v>121318461.82166994</v>
      </c>
      <c r="P864" s="34">
        <f t="shared" si="861"/>
        <v>1763674.4847379541</v>
      </c>
      <c r="Q864" s="34">
        <f t="shared" si="861"/>
        <v>20115.696470598286</v>
      </c>
      <c r="R864" s="34">
        <f t="shared" si="861"/>
        <v>241738.24094981106</v>
      </c>
      <c r="S864" s="34">
        <f t="shared" si="861"/>
        <v>40754.752305828515</v>
      </c>
      <c r="T864" s="34">
        <f t="shared" si="861"/>
        <v>0</v>
      </c>
      <c r="U864" s="34">
        <f t="shared" si="861"/>
        <v>1356066.4</v>
      </c>
      <c r="V864" s="34">
        <f t="shared" si="861"/>
        <v>0</v>
      </c>
      <c r="W864" s="37">
        <f>SUM(G864:V864)</f>
        <v>4640065359.6988649</v>
      </c>
      <c r="X864" s="30" t="str">
        <f t="shared" si="857"/>
        <v>ok</v>
      </c>
      <c r="Y864" s="34" t="str">
        <f t="shared" si="858"/>
        <v/>
      </c>
    </row>
    <row r="865" spans="1:25" ht="12" customHeight="1" x14ac:dyDescent="0.25">
      <c r="A865" s="29" t="s">
        <v>2226</v>
      </c>
      <c r="D865" s="29" t="s">
        <v>2216</v>
      </c>
      <c r="E865" s="29" t="s">
        <v>2215</v>
      </c>
      <c r="F865" s="50">
        <v>1</v>
      </c>
      <c r="G865" s="49">
        <f t="shared" ref="G865:V865" si="862">IF(VLOOKUP($E865,$D$5:$AJ$990,3,)=0,0,(VLOOKUP($E865,$D$5:$AJ$990,G$1,)/VLOOKUP($E865,$D$5:$AJ$990,3,))*$F865)</f>
        <v>0.41364853829527248</v>
      </c>
      <c r="H865" s="49">
        <f t="shared" si="862"/>
        <v>9.3826689962969931E-2</v>
      </c>
      <c r="I865" s="49">
        <f t="shared" si="862"/>
        <v>6.3419322191488516E-3</v>
      </c>
      <c r="J865" s="49">
        <f t="shared" si="862"/>
        <v>0.10389189886577871</v>
      </c>
      <c r="K865" s="49">
        <f t="shared" si="862"/>
        <v>7.1756187561651955E-3</v>
      </c>
      <c r="L865" s="49">
        <f t="shared" si="862"/>
        <v>9.6923080764698535E-2</v>
      </c>
      <c r="M865" s="49">
        <f t="shared" si="862"/>
        <v>0.18931341898527312</v>
      </c>
      <c r="N865" s="49">
        <f t="shared" si="862"/>
        <v>6.1995405274809026E-2</v>
      </c>
      <c r="O865" s="49">
        <f t="shared" si="862"/>
        <v>2.6145851926004632E-2</v>
      </c>
      <c r="P865" s="49">
        <f t="shared" si="862"/>
        <v>3.8009690554281647E-4</v>
      </c>
      <c r="Q865" s="49">
        <f t="shared" si="862"/>
        <v>4.335218345265674E-6</v>
      </c>
      <c r="R865" s="49">
        <f t="shared" si="862"/>
        <v>5.2098024965212902E-5</v>
      </c>
      <c r="S865" s="49">
        <f t="shared" si="862"/>
        <v>8.7832280682514898E-6</v>
      </c>
      <c r="T865" s="49">
        <f t="shared" si="862"/>
        <v>0</v>
      </c>
      <c r="U865" s="49">
        <f t="shared" si="862"/>
        <v>2.9225157295801696E-4</v>
      </c>
      <c r="V865" s="49">
        <f t="shared" si="862"/>
        <v>0</v>
      </c>
      <c r="W865" s="41">
        <f>SUM(G865:V865)</f>
        <v>1.0000000000000002</v>
      </c>
      <c r="X865" s="30" t="str">
        <f t="shared" ref="X865" si="863">IF(ABS(F865-W865)&lt;0.01,"ok","err")</f>
        <v>ok</v>
      </c>
      <c r="Y865" s="34" t="str">
        <f t="shared" ref="Y865" si="864">IF(X865="err",W865-F865,"")</f>
        <v/>
      </c>
    </row>
    <row r="866" spans="1:25" ht="12" customHeight="1" x14ac:dyDescent="0.25">
      <c r="F866" s="50"/>
      <c r="G866" s="49"/>
      <c r="H866" s="49"/>
      <c r="I866" s="49"/>
      <c r="J866" s="49"/>
      <c r="K866" s="49"/>
      <c r="L866" s="49"/>
      <c r="M866" s="49"/>
      <c r="N866" s="49"/>
      <c r="O866" s="49"/>
      <c r="P866" s="49"/>
      <c r="Q866" s="49"/>
      <c r="R866" s="49"/>
      <c r="S866" s="49"/>
      <c r="T866" s="49"/>
      <c r="U866" s="49"/>
      <c r="V866" s="49"/>
      <c r="X866" s="30"/>
    </row>
    <row r="867" spans="1:25" ht="12" customHeight="1" x14ac:dyDescent="0.25">
      <c r="A867" s="29" t="s">
        <v>2217</v>
      </c>
      <c r="D867" s="29" t="s">
        <v>2227</v>
      </c>
      <c r="F867" s="33">
        <f>F857</f>
        <v>231980.94458548498</v>
      </c>
      <c r="G867" s="33">
        <f t="shared" ref="G867:V867" si="865">G857</f>
        <v>95986.63088400125</v>
      </c>
      <c r="H867" s="33">
        <f t="shared" si="865"/>
        <v>21772.367173492679</v>
      </c>
      <c r="I867" s="33">
        <f t="shared" si="865"/>
        <v>1471.6375150738759</v>
      </c>
      <c r="J867" s="33">
        <f t="shared" si="865"/>
        <v>24107.986430618217</v>
      </c>
      <c r="K867" s="33">
        <f t="shared" si="865"/>
        <v>1665.0934432184274</v>
      </c>
      <c r="L867" s="33">
        <f t="shared" si="865"/>
        <v>22490.880823227813</v>
      </c>
      <c r="M867" s="33">
        <f t="shared" si="865"/>
        <v>43929.94435424883</v>
      </c>
      <c r="N867" s="33">
        <f t="shared" si="865"/>
        <v>14385.956994170207</v>
      </c>
      <c r="O867" s="33">
        <f t="shared" si="865"/>
        <v>6067.1125499728178</v>
      </c>
      <c r="P867" s="33">
        <f t="shared" si="865"/>
        <v>88.201016067524634</v>
      </c>
      <c r="Q867" s="33">
        <f t="shared" si="865"/>
        <v>1.0059820465545273</v>
      </c>
      <c r="R867" s="33">
        <f t="shared" si="865"/>
        <v>12.089282154193764</v>
      </c>
      <c r="S867" s="33">
        <f t="shared" si="865"/>
        <v>2.0381371925831617</v>
      </c>
      <c r="T867" s="33">
        <f t="shared" si="865"/>
        <v>0</v>
      </c>
      <c r="U867" s="33">
        <f t="shared" si="865"/>
        <v>0</v>
      </c>
      <c r="V867" s="33">
        <f t="shared" si="865"/>
        <v>0</v>
      </c>
      <c r="W867" s="37">
        <f>SUM(G867:V867)</f>
        <v>231980.94458548498</v>
      </c>
      <c r="X867" s="30" t="str">
        <f>IF(ABS(F867-W867)&lt;0.01,"ok","err")</f>
        <v>ok</v>
      </c>
      <c r="Y867" s="34" t="str">
        <f>IF(X867="err",W867-F867,"")</f>
        <v/>
      </c>
    </row>
    <row r="868" spans="1:25" ht="12" customHeight="1" x14ac:dyDescent="0.25">
      <c r="A868" s="29" t="s">
        <v>2218</v>
      </c>
      <c r="F868" s="34">
        <f>F66</f>
        <v>2753659906.0233479</v>
      </c>
      <c r="G868" s="33"/>
      <c r="H868" s="33"/>
      <c r="I868" s="33"/>
      <c r="J868" s="33"/>
      <c r="K868" s="33"/>
      <c r="L868" s="33"/>
      <c r="M868" s="33"/>
      <c r="N868" s="33"/>
      <c r="O868" s="33"/>
      <c r="P868" s="33"/>
      <c r="Q868" s="33"/>
      <c r="R868" s="33"/>
      <c r="S868" s="33"/>
      <c r="T868" s="33"/>
      <c r="U868" s="33"/>
      <c r="V868" s="33">
        <f>V865</f>
        <v>0</v>
      </c>
      <c r="W868" s="37">
        <f>F868</f>
        <v>2753659906.0233479</v>
      </c>
      <c r="X868" s="30" t="str">
        <f>IF(ABS(F868-W868)&lt;0.01,"ok","err")</f>
        <v>ok</v>
      </c>
      <c r="Y868" s="34" t="str">
        <f>IF(X868="err",W868-F868,"")</f>
        <v/>
      </c>
    </row>
    <row r="869" spans="1:25" ht="12" customHeight="1" x14ac:dyDescent="0.25">
      <c r="A869" s="29" t="s">
        <v>818</v>
      </c>
      <c r="F869" s="34">
        <v>1352140.68</v>
      </c>
      <c r="G869" s="34"/>
      <c r="H869" s="34"/>
      <c r="I869" s="34"/>
      <c r="J869" s="34"/>
      <c r="K869" s="34"/>
      <c r="L869" s="34"/>
      <c r="M869" s="34"/>
      <c r="N869" s="34"/>
      <c r="O869" s="34"/>
      <c r="P869" s="34"/>
      <c r="Q869" s="34"/>
      <c r="R869" s="34"/>
      <c r="S869" s="34"/>
      <c r="T869" s="34"/>
      <c r="U869" s="34">
        <f>U862-3925.72</f>
        <v>1352140.68</v>
      </c>
      <c r="V869" s="34"/>
      <c r="W869" s="37">
        <f t="shared" ref="W869:W870" si="866">SUM(G869:V869)</f>
        <v>1352140.68</v>
      </c>
      <c r="X869" s="30" t="str">
        <f t="shared" ref="X869:X872" si="867">IF(ABS(F869-W869)&lt;0.01,"ok","err")</f>
        <v>ok</v>
      </c>
      <c r="Y869" s="34" t="str">
        <f t="shared" ref="Y869:Y872" si="868">IF(X869="err",W869-F869,"")</f>
        <v/>
      </c>
    </row>
    <row r="870" spans="1:25" ht="12" customHeight="1" x14ac:dyDescent="0.25">
      <c r="A870" s="29" t="s">
        <v>2219</v>
      </c>
      <c r="E870" s="29" t="s">
        <v>2227</v>
      </c>
      <c r="F870" s="34">
        <f>F868-F869</f>
        <v>2752307765.343348</v>
      </c>
      <c r="G870" s="32">
        <f t="shared" ref="G870:V870" si="869">IF(VLOOKUP($E870,$D$5:$AJ$990,3,)=0,0,(VLOOKUP($E870,$D$5:$AJ$990,G$1,)/VLOOKUP($E870,$D$5:$AJ$990,3,))*$F870)</f>
        <v>1138820906.2741797</v>
      </c>
      <c r="H870" s="32">
        <f t="shared" si="869"/>
        <v>258315420.4694964</v>
      </c>
      <c r="I870" s="32">
        <f t="shared" si="869"/>
        <v>17460052.02171183</v>
      </c>
      <c r="J870" s="32">
        <f t="shared" si="869"/>
        <v>286026071.57387298</v>
      </c>
      <c r="K870" s="32">
        <f t="shared" si="869"/>
        <v>19755284.736775398</v>
      </c>
      <c r="L870" s="32">
        <f t="shared" si="869"/>
        <v>266840132.27806684</v>
      </c>
      <c r="M870" s="32">
        <f t="shared" si="869"/>
        <v>521201115.00255299</v>
      </c>
      <c r="N870" s="32">
        <f t="shared" si="869"/>
        <v>170680316.94456485</v>
      </c>
      <c r="O870" s="32">
        <f t="shared" si="869"/>
        <v>71982468.27703923</v>
      </c>
      <c r="P870" s="32">
        <f t="shared" si="869"/>
        <v>1046449.4912183003</v>
      </c>
      <c r="Q870" s="32">
        <f t="shared" si="869"/>
        <v>11935.343238969035</v>
      </c>
      <c r="R870" s="32">
        <f t="shared" si="869"/>
        <v>143431.71681565852</v>
      </c>
      <c r="S870" s="32">
        <f t="shared" si="869"/>
        <v>24181.213814803639</v>
      </c>
      <c r="T870" s="32">
        <f t="shared" si="869"/>
        <v>0</v>
      </c>
      <c r="U870" s="32">
        <f t="shared" si="869"/>
        <v>0</v>
      </c>
      <c r="V870" s="32">
        <f t="shared" si="869"/>
        <v>0</v>
      </c>
      <c r="W870" s="37">
        <f t="shared" si="866"/>
        <v>2752307765.3433471</v>
      </c>
      <c r="X870" s="30" t="str">
        <f t="shared" si="867"/>
        <v>ok</v>
      </c>
      <c r="Y870" s="34" t="str">
        <f t="shared" si="868"/>
        <v/>
      </c>
    </row>
    <row r="871" spans="1:25" ht="12" customHeight="1" x14ac:dyDescent="0.25">
      <c r="A871" s="29" t="s">
        <v>2220</v>
      </c>
      <c r="D871" s="29" t="s">
        <v>2228</v>
      </c>
      <c r="F871" s="34">
        <f t="shared" ref="F871" si="870">F869+F870</f>
        <v>2753659906.0233479</v>
      </c>
      <c r="G871" s="34">
        <f>G869+G870</f>
        <v>1138820906.2741797</v>
      </c>
      <c r="H871" s="34">
        <f t="shared" ref="H871" si="871">H869+H870</f>
        <v>258315420.4694964</v>
      </c>
      <c r="I871" s="34">
        <f t="shared" ref="I871" si="872">I869+I870</f>
        <v>17460052.02171183</v>
      </c>
      <c r="J871" s="34">
        <f t="shared" ref="J871" si="873">J869+J870</f>
        <v>286026071.57387298</v>
      </c>
      <c r="K871" s="34">
        <f t="shared" ref="K871" si="874">K869+K870</f>
        <v>19755284.736775398</v>
      </c>
      <c r="L871" s="34">
        <f t="shared" ref="L871" si="875">L869+L870</f>
        <v>266840132.27806684</v>
      </c>
      <c r="M871" s="34">
        <f t="shared" ref="M871" si="876">M869+M870</f>
        <v>521201115.00255299</v>
      </c>
      <c r="N871" s="34">
        <f t="shared" ref="N871" si="877">N869+N870</f>
        <v>170680316.94456485</v>
      </c>
      <c r="O871" s="34">
        <f t="shared" ref="O871" si="878">O869+O870</f>
        <v>71982468.27703923</v>
      </c>
      <c r="P871" s="34">
        <f t="shared" ref="P871" si="879">P869+P870</f>
        <v>1046449.4912183003</v>
      </c>
      <c r="Q871" s="34">
        <f t="shared" ref="Q871" si="880">Q869+Q870</f>
        <v>11935.343238969035</v>
      </c>
      <c r="R871" s="34">
        <f t="shared" ref="R871" si="881">R869+R870</f>
        <v>143431.71681565852</v>
      </c>
      <c r="S871" s="34">
        <f t="shared" ref="S871" si="882">S869+S870</f>
        <v>24181.213814803639</v>
      </c>
      <c r="T871" s="34">
        <f t="shared" ref="T871" si="883">T869+T870</f>
        <v>0</v>
      </c>
      <c r="U871" s="34">
        <f t="shared" ref="U871" si="884">U869+U870</f>
        <v>1352140.68</v>
      </c>
      <c r="V871" s="34">
        <f t="shared" ref="V871" si="885">V869+V870</f>
        <v>0</v>
      </c>
      <c r="W871" s="37">
        <f>SUM(G871:V871)</f>
        <v>2753659906.0233469</v>
      </c>
      <c r="X871" s="30" t="str">
        <f t="shared" si="867"/>
        <v>ok</v>
      </c>
      <c r="Y871" s="34" t="str">
        <f t="shared" si="868"/>
        <v/>
      </c>
    </row>
    <row r="872" spans="1:25" ht="12" customHeight="1" x14ac:dyDescent="0.25">
      <c r="A872" s="29" t="s">
        <v>2221</v>
      </c>
      <c r="D872" s="29" t="s">
        <v>2229</v>
      </c>
      <c r="E872" s="29" t="s">
        <v>2228</v>
      </c>
      <c r="F872" s="50">
        <v>1</v>
      </c>
      <c r="G872" s="49">
        <f t="shared" ref="G872:V872" si="886">IF(VLOOKUP($E872,$D$5:$AJ$990,3,)=0,0,(VLOOKUP($E872,$D$5:$AJ$990,G$1,)/VLOOKUP($E872,$D$5:$AJ$990,3,))*$F872)</f>
        <v>0.41356628819090047</v>
      </c>
      <c r="H872" s="49">
        <f t="shared" si="886"/>
        <v>9.3808033411990344E-2</v>
      </c>
      <c r="I872" s="49">
        <f t="shared" si="886"/>
        <v>6.3406711858351719E-3</v>
      </c>
      <c r="J872" s="49">
        <f t="shared" si="886"/>
        <v>0.10387124094308828</v>
      </c>
      <c r="K872" s="49">
        <f t="shared" si="886"/>
        <v>7.1741919521589228E-3</v>
      </c>
      <c r="L872" s="49">
        <f t="shared" si="886"/>
        <v>9.6903808525657609E-2</v>
      </c>
      <c r="M872" s="49">
        <f t="shared" si="886"/>
        <v>0.18927577580022834</v>
      </c>
      <c r="N872" s="49">
        <f t="shared" si="886"/>
        <v>6.1983078074100292E-2</v>
      </c>
      <c r="O872" s="49">
        <f t="shared" si="886"/>
        <v>2.6140653070331955E-2</v>
      </c>
      <c r="P872" s="49">
        <f t="shared" si="886"/>
        <v>3.8002132686367683E-4</v>
      </c>
      <c r="Q872" s="49">
        <f t="shared" si="886"/>
        <v>4.3343563280496983E-6</v>
      </c>
      <c r="R872" s="49">
        <f t="shared" si="886"/>
        <v>5.2087665765084641E-5</v>
      </c>
      <c r="S872" s="49">
        <f t="shared" si="886"/>
        <v>8.7814816063195467E-6</v>
      </c>
      <c r="T872" s="49">
        <f t="shared" si="886"/>
        <v>0</v>
      </c>
      <c r="U872" s="49">
        <f t="shared" si="886"/>
        <v>4.9103401514556362E-4</v>
      </c>
      <c r="V872" s="49">
        <f t="shared" si="886"/>
        <v>0</v>
      </c>
      <c r="W872" s="41">
        <f>SUM(G872:V872)</f>
        <v>1</v>
      </c>
      <c r="X872" s="30" t="str">
        <f t="shared" si="867"/>
        <v>ok</v>
      </c>
      <c r="Y872" s="34" t="str">
        <f t="shared" si="868"/>
        <v/>
      </c>
    </row>
    <row r="873" spans="1:25" ht="12" customHeight="1" x14ac:dyDescent="0.25">
      <c r="F873" s="50"/>
      <c r="G873" s="49"/>
      <c r="H873" s="49"/>
      <c r="I873" s="49"/>
      <c r="J873" s="49"/>
      <c r="K873" s="49"/>
      <c r="L873" s="49"/>
      <c r="M873" s="49"/>
      <c r="N873" s="49"/>
      <c r="O873" s="49"/>
      <c r="P873" s="49"/>
      <c r="Q873" s="49"/>
      <c r="R873" s="49"/>
      <c r="S873" s="49"/>
      <c r="T873" s="49"/>
      <c r="U873" s="49"/>
      <c r="V873" s="49"/>
      <c r="X873" s="30"/>
    </row>
    <row r="874" spans="1:25" ht="12" customHeight="1" x14ac:dyDescent="0.25">
      <c r="A874" s="29" t="s">
        <v>2230</v>
      </c>
      <c r="D874" s="29" t="s">
        <v>2235</v>
      </c>
      <c r="F874" s="33">
        <f>F857</f>
        <v>231980.94458548498</v>
      </c>
      <c r="G874" s="33">
        <f t="shared" ref="G874:V874" si="887">G857</f>
        <v>95986.63088400125</v>
      </c>
      <c r="H874" s="33">
        <f t="shared" si="887"/>
        <v>21772.367173492679</v>
      </c>
      <c r="I874" s="33">
        <f t="shared" si="887"/>
        <v>1471.6375150738759</v>
      </c>
      <c r="J874" s="33">
        <f t="shared" si="887"/>
        <v>24107.986430618217</v>
      </c>
      <c r="K874" s="33">
        <f t="shared" si="887"/>
        <v>1665.0934432184274</v>
      </c>
      <c r="L874" s="33">
        <f t="shared" si="887"/>
        <v>22490.880823227813</v>
      </c>
      <c r="M874" s="33">
        <f t="shared" si="887"/>
        <v>43929.94435424883</v>
      </c>
      <c r="N874" s="33">
        <f t="shared" si="887"/>
        <v>14385.956994170207</v>
      </c>
      <c r="O874" s="33">
        <f t="shared" si="887"/>
        <v>6067.1125499728178</v>
      </c>
      <c r="P874" s="33">
        <f t="shared" si="887"/>
        <v>88.201016067524634</v>
      </c>
      <c r="Q874" s="33">
        <f t="shared" si="887"/>
        <v>1.0059820465545273</v>
      </c>
      <c r="R874" s="33">
        <f t="shared" si="887"/>
        <v>12.089282154193764</v>
      </c>
      <c r="S874" s="33">
        <f t="shared" si="887"/>
        <v>2.0381371925831617</v>
      </c>
      <c r="T874" s="33">
        <f t="shared" si="887"/>
        <v>0</v>
      </c>
      <c r="U874" s="33">
        <f t="shared" si="887"/>
        <v>0</v>
      </c>
      <c r="V874" s="33">
        <f t="shared" si="887"/>
        <v>0</v>
      </c>
      <c r="W874" s="37">
        <f>SUM(G874:V874)</f>
        <v>231980.94458548498</v>
      </c>
      <c r="X874" s="30" t="str">
        <f>IF(ABS(F874-W874)&lt;0.01,"ok","err")</f>
        <v>ok</v>
      </c>
      <c r="Y874" s="34" t="str">
        <f>IF(X874="err",W874-F874,"")</f>
        <v/>
      </c>
    </row>
    <row r="875" spans="1:25" ht="12" customHeight="1" x14ac:dyDescent="0.25">
      <c r="A875" s="29" t="s">
        <v>2231</v>
      </c>
      <c r="F875" s="34">
        <f>F123</f>
        <v>2253628854.7489562</v>
      </c>
      <c r="G875" s="33"/>
      <c r="H875" s="33"/>
      <c r="I875" s="33"/>
      <c r="J875" s="33"/>
      <c r="K875" s="33"/>
      <c r="L875" s="33"/>
      <c r="M875" s="33"/>
      <c r="N875" s="33"/>
      <c r="O875" s="33"/>
      <c r="P875" s="33"/>
      <c r="Q875" s="33"/>
      <c r="R875" s="33"/>
      <c r="S875" s="33"/>
      <c r="T875" s="33"/>
      <c r="U875" s="33"/>
      <c r="V875" s="33">
        <f>V872</f>
        <v>0</v>
      </c>
      <c r="W875" s="37">
        <f>F875</f>
        <v>2253628854.7489562</v>
      </c>
      <c r="X875" s="30" t="str">
        <f>IF(ABS(F875-W875)&lt;0.01,"ok","err")</f>
        <v>ok</v>
      </c>
      <c r="Y875" s="34" t="str">
        <f>IF(X875="err",W875-F875,"")</f>
        <v/>
      </c>
    </row>
    <row r="876" spans="1:25" ht="12" customHeight="1" x14ac:dyDescent="0.25">
      <c r="A876" s="29" t="s">
        <v>818</v>
      </c>
      <c r="F876" s="34">
        <v>1173127.4999999998</v>
      </c>
      <c r="G876" s="34"/>
      <c r="H876" s="34"/>
      <c r="I876" s="34"/>
      <c r="J876" s="34"/>
      <c r="K876" s="34"/>
      <c r="L876" s="34"/>
      <c r="M876" s="34"/>
      <c r="N876" s="34"/>
      <c r="O876" s="34"/>
      <c r="P876" s="34"/>
      <c r="Q876" s="34"/>
      <c r="R876" s="34"/>
      <c r="S876" s="34"/>
      <c r="T876" s="34"/>
      <c r="U876" s="34">
        <f>U869-132292.1-46721.08</f>
        <v>1173127.4999999998</v>
      </c>
      <c r="V876" s="34"/>
      <c r="W876" s="37">
        <f t="shared" ref="W876:W877" si="888">SUM(G876:V876)</f>
        <v>1173127.4999999998</v>
      </c>
      <c r="X876" s="30" t="str">
        <f t="shared" ref="X876:X879" si="889">IF(ABS(F876-W876)&lt;0.01,"ok","err")</f>
        <v>ok</v>
      </c>
      <c r="Y876" s="34" t="str">
        <f t="shared" ref="Y876:Y879" si="890">IF(X876="err",W876-F876,"")</f>
        <v/>
      </c>
    </row>
    <row r="877" spans="1:25" ht="12" customHeight="1" x14ac:dyDescent="0.25">
      <c r="A877" s="29" t="s">
        <v>2232</v>
      </c>
      <c r="E877" s="29" t="s">
        <v>2235</v>
      </c>
      <c r="F877" s="34">
        <f>F875-F876</f>
        <v>2252455727.2489562</v>
      </c>
      <c r="G877" s="32">
        <f t="shared" ref="G877:V877" si="891">IF(VLOOKUP($E877,$D$5:$AJ$990,3,)=0,0,(VLOOKUP($E877,$D$5:$AJ$990,G$1,)/VLOOKUP($E877,$D$5:$AJ$990,3,))*$F877)</f>
        <v>931997396.85656977</v>
      </c>
      <c r="H877" s="32">
        <f t="shared" si="891"/>
        <v>211402247.81535465</v>
      </c>
      <c r="I877" s="32">
        <f t="shared" si="891"/>
        <v>14289097.560084598</v>
      </c>
      <c r="J877" s="32">
        <f t="shared" si="891"/>
        <v>234080312.95465207</v>
      </c>
      <c r="K877" s="32">
        <f t="shared" si="891"/>
        <v>16167488.537835289</v>
      </c>
      <c r="L877" s="32">
        <f t="shared" si="891"/>
        <v>218378769.9100652</v>
      </c>
      <c r="M877" s="32">
        <f t="shared" si="891"/>
        <v>426544753.21352333</v>
      </c>
      <c r="N877" s="32">
        <f t="shared" si="891"/>
        <v>139682728.17138687</v>
      </c>
      <c r="O877" s="32">
        <f t="shared" si="891"/>
        <v>58909590.334969983</v>
      </c>
      <c r="P877" s="32">
        <f t="shared" si="891"/>
        <v>856401.73655411426</v>
      </c>
      <c r="Q877" s="32">
        <f t="shared" si="891"/>
        <v>9767.7420286405286</v>
      </c>
      <c r="R877" s="32">
        <f t="shared" si="891"/>
        <v>117382.80001919673</v>
      </c>
      <c r="S877" s="32">
        <f t="shared" si="891"/>
        <v>19789.615912445501</v>
      </c>
      <c r="T877" s="32">
        <f t="shared" si="891"/>
        <v>0</v>
      </c>
      <c r="U877" s="32">
        <f t="shared" si="891"/>
        <v>0</v>
      </c>
      <c r="V877" s="32">
        <f t="shared" si="891"/>
        <v>0</v>
      </c>
      <c r="W877" s="37">
        <f t="shared" si="888"/>
        <v>2252455727.2489562</v>
      </c>
      <c r="X877" s="30" t="str">
        <f t="shared" si="889"/>
        <v>ok</v>
      </c>
      <c r="Y877" s="34" t="str">
        <f t="shared" si="890"/>
        <v/>
      </c>
    </row>
    <row r="878" spans="1:25" ht="12" customHeight="1" x14ac:dyDescent="0.25">
      <c r="A878" s="29" t="s">
        <v>2233</v>
      </c>
      <c r="D878" s="29" t="s">
        <v>2236</v>
      </c>
      <c r="F878" s="34">
        <f t="shared" ref="F878" si="892">F876+F877</f>
        <v>2253628854.7489562</v>
      </c>
      <c r="G878" s="34">
        <f>G876+G877</f>
        <v>931997396.85656977</v>
      </c>
      <c r="H878" s="34">
        <f t="shared" ref="H878" si="893">H876+H877</f>
        <v>211402247.81535465</v>
      </c>
      <c r="I878" s="34">
        <f t="shared" ref="I878" si="894">I876+I877</f>
        <v>14289097.560084598</v>
      </c>
      <c r="J878" s="34">
        <f t="shared" ref="J878" si="895">J876+J877</f>
        <v>234080312.95465207</v>
      </c>
      <c r="K878" s="34">
        <f t="shared" ref="K878" si="896">K876+K877</f>
        <v>16167488.537835289</v>
      </c>
      <c r="L878" s="34">
        <f t="shared" ref="L878" si="897">L876+L877</f>
        <v>218378769.9100652</v>
      </c>
      <c r="M878" s="34">
        <f t="shared" ref="M878" si="898">M876+M877</f>
        <v>426544753.21352333</v>
      </c>
      <c r="N878" s="34">
        <f t="shared" ref="N878" si="899">N876+N877</f>
        <v>139682728.17138687</v>
      </c>
      <c r="O878" s="34">
        <f t="shared" ref="O878" si="900">O876+O877</f>
        <v>58909590.334969983</v>
      </c>
      <c r="P878" s="34">
        <f t="shared" ref="P878" si="901">P876+P877</f>
        <v>856401.73655411426</v>
      </c>
      <c r="Q878" s="34">
        <f t="shared" ref="Q878" si="902">Q876+Q877</f>
        <v>9767.7420286405286</v>
      </c>
      <c r="R878" s="34">
        <f t="shared" ref="R878" si="903">R876+R877</f>
        <v>117382.80001919673</v>
      </c>
      <c r="S878" s="34">
        <f t="shared" ref="S878" si="904">S876+S877</f>
        <v>19789.615912445501</v>
      </c>
      <c r="T878" s="34">
        <f t="shared" ref="T878" si="905">T876+T877</f>
        <v>0</v>
      </c>
      <c r="U878" s="34">
        <f t="shared" ref="U878" si="906">U876+U877</f>
        <v>1173127.4999999998</v>
      </c>
      <c r="V878" s="34">
        <f t="shared" ref="V878" si="907">V876+V877</f>
        <v>0</v>
      </c>
      <c r="W878" s="37">
        <f>SUM(G878:V878)</f>
        <v>2253628854.7489562</v>
      </c>
      <c r="X878" s="30" t="str">
        <f t="shared" si="889"/>
        <v>ok</v>
      </c>
      <c r="Y878" s="34" t="str">
        <f t="shared" si="890"/>
        <v/>
      </c>
    </row>
    <row r="879" spans="1:25" ht="12" customHeight="1" x14ac:dyDescent="0.25">
      <c r="A879" s="29" t="s">
        <v>2234</v>
      </c>
      <c r="D879" s="29" t="s">
        <v>2237</v>
      </c>
      <c r="E879" s="29" t="s">
        <v>2236</v>
      </c>
      <c r="F879" s="50">
        <v>1</v>
      </c>
      <c r="G879" s="49">
        <f t="shared" ref="G879:V879" si="908">IF(VLOOKUP($E879,$D$5:$AJ$990,3,)=0,0,(VLOOKUP($E879,$D$5:$AJ$990,G$1,)/VLOOKUP($E879,$D$5:$AJ$990,3,))*$F879)</f>
        <v>0.4135540751941561</v>
      </c>
      <c r="H879" s="49">
        <f t="shared" si="908"/>
        <v>9.380526317360445E-2</v>
      </c>
      <c r="I879" s="49">
        <f t="shared" si="908"/>
        <v>6.340483939923789E-3</v>
      </c>
      <c r="J879" s="49">
        <f t="shared" si="908"/>
        <v>0.10386817352883403</v>
      </c>
      <c r="K879" s="49">
        <f t="shared" si="908"/>
        <v>7.1739800916048669E-3</v>
      </c>
      <c r="L879" s="49">
        <f t="shared" si="908"/>
        <v>9.6900946866156273E-2</v>
      </c>
      <c r="M879" s="49">
        <f t="shared" si="908"/>
        <v>0.18927018631070838</v>
      </c>
      <c r="N879" s="49">
        <f t="shared" si="908"/>
        <v>6.1981247656214836E-2</v>
      </c>
      <c r="O879" s="49">
        <f t="shared" si="908"/>
        <v>2.61398811125589E-2</v>
      </c>
      <c r="P879" s="49">
        <f t="shared" si="908"/>
        <v>3.8001010448080786E-4</v>
      </c>
      <c r="Q879" s="49">
        <f t="shared" si="908"/>
        <v>4.3342283304801804E-6</v>
      </c>
      <c r="R879" s="49">
        <f t="shared" si="908"/>
        <v>5.2086127567918735E-5</v>
      </c>
      <c r="S879" s="49">
        <f t="shared" si="908"/>
        <v>8.7812222810086318E-6</v>
      </c>
      <c r="T879" s="49">
        <f t="shared" si="908"/>
        <v>0</v>
      </c>
      <c r="U879" s="49">
        <f t="shared" si="908"/>
        <v>5.2055044357811114E-4</v>
      </c>
      <c r="V879" s="49">
        <f t="shared" si="908"/>
        <v>0</v>
      </c>
      <c r="W879" s="41">
        <f>SUM(G879:V879)</f>
        <v>1</v>
      </c>
      <c r="X879" s="30" t="str">
        <f t="shared" si="889"/>
        <v>ok</v>
      </c>
      <c r="Y879" s="34" t="str">
        <f t="shared" si="890"/>
        <v/>
      </c>
    </row>
    <row r="880" spans="1:25" ht="12" customHeight="1" x14ac:dyDescent="0.25">
      <c r="F880" s="50"/>
      <c r="G880" s="49"/>
      <c r="H880" s="49"/>
      <c r="I880" s="49"/>
      <c r="J880" s="49"/>
      <c r="K880" s="49"/>
      <c r="L880" s="49"/>
      <c r="M880" s="49"/>
      <c r="N880" s="49"/>
      <c r="O880" s="49"/>
      <c r="P880" s="49"/>
      <c r="Q880" s="49"/>
      <c r="R880" s="49"/>
      <c r="S880" s="49"/>
      <c r="T880" s="49"/>
      <c r="U880" s="49"/>
      <c r="V880" s="49"/>
      <c r="W880" s="41"/>
      <c r="X880" s="30"/>
      <c r="Y880" s="34"/>
    </row>
    <row r="881" spans="1:25" ht="12" customHeight="1" x14ac:dyDescent="0.25">
      <c r="A881" s="29" t="s">
        <v>2238</v>
      </c>
      <c r="D881" s="29" t="s">
        <v>2253</v>
      </c>
      <c r="F881" s="33">
        <f>F857</f>
        <v>231980.94458548498</v>
      </c>
      <c r="G881" s="33">
        <f t="shared" ref="G881:V881" si="909">G857</f>
        <v>95986.63088400125</v>
      </c>
      <c r="H881" s="33">
        <f t="shared" si="909"/>
        <v>21772.367173492679</v>
      </c>
      <c r="I881" s="33">
        <f t="shared" si="909"/>
        <v>1471.6375150738759</v>
      </c>
      <c r="J881" s="33">
        <f t="shared" si="909"/>
        <v>24107.986430618217</v>
      </c>
      <c r="K881" s="33">
        <f t="shared" si="909"/>
        <v>1665.0934432184274</v>
      </c>
      <c r="L881" s="33">
        <f t="shared" si="909"/>
        <v>22490.880823227813</v>
      </c>
      <c r="M881" s="33">
        <f t="shared" si="909"/>
        <v>43929.94435424883</v>
      </c>
      <c r="N881" s="33">
        <f t="shared" si="909"/>
        <v>14385.956994170207</v>
      </c>
      <c r="O881" s="33">
        <f t="shared" si="909"/>
        <v>6067.1125499728178</v>
      </c>
      <c r="P881" s="33">
        <f t="shared" si="909"/>
        <v>88.201016067524634</v>
      </c>
      <c r="Q881" s="33">
        <f t="shared" si="909"/>
        <v>1.0059820465545273</v>
      </c>
      <c r="R881" s="33">
        <f t="shared" si="909"/>
        <v>12.089282154193764</v>
      </c>
      <c r="S881" s="33">
        <f t="shared" si="909"/>
        <v>2.0381371925831617</v>
      </c>
      <c r="T881" s="33">
        <f t="shared" si="909"/>
        <v>0</v>
      </c>
      <c r="U881" s="33">
        <f t="shared" si="909"/>
        <v>0</v>
      </c>
      <c r="V881" s="33">
        <f t="shared" si="909"/>
        <v>0</v>
      </c>
      <c r="W881" s="37">
        <f>SUM(G881:V881)</f>
        <v>231980.94458548498</v>
      </c>
      <c r="X881" s="30" t="str">
        <f>IF(ABS(F881-W881)&lt;0.01,"ok","err")</f>
        <v>ok</v>
      </c>
      <c r="Y881" s="34" t="str">
        <f>IF(X881="err",W881-F881,"")</f>
        <v/>
      </c>
    </row>
    <row r="882" spans="1:25" ht="12" customHeight="1" x14ac:dyDescent="0.25">
      <c r="A882" s="29" t="s">
        <v>2239</v>
      </c>
      <c r="F882" s="34">
        <f>F180</f>
        <v>114827525.17010441</v>
      </c>
      <c r="G882" s="33"/>
      <c r="H882" s="33"/>
      <c r="I882" s="33"/>
      <c r="J882" s="33"/>
      <c r="K882" s="33"/>
      <c r="L882" s="33"/>
      <c r="M882" s="33"/>
      <c r="N882" s="33"/>
      <c r="O882" s="33"/>
      <c r="P882" s="33"/>
      <c r="Q882" s="33"/>
      <c r="R882" s="33"/>
      <c r="S882" s="33"/>
      <c r="T882" s="33"/>
      <c r="U882" s="33"/>
      <c r="V882" s="33">
        <f>V879</f>
        <v>0</v>
      </c>
      <c r="W882" s="37">
        <f>F882</f>
        <v>114827525.17010441</v>
      </c>
      <c r="X882" s="30" t="str">
        <f>IF(ABS(F882-W882)&lt;0.01,"ok","err")</f>
        <v>ok</v>
      </c>
      <c r="Y882" s="34" t="str">
        <f>IF(X882="err",W882-F882,"")</f>
        <v/>
      </c>
    </row>
    <row r="883" spans="1:25" ht="12" customHeight="1" x14ac:dyDescent="0.25">
      <c r="A883" s="29" t="s">
        <v>818</v>
      </c>
      <c r="F883" s="34">
        <v>68298.53</v>
      </c>
      <c r="G883" s="34"/>
      <c r="H883" s="34"/>
      <c r="I883" s="34"/>
      <c r="J883" s="34"/>
      <c r="K883" s="34"/>
      <c r="L883" s="34"/>
      <c r="M883" s="34"/>
      <c r="N883" s="34"/>
      <c r="O883" s="34"/>
      <c r="P883" s="34"/>
      <c r="Q883" s="34"/>
      <c r="R883" s="34"/>
      <c r="S883" s="34"/>
      <c r="T883" s="34"/>
      <c r="U883" s="34">
        <v>68298.53</v>
      </c>
      <c r="V883" s="34"/>
      <c r="W883" s="37">
        <f t="shared" ref="W883:W884" si="910">SUM(G883:V883)</f>
        <v>68298.53</v>
      </c>
      <c r="X883" s="30" t="str">
        <f t="shared" ref="X883:X886" si="911">IF(ABS(F883-W883)&lt;0.01,"ok","err")</f>
        <v>ok</v>
      </c>
      <c r="Y883" s="34" t="str">
        <f t="shared" ref="Y883:Y886" si="912">IF(X883="err",W883-F883,"")</f>
        <v/>
      </c>
    </row>
    <row r="884" spans="1:25" ht="12" customHeight="1" x14ac:dyDescent="0.25">
      <c r="A884" s="29" t="s">
        <v>2240</v>
      </c>
      <c r="E884" s="29" t="s">
        <v>2253</v>
      </c>
      <c r="F884" s="34">
        <f>F882-F883</f>
        <v>114759226.64010441</v>
      </c>
      <c r="G884" s="32">
        <f t="shared" ref="G884:V884" si="913">IF(VLOOKUP($E884,$D$5:$AJ$990,3,)=0,0,(VLOOKUP($E884,$D$5:$AJ$990,G$1,)/VLOOKUP($E884,$D$5:$AJ$990,3,))*$F884)</f>
        <v>47483863.589399204</v>
      </c>
      <c r="H884" s="32">
        <f t="shared" si="913"/>
        <v>10770626.110773891</v>
      </c>
      <c r="I884" s="32">
        <f t="shared" si="913"/>
        <v>728007.99835612893</v>
      </c>
      <c r="J884" s="32">
        <f t="shared" si="913"/>
        <v>11926039.371774266</v>
      </c>
      <c r="K884" s="32">
        <f t="shared" si="913"/>
        <v>823709.18942801608</v>
      </c>
      <c r="L884" s="32">
        <f t="shared" si="913"/>
        <v>11126069.403417172</v>
      </c>
      <c r="M884" s="32">
        <f t="shared" si="913"/>
        <v>21731812.711792253</v>
      </c>
      <c r="N884" s="32">
        <f t="shared" si="913"/>
        <v>7116624.6093131565</v>
      </c>
      <c r="O884" s="32">
        <f t="shared" si="913"/>
        <v>3001354.8975647939</v>
      </c>
      <c r="P884" s="32">
        <f t="shared" si="913"/>
        <v>43632.378559656383</v>
      </c>
      <c r="Q884" s="32">
        <f t="shared" si="913"/>
        <v>497.65174412368731</v>
      </c>
      <c r="R884" s="32">
        <f t="shared" si="913"/>
        <v>5980.4768582535489</v>
      </c>
      <c r="S884" s="32">
        <f t="shared" si="913"/>
        <v>1008.2511234929766</v>
      </c>
      <c r="T884" s="32">
        <f t="shared" si="913"/>
        <v>0</v>
      </c>
      <c r="U884" s="32">
        <f t="shared" si="913"/>
        <v>0</v>
      </c>
      <c r="V884" s="32">
        <f t="shared" si="913"/>
        <v>0</v>
      </c>
      <c r="W884" s="37">
        <f t="shared" si="910"/>
        <v>114759226.64010441</v>
      </c>
      <c r="X884" s="30" t="str">
        <f t="shared" si="911"/>
        <v>ok</v>
      </c>
      <c r="Y884" s="34" t="str">
        <f t="shared" si="912"/>
        <v/>
      </c>
    </row>
    <row r="885" spans="1:25" ht="12" customHeight="1" x14ac:dyDescent="0.25">
      <c r="A885" s="29" t="s">
        <v>2241</v>
      </c>
      <c r="D885" s="29" t="s">
        <v>2254</v>
      </c>
      <c r="F885" s="34">
        <f t="shared" ref="F885" si="914">F883+F884</f>
        <v>114827525.17010441</v>
      </c>
      <c r="G885" s="34">
        <f>G883+G884</f>
        <v>47483863.589399204</v>
      </c>
      <c r="H885" s="34">
        <f t="shared" ref="H885" si="915">H883+H884</f>
        <v>10770626.110773891</v>
      </c>
      <c r="I885" s="34">
        <f t="shared" ref="I885" si="916">I883+I884</f>
        <v>728007.99835612893</v>
      </c>
      <c r="J885" s="34">
        <f t="shared" ref="J885" si="917">J883+J884</f>
        <v>11926039.371774266</v>
      </c>
      <c r="K885" s="34">
        <f t="shared" ref="K885" si="918">K883+K884</f>
        <v>823709.18942801608</v>
      </c>
      <c r="L885" s="34">
        <f t="shared" ref="L885" si="919">L883+L884</f>
        <v>11126069.403417172</v>
      </c>
      <c r="M885" s="34">
        <f t="shared" ref="M885" si="920">M883+M884</f>
        <v>21731812.711792253</v>
      </c>
      <c r="N885" s="34">
        <f t="shared" ref="N885" si="921">N883+N884</f>
        <v>7116624.6093131565</v>
      </c>
      <c r="O885" s="34">
        <f t="shared" ref="O885" si="922">O883+O884</f>
        <v>3001354.8975647939</v>
      </c>
      <c r="P885" s="34">
        <f t="shared" ref="P885" si="923">P883+P884</f>
        <v>43632.378559656383</v>
      </c>
      <c r="Q885" s="34">
        <f t="shared" ref="Q885" si="924">Q883+Q884</f>
        <v>497.65174412368731</v>
      </c>
      <c r="R885" s="34">
        <f t="shared" ref="R885" si="925">R883+R884</f>
        <v>5980.4768582535489</v>
      </c>
      <c r="S885" s="34">
        <f t="shared" ref="S885" si="926">S883+S884</f>
        <v>1008.2511234929766</v>
      </c>
      <c r="T885" s="34">
        <f t="shared" ref="T885" si="927">T883+T884</f>
        <v>0</v>
      </c>
      <c r="U885" s="34">
        <f t="shared" ref="U885" si="928">U883+U884</f>
        <v>68298.53</v>
      </c>
      <c r="V885" s="34">
        <f t="shared" ref="V885" si="929">V883+V884</f>
        <v>0</v>
      </c>
      <c r="W885" s="37">
        <f>SUM(G885:V885)</f>
        <v>114827525.17010441</v>
      </c>
      <c r="X885" s="30" t="str">
        <f t="shared" si="911"/>
        <v>ok</v>
      </c>
      <c r="Y885" s="34" t="str">
        <f t="shared" si="912"/>
        <v/>
      </c>
    </row>
    <row r="886" spans="1:25" ht="12" customHeight="1" x14ac:dyDescent="0.25">
      <c r="A886" s="29" t="s">
        <v>2242</v>
      </c>
      <c r="D886" s="29" t="s">
        <v>2255</v>
      </c>
      <c r="E886" s="29" t="s">
        <v>2254</v>
      </c>
      <c r="F886" s="50">
        <v>1</v>
      </c>
      <c r="G886" s="49">
        <f t="shared" ref="G886:V886" si="930">IF(VLOOKUP($E886,$D$5:$AJ$990,3,)=0,0,(VLOOKUP($E886,$D$5:$AJ$990,G$1,)/VLOOKUP($E886,$D$5:$AJ$990,3,))*$F886)</f>
        <v>0.41352335617315672</v>
      </c>
      <c r="H886" s="49">
        <f t="shared" si="930"/>
        <v>9.3798295267779982E-2</v>
      </c>
      <c r="I886" s="49">
        <f t="shared" si="930"/>
        <v>6.340012965337925E-3</v>
      </c>
      <c r="J886" s="49">
        <f t="shared" si="930"/>
        <v>0.10386045814457068</v>
      </c>
      <c r="K886" s="49">
        <f t="shared" si="930"/>
        <v>7.1734472044728045E-3</v>
      </c>
      <c r="L886" s="49">
        <f t="shared" si="930"/>
        <v>9.689374901126814E-2</v>
      </c>
      <c r="M886" s="49">
        <f t="shared" si="930"/>
        <v>0.18925612721861723</v>
      </c>
      <c r="N886" s="49">
        <f t="shared" si="930"/>
        <v>6.1976643655522974E-2</v>
      </c>
      <c r="O886" s="49">
        <f t="shared" si="930"/>
        <v>2.6137939428012708E-2</v>
      </c>
      <c r="P886" s="49">
        <f t="shared" si="930"/>
        <v>3.7998187712414588E-4</v>
      </c>
      <c r="Q886" s="49">
        <f t="shared" si="930"/>
        <v>4.3339063816490927E-6</v>
      </c>
      <c r="R886" s="49">
        <f t="shared" si="930"/>
        <v>5.2082258582113709E-5</v>
      </c>
      <c r="S886" s="49">
        <f t="shared" si="930"/>
        <v>8.7805700070550406E-6</v>
      </c>
      <c r="T886" s="49">
        <f t="shared" si="930"/>
        <v>0</v>
      </c>
      <c r="U886" s="49">
        <f t="shared" si="930"/>
        <v>5.9479231916583766E-4</v>
      </c>
      <c r="V886" s="49">
        <f t="shared" si="930"/>
        <v>0</v>
      </c>
      <c r="W886" s="41">
        <f>SUM(G886:V886)</f>
        <v>0.99999999999999989</v>
      </c>
      <c r="X886" s="30" t="str">
        <f t="shared" si="911"/>
        <v>ok</v>
      </c>
      <c r="Y886" s="34" t="str">
        <f t="shared" si="912"/>
        <v/>
      </c>
    </row>
    <row r="887" spans="1:25" ht="12" customHeight="1" x14ac:dyDescent="0.25">
      <c r="F887" s="50"/>
      <c r="G887" s="49"/>
      <c r="H887" s="49"/>
      <c r="I887" s="49"/>
      <c r="J887" s="49"/>
      <c r="K887" s="49"/>
      <c r="L887" s="49"/>
      <c r="M887" s="49"/>
      <c r="N887" s="49"/>
      <c r="O887" s="49"/>
      <c r="P887" s="49"/>
      <c r="Q887" s="49"/>
      <c r="R887" s="49"/>
      <c r="S887" s="49"/>
      <c r="T887" s="49"/>
      <c r="U887" s="49"/>
      <c r="V887" s="49"/>
      <c r="W887" s="41"/>
      <c r="X887" s="30"/>
      <c r="Y887" s="34"/>
    </row>
    <row r="888" spans="1:25" ht="12" customHeight="1" x14ac:dyDescent="0.25">
      <c r="A888" s="29" t="s">
        <v>2243</v>
      </c>
      <c r="D888" s="29" t="s">
        <v>2256</v>
      </c>
      <c r="F888" s="33">
        <f>F857</f>
        <v>231980.94458548498</v>
      </c>
      <c r="G888" s="33">
        <f t="shared" ref="G888:V888" si="931">G857</f>
        <v>95986.63088400125</v>
      </c>
      <c r="H888" s="33">
        <f t="shared" si="931"/>
        <v>21772.367173492679</v>
      </c>
      <c r="I888" s="33">
        <f t="shared" si="931"/>
        <v>1471.6375150738759</v>
      </c>
      <c r="J888" s="33">
        <f t="shared" si="931"/>
        <v>24107.986430618217</v>
      </c>
      <c r="K888" s="33">
        <f t="shared" si="931"/>
        <v>1665.0934432184274</v>
      </c>
      <c r="L888" s="33">
        <f t="shared" si="931"/>
        <v>22490.880823227813</v>
      </c>
      <c r="M888" s="33">
        <f t="shared" si="931"/>
        <v>43929.94435424883</v>
      </c>
      <c r="N888" s="33">
        <f t="shared" si="931"/>
        <v>14385.956994170207</v>
      </c>
      <c r="O888" s="33">
        <f t="shared" si="931"/>
        <v>6067.1125499728178</v>
      </c>
      <c r="P888" s="33">
        <f t="shared" si="931"/>
        <v>88.201016067524634</v>
      </c>
      <c r="Q888" s="33">
        <f t="shared" si="931"/>
        <v>1.0059820465545273</v>
      </c>
      <c r="R888" s="33">
        <f t="shared" si="931"/>
        <v>12.089282154193764</v>
      </c>
      <c r="S888" s="33">
        <f t="shared" si="931"/>
        <v>2.0381371925831617</v>
      </c>
      <c r="T888" s="33">
        <f t="shared" si="931"/>
        <v>0</v>
      </c>
      <c r="U888" s="33">
        <f t="shared" si="931"/>
        <v>0</v>
      </c>
      <c r="V888" s="33">
        <f t="shared" si="931"/>
        <v>0</v>
      </c>
      <c r="W888" s="37">
        <f>SUM(G888:V888)</f>
        <v>231980.94458548498</v>
      </c>
      <c r="X888" s="30" t="str">
        <f>IF(ABS(F888-W888)&lt;0.01,"ok","err")</f>
        <v>ok</v>
      </c>
      <c r="Y888" s="34" t="str">
        <f>IF(X888="err",W888-F888,"")</f>
        <v/>
      </c>
    </row>
    <row r="889" spans="1:25" ht="12" customHeight="1" x14ac:dyDescent="0.25">
      <c r="A889" s="29" t="s">
        <v>2244</v>
      </c>
      <c r="F889" s="34">
        <f>F294</f>
        <v>186641023.51058975</v>
      </c>
      <c r="G889" s="33"/>
      <c r="H889" s="33"/>
      <c r="I889" s="33"/>
      <c r="J889" s="33"/>
      <c r="K889" s="33"/>
      <c r="L889" s="33"/>
      <c r="M889" s="33"/>
      <c r="N889" s="33"/>
      <c r="O889" s="33"/>
      <c r="P889" s="33"/>
      <c r="Q889" s="33"/>
      <c r="R889" s="33"/>
      <c r="S889" s="33"/>
      <c r="T889" s="33"/>
      <c r="U889" s="33"/>
      <c r="V889" s="33">
        <f>V886</f>
        <v>0</v>
      </c>
      <c r="W889" s="37">
        <f>F889</f>
        <v>186641023.51058975</v>
      </c>
      <c r="X889" s="30" t="str">
        <f>IF(ABS(F889-W889)&lt;0.01,"ok","err")</f>
        <v>ok</v>
      </c>
      <c r="Y889" s="34" t="str">
        <f>IF(X889="err",W889-F889,"")</f>
        <v/>
      </c>
    </row>
    <row r="890" spans="1:25" ht="12" customHeight="1" x14ac:dyDescent="0.25">
      <c r="A890" s="29" t="s">
        <v>818</v>
      </c>
      <c r="F890" s="34">
        <v>18775.419999999998</v>
      </c>
      <c r="G890" s="34"/>
      <c r="H890" s="34"/>
      <c r="I890" s="34"/>
      <c r="J890" s="34"/>
      <c r="K890" s="34"/>
      <c r="L890" s="34"/>
      <c r="M890" s="34"/>
      <c r="N890" s="34"/>
      <c r="O890" s="34"/>
      <c r="P890" s="34"/>
      <c r="Q890" s="34"/>
      <c r="R890" s="34"/>
      <c r="S890" s="34"/>
      <c r="T890" s="34"/>
      <c r="U890" s="34">
        <v>18775.419999999998</v>
      </c>
      <c r="V890" s="34"/>
      <c r="W890" s="37">
        <f t="shared" ref="W890:W891" si="932">SUM(G890:V890)</f>
        <v>18775.419999999998</v>
      </c>
      <c r="X890" s="30" t="str">
        <f t="shared" ref="X890:X893" si="933">IF(ABS(F890-W890)&lt;0.01,"ok","err")</f>
        <v>ok</v>
      </c>
      <c r="Y890" s="34" t="str">
        <f t="shared" ref="Y890:Y893" si="934">IF(X890="err",W890-F890,"")</f>
        <v/>
      </c>
    </row>
    <row r="891" spans="1:25" ht="12" customHeight="1" x14ac:dyDescent="0.25">
      <c r="A891" s="29" t="s">
        <v>2245</v>
      </c>
      <c r="E891" s="29" t="s">
        <v>2256</v>
      </c>
      <c r="F891" s="34">
        <f>F889-F890</f>
        <v>186622248.09058976</v>
      </c>
      <c r="G891" s="32">
        <f t="shared" ref="G891:V891" si="935">IF(VLOOKUP($E891,$D$5:$AJ$990,3,)=0,0,(VLOOKUP($E891,$D$5:$AJ$990,G$1,)/VLOOKUP($E891,$D$5:$AJ$990,3,))*$F891)</f>
        <v>77218587.389676392</v>
      </c>
      <c r="H891" s="32">
        <f t="shared" si="935"/>
        <v>17515266.67602507</v>
      </c>
      <c r="I891" s="32">
        <f t="shared" si="935"/>
        <v>1183891.6421703375</v>
      </c>
      <c r="J891" s="32">
        <f t="shared" si="935"/>
        <v>19394207.712442048</v>
      </c>
      <c r="K891" s="32">
        <f t="shared" si="935"/>
        <v>1339521.5810056103</v>
      </c>
      <c r="L891" s="32">
        <f t="shared" si="935"/>
        <v>18093291.016933523</v>
      </c>
      <c r="M891" s="32">
        <f t="shared" si="935"/>
        <v>35340424.139291115</v>
      </c>
      <c r="N891" s="32">
        <f t="shared" si="935"/>
        <v>11573104.161567291</v>
      </c>
      <c r="O891" s="32">
        <f t="shared" si="935"/>
        <v>4880824.0931932265</v>
      </c>
      <c r="P891" s="32">
        <f t="shared" si="935"/>
        <v>70955.275795637892</v>
      </c>
      <c r="Q891" s="32">
        <f t="shared" si="935"/>
        <v>809.28470828601405</v>
      </c>
      <c r="R891" s="32">
        <f t="shared" si="935"/>
        <v>9725.4928306652546</v>
      </c>
      <c r="S891" s="32">
        <f t="shared" si="935"/>
        <v>1639.6249505603234</v>
      </c>
      <c r="T891" s="32">
        <f t="shared" si="935"/>
        <v>0</v>
      </c>
      <c r="U891" s="32">
        <f t="shared" si="935"/>
        <v>0</v>
      </c>
      <c r="V891" s="32">
        <f t="shared" si="935"/>
        <v>0</v>
      </c>
      <c r="W891" s="37">
        <f t="shared" si="932"/>
        <v>186622248.09058976</v>
      </c>
      <c r="X891" s="30" t="str">
        <f t="shared" si="933"/>
        <v>ok</v>
      </c>
      <c r="Y891" s="34" t="str">
        <f t="shared" si="934"/>
        <v/>
      </c>
    </row>
    <row r="892" spans="1:25" ht="12" customHeight="1" x14ac:dyDescent="0.25">
      <c r="A892" s="29" t="s">
        <v>2246</v>
      </c>
      <c r="D892" s="29" t="s">
        <v>2257</v>
      </c>
      <c r="F892" s="34">
        <f t="shared" ref="F892" si="936">F890+F891</f>
        <v>186641023.51058975</v>
      </c>
      <c r="G892" s="34">
        <f>G890+G891</f>
        <v>77218587.389676392</v>
      </c>
      <c r="H892" s="34">
        <f t="shared" ref="H892" si="937">H890+H891</f>
        <v>17515266.67602507</v>
      </c>
      <c r="I892" s="34">
        <f t="shared" ref="I892" si="938">I890+I891</f>
        <v>1183891.6421703375</v>
      </c>
      <c r="J892" s="34">
        <f t="shared" ref="J892" si="939">J890+J891</f>
        <v>19394207.712442048</v>
      </c>
      <c r="K892" s="34">
        <f t="shared" ref="K892" si="940">K890+K891</f>
        <v>1339521.5810056103</v>
      </c>
      <c r="L892" s="34">
        <f t="shared" ref="L892" si="941">L890+L891</f>
        <v>18093291.016933523</v>
      </c>
      <c r="M892" s="34">
        <f t="shared" ref="M892" si="942">M890+M891</f>
        <v>35340424.139291115</v>
      </c>
      <c r="N892" s="34">
        <f t="shared" ref="N892" si="943">N890+N891</f>
        <v>11573104.161567291</v>
      </c>
      <c r="O892" s="34">
        <f t="shared" ref="O892" si="944">O890+O891</f>
        <v>4880824.0931932265</v>
      </c>
      <c r="P892" s="34">
        <f t="shared" ref="P892" si="945">P890+P891</f>
        <v>70955.275795637892</v>
      </c>
      <c r="Q892" s="34">
        <f t="shared" ref="Q892" si="946">Q890+Q891</f>
        <v>809.28470828601405</v>
      </c>
      <c r="R892" s="34">
        <f t="shared" ref="R892" si="947">R890+R891</f>
        <v>9725.4928306652546</v>
      </c>
      <c r="S892" s="34">
        <f t="shared" ref="S892" si="948">S890+S891</f>
        <v>1639.6249505603234</v>
      </c>
      <c r="T892" s="34">
        <f t="shared" ref="T892" si="949">T890+T891</f>
        <v>0</v>
      </c>
      <c r="U892" s="34">
        <f t="shared" ref="U892" si="950">U890+U891</f>
        <v>18775.419999999998</v>
      </c>
      <c r="V892" s="34">
        <f t="shared" ref="V892" si="951">V890+V891</f>
        <v>0</v>
      </c>
      <c r="W892" s="37">
        <f>SUM(G892:V892)</f>
        <v>186641023.51058975</v>
      </c>
      <c r="X892" s="30" t="str">
        <f t="shared" si="933"/>
        <v>ok</v>
      </c>
      <c r="Y892" s="34" t="str">
        <f t="shared" si="934"/>
        <v/>
      </c>
    </row>
    <row r="893" spans="1:25" ht="12" customHeight="1" x14ac:dyDescent="0.25">
      <c r="A893" s="29" t="s">
        <v>2247</v>
      </c>
      <c r="D893" s="29" t="s">
        <v>2258</v>
      </c>
      <c r="E893" s="29" t="s">
        <v>2257</v>
      </c>
      <c r="F893" s="50">
        <v>1</v>
      </c>
      <c r="G893" s="49">
        <f t="shared" ref="G893:V893" si="952">IF(VLOOKUP($E893,$D$5:$AJ$990,3,)=0,0,(VLOOKUP($E893,$D$5:$AJ$990,G$1,)/VLOOKUP($E893,$D$5:$AJ$990,3,))*$F893)</f>
        <v>0.4137278393423251</v>
      </c>
      <c r="H893" s="49">
        <f t="shared" si="952"/>
        <v>9.3844677587889877E-2</v>
      </c>
      <c r="I893" s="49">
        <f t="shared" si="952"/>
        <v>6.3431480384223519E-3</v>
      </c>
      <c r="J893" s="49">
        <f t="shared" si="952"/>
        <v>0.10391181610371766</v>
      </c>
      <c r="K893" s="49">
        <f t="shared" si="952"/>
        <v>7.1769944024637636E-3</v>
      </c>
      <c r="L893" s="49">
        <f t="shared" si="952"/>
        <v>9.694166200233538E-2</v>
      </c>
      <c r="M893" s="49">
        <f t="shared" si="952"/>
        <v>0.18934971248315058</v>
      </c>
      <c r="N893" s="49">
        <f t="shared" si="952"/>
        <v>6.2007290486759729E-2</v>
      </c>
      <c r="O893" s="49">
        <f t="shared" si="952"/>
        <v>2.6150864377982235E-2</v>
      </c>
      <c r="P893" s="49">
        <f t="shared" si="952"/>
        <v>3.8016977436695204E-4</v>
      </c>
      <c r="Q893" s="49">
        <f t="shared" si="952"/>
        <v>4.3360494550657908E-6</v>
      </c>
      <c r="R893" s="49">
        <f t="shared" si="952"/>
        <v>5.2108012738761282E-5</v>
      </c>
      <c r="S893" s="49">
        <f t="shared" si="952"/>
        <v>8.7849119112192046E-6</v>
      </c>
      <c r="T893" s="49">
        <f t="shared" si="952"/>
        <v>0</v>
      </c>
      <c r="U893" s="49">
        <f t="shared" si="952"/>
        <v>1.0059642648141987E-4</v>
      </c>
      <c r="V893" s="49">
        <f t="shared" si="952"/>
        <v>0</v>
      </c>
      <c r="W893" s="41">
        <f>SUM(G893:V893)</f>
        <v>1.0000000000000002</v>
      </c>
      <c r="X893" s="30" t="str">
        <f t="shared" si="933"/>
        <v>ok</v>
      </c>
      <c r="Y893" s="34" t="str">
        <f t="shared" si="934"/>
        <v/>
      </c>
    </row>
    <row r="894" spans="1:25" ht="12" customHeight="1" x14ac:dyDescent="0.25">
      <c r="F894" s="50"/>
      <c r="G894" s="49"/>
      <c r="H894" s="49"/>
      <c r="I894" s="49"/>
      <c r="J894" s="49"/>
      <c r="K894" s="49"/>
      <c r="L894" s="49"/>
      <c r="M894" s="49"/>
      <c r="N894" s="49"/>
      <c r="O894" s="49"/>
      <c r="P894" s="49"/>
      <c r="Q894" s="49"/>
      <c r="R894" s="49"/>
      <c r="S894" s="49"/>
      <c r="T894" s="49"/>
      <c r="U894" s="49"/>
      <c r="V894" s="49"/>
      <c r="W894" s="41"/>
      <c r="X894" s="30"/>
      <c r="Y894" s="34"/>
    </row>
    <row r="895" spans="1:25" ht="12" customHeight="1" x14ac:dyDescent="0.25">
      <c r="A895" s="29" t="s">
        <v>2248</v>
      </c>
      <c r="D895" s="29" t="s">
        <v>2259</v>
      </c>
      <c r="F895" s="33">
        <f>F857</f>
        <v>231980.94458548498</v>
      </c>
      <c r="G895" s="33">
        <f t="shared" ref="G895:V895" si="953">G857</f>
        <v>95986.63088400125</v>
      </c>
      <c r="H895" s="33">
        <f t="shared" si="953"/>
        <v>21772.367173492679</v>
      </c>
      <c r="I895" s="33">
        <f t="shared" si="953"/>
        <v>1471.6375150738759</v>
      </c>
      <c r="J895" s="33">
        <f t="shared" si="953"/>
        <v>24107.986430618217</v>
      </c>
      <c r="K895" s="33">
        <f t="shared" si="953"/>
        <v>1665.0934432184274</v>
      </c>
      <c r="L895" s="33">
        <f t="shared" si="953"/>
        <v>22490.880823227813</v>
      </c>
      <c r="M895" s="33">
        <f t="shared" si="953"/>
        <v>43929.94435424883</v>
      </c>
      <c r="N895" s="33">
        <f t="shared" si="953"/>
        <v>14385.956994170207</v>
      </c>
      <c r="O895" s="33">
        <f t="shared" si="953"/>
        <v>6067.1125499728178</v>
      </c>
      <c r="P895" s="33">
        <f t="shared" si="953"/>
        <v>88.201016067524634</v>
      </c>
      <c r="Q895" s="33">
        <f t="shared" si="953"/>
        <v>1.0059820465545273</v>
      </c>
      <c r="R895" s="33">
        <f t="shared" si="953"/>
        <v>12.089282154193764</v>
      </c>
      <c r="S895" s="33">
        <f t="shared" si="953"/>
        <v>2.0381371925831617</v>
      </c>
      <c r="T895" s="33">
        <f t="shared" si="953"/>
        <v>0</v>
      </c>
      <c r="U895" s="33">
        <f t="shared" si="953"/>
        <v>0</v>
      </c>
      <c r="V895" s="33">
        <f t="shared" si="953"/>
        <v>0</v>
      </c>
      <c r="W895" s="37">
        <f>SUM(G895:V895)</f>
        <v>231980.94458548498</v>
      </c>
      <c r="X895" s="30" t="str">
        <f>IF(ABS(F895-W895)&lt;0.01,"ok","err")</f>
        <v>ok</v>
      </c>
      <c r="Y895" s="34" t="str">
        <f>IF(X895="err",W895-F895,"")</f>
        <v/>
      </c>
    </row>
    <row r="896" spans="1:25" ht="12" customHeight="1" x14ac:dyDescent="0.25">
      <c r="A896" s="29" t="s">
        <v>2249</v>
      </c>
      <c r="F896" s="34">
        <f>F408</f>
        <v>18046843.290928498</v>
      </c>
      <c r="G896" s="33"/>
      <c r="H896" s="33"/>
      <c r="I896" s="33"/>
      <c r="J896" s="33"/>
      <c r="K896" s="33"/>
      <c r="L896" s="33"/>
      <c r="M896" s="33"/>
      <c r="N896" s="33"/>
      <c r="O896" s="33"/>
      <c r="P896" s="33"/>
      <c r="Q896" s="33"/>
      <c r="R896" s="33"/>
      <c r="S896" s="33"/>
      <c r="T896" s="33"/>
      <c r="U896" s="33"/>
      <c r="V896" s="33">
        <f>V893</f>
        <v>0</v>
      </c>
      <c r="W896" s="37">
        <f>F896</f>
        <v>18046843.290928498</v>
      </c>
      <c r="X896" s="30" t="str">
        <f>IF(ABS(F896-W896)&lt;0.01,"ok","err")</f>
        <v>ok</v>
      </c>
      <c r="Y896" s="34" t="str">
        <f>IF(X896="err",W896-F896,"")</f>
        <v/>
      </c>
    </row>
    <row r="897" spans="1:25" ht="12" customHeight="1" x14ac:dyDescent="0.25">
      <c r="A897" s="29" t="s">
        <v>818</v>
      </c>
      <c r="F897" s="34">
        <v>5221.2</v>
      </c>
      <c r="G897" s="34"/>
      <c r="H897" s="34"/>
      <c r="I897" s="34"/>
      <c r="J897" s="34"/>
      <c r="K897" s="34"/>
      <c r="L897" s="34"/>
      <c r="M897" s="34"/>
      <c r="N897" s="34"/>
      <c r="O897" s="34"/>
      <c r="P897" s="34"/>
      <c r="Q897" s="34"/>
      <c r="R897" s="34"/>
      <c r="S897" s="34"/>
      <c r="T897" s="34"/>
      <c r="U897" s="34">
        <v>5221.2</v>
      </c>
      <c r="V897" s="34"/>
      <c r="W897" s="37">
        <f t="shared" ref="W897:W898" si="954">SUM(G897:V897)</f>
        <v>5221.2</v>
      </c>
      <c r="X897" s="30" t="str">
        <f t="shared" ref="X897:X900" si="955">IF(ABS(F897-W897)&lt;0.01,"ok","err")</f>
        <v>ok</v>
      </c>
      <c r="Y897" s="34" t="str">
        <f t="shared" ref="Y897:Y900" si="956">IF(X897="err",W897-F897,"")</f>
        <v/>
      </c>
    </row>
    <row r="898" spans="1:25" ht="12" customHeight="1" x14ac:dyDescent="0.25">
      <c r="A898" s="29" t="s">
        <v>2250</v>
      </c>
      <c r="E898" s="29" t="s">
        <v>2259</v>
      </c>
      <c r="F898" s="34">
        <f>F896-F897</f>
        <v>18041622.090928499</v>
      </c>
      <c r="G898" s="32">
        <f t="shared" ref="G898:V898" si="957">IF(VLOOKUP($E898,$D$5:$AJ$990,3,)=0,0,(VLOOKUP($E898,$D$5:$AJ$990,G$1,)/VLOOKUP($E898,$D$5:$AJ$990,3,))*$F898)</f>
        <v>7465072.2855059551</v>
      </c>
      <c r="H898" s="32">
        <f t="shared" si="957"/>
        <v>1693280.5462577203</v>
      </c>
      <c r="I898" s="32">
        <f t="shared" si="957"/>
        <v>114452.19325767516</v>
      </c>
      <c r="J898" s="32">
        <f t="shared" si="957"/>
        <v>1874926.3278138265</v>
      </c>
      <c r="K898" s="32">
        <f t="shared" si="957"/>
        <v>129497.64775856266</v>
      </c>
      <c r="L898" s="32">
        <f t="shared" si="957"/>
        <v>1749160.7900374769</v>
      </c>
      <c r="M898" s="32">
        <f t="shared" si="957"/>
        <v>3416519.6453142911</v>
      </c>
      <c r="N898" s="32">
        <f t="shared" si="957"/>
        <v>1118824.6516063558</v>
      </c>
      <c r="O898" s="32">
        <f t="shared" si="957"/>
        <v>471851.4790313</v>
      </c>
      <c r="P898" s="32">
        <f t="shared" si="957"/>
        <v>6859.5694476957433</v>
      </c>
      <c r="Q898" s="32">
        <f t="shared" si="957"/>
        <v>78.237236022235052</v>
      </c>
      <c r="R898" s="32">
        <f t="shared" si="957"/>
        <v>940.20765527229003</v>
      </c>
      <c r="S898" s="32">
        <f t="shared" si="957"/>
        <v>158.51000634451307</v>
      </c>
      <c r="T898" s="32">
        <f t="shared" si="957"/>
        <v>0</v>
      </c>
      <c r="U898" s="32">
        <f t="shared" si="957"/>
        <v>0</v>
      </c>
      <c r="V898" s="32">
        <f t="shared" si="957"/>
        <v>0</v>
      </c>
      <c r="W898" s="37">
        <f t="shared" si="954"/>
        <v>18041622.090928499</v>
      </c>
      <c r="X898" s="30" t="str">
        <f t="shared" si="955"/>
        <v>ok</v>
      </c>
      <c r="Y898" s="34" t="str">
        <f t="shared" si="956"/>
        <v/>
      </c>
    </row>
    <row r="899" spans="1:25" ht="12" customHeight="1" x14ac:dyDescent="0.25">
      <c r="A899" s="29" t="s">
        <v>2251</v>
      </c>
      <c r="D899" s="29" t="s">
        <v>2260</v>
      </c>
      <c r="F899" s="34">
        <f t="shared" ref="F899" si="958">F897+F898</f>
        <v>18046843.290928498</v>
      </c>
      <c r="G899" s="34">
        <f>G897+G898</f>
        <v>7465072.2855059551</v>
      </c>
      <c r="H899" s="34">
        <f t="shared" ref="H899" si="959">H897+H898</f>
        <v>1693280.5462577203</v>
      </c>
      <c r="I899" s="34">
        <f t="shared" ref="I899" si="960">I897+I898</f>
        <v>114452.19325767516</v>
      </c>
      <c r="J899" s="34">
        <f t="shared" ref="J899" si="961">J897+J898</f>
        <v>1874926.3278138265</v>
      </c>
      <c r="K899" s="34">
        <f t="shared" ref="K899" si="962">K897+K898</f>
        <v>129497.64775856266</v>
      </c>
      <c r="L899" s="34">
        <f t="shared" ref="L899" si="963">L897+L898</f>
        <v>1749160.7900374769</v>
      </c>
      <c r="M899" s="34">
        <f t="shared" ref="M899" si="964">M897+M898</f>
        <v>3416519.6453142911</v>
      </c>
      <c r="N899" s="34">
        <f t="shared" ref="N899" si="965">N897+N898</f>
        <v>1118824.6516063558</v>
      </c>
      <c r="O899" s="34">
        <f t="shared" ref="O899" si="966">O897+O898</f>
        <v>471851.4790313</v>
      </c>
      <c r="P899" s="34">
        <f t="shared" ref="P899" si="967">P897+P898</f>
        <v>6859.5694476957433</v>
      </c>
      <c r="Q899" s="34">
        <f t="shared" ref="Q899" si="968">Q897+Q898</f>
        <v>78.237236022235052</v>
      </c>
      <c r="R899" s="34">
        <f t="shared" ref="R899" si="969">R897+R898</f>
        <v>940.20765527229003</v>
      </c>
      <c r="S899" s="34">
        <f t="shared" ref="S899" si="970">S897+S898</f>
        <v>158.51000634451307</v>
      </c>
      <c r="T899" s="34">
        <f t="shared" ref="T899" si="971">T897+T898</f>
        <v>0</v>
      </c>
      <c r="U899" s="34">
        <f t="shared" ref="U899" si="972">U897+U898</f>
        <v>5221.2</v>
      </c>
      <c r="V899" s="34">
        <f t="shared" ref="V899" si="973">V897+V898</f>
        <v>0</v>
      </c>
      <c r="W899" s="37">
        <f>SUM(G899:V899)</f>
        <v>18046843.290928498</v>
      </c>
      <c r="X899" s="30" t="str">
        <f t="shared" si="955"/>
        <v>ok</v>
      </c>
      <c r="Y899" s="34" t="str">
        <f t="shared" si="956"/>
        <v/>
      </c>
    </row>
    <row r="900" spans="1:25" ht="12" customHeight="1" x14ac:dyDescent="0.25">
      <c r="A900" s="29" t="s">
        <v>2252</v>
      </c>
      <c r="D900" s="29" t="s">
        <v>2261</v>
      </c>
      <c r="E900" s="29" t="s">
        <v>2260</v>
      </c>
      <c r="F900" s="50">
        <v>1</v>
      </c>
      <c r="G900" s="49">
        <f t="shared" ref="G900:V900" si="974">IF(VLOOKUP($E900,$D$5:$AJ$990,3,)=0,0,(VLOOKUP($E900,$D$5:$AJ$990,G$1,)/VLOOKUP($E900,$D$5:$AJ$990,3,))*$F900)</f>
        <v>0.41364975387459479</v>
      </c>
      <c r="H900" s="49">
        <f t="shared" si="974"/>
        <v>9.3826965689277744E-2</v>
      </c>
      <c r="I900" s="49">
        <f t="shared" si="974"/>
        <v>6.3419508560373095E-3</v>
      </c>
      <c r="J900" s="49">
        <f t="shared" si="974"/>
        <v>0.10389220417048144</v>
      </c>
      <c r="K900" s="49">
        <f t="shared" si="974"/>
        <v>7.175639842988856E-3</v>
      </c>
      <c r="L900" s="49">
        <f t="shared" si="974"/>
        <v>9.6923365590297864E-2</v>
      </c>
      <c r="M900" s="49">
        <f t="shared" si="974"/>
        <v>0.18931397531620686</v>
      </c>
      <c r="N900" s="49">
        <f t="shared" si="974"/>
        <v>6.1995587459262133E-2</v>
      </c>
      <c r="O900" s="49">
        <f t="shared" si="974"/>
        <v>2.6145928760210539E-2</v>
      </c>
      <c r="P900" s="49">
        <f t="shared" si="974"/>
        <v>3.8009802252473722E-4</v>
      </c>
      <c r="Q900" s="49">
        <f t="shared" si="974"/>
        <v>4.3352310850708226E-6</v>
      </c>
      <c r="R900" s="49">
        <f t="shared" si="974"/>
        <v>5.2098178064465091E-5</v>
      </c>
      <c r="S900" s="49">
        <f t="shared" si="974"/>
        <v>8.783253879319181E-6</v>
      </c>
      <c r="T900" s="49">
        <f t="shared" si="974"/>
        <v>0</v>
      </c>
      <c r="U900" s="49">
        <f t="shared" si="974"/>
        <v>2.893137550889307E-4</v>
      </c>
      <c r="V900" s="49">
        <f t="shared" si="974"/>
        <v>0</v>
      </c>
      <c r="W900" s="41">
        <f>SUM(G900:V900)</f>
        <v>1</v>
      </c>
      <c r="X900" s="30" t="str">
        <f t="shared" si="955"/>
        <v>ok</v>
      </c>
      <c r="Y900" s="34" t="str">
        <f t="shared" si="956"/>
        <v/>
      </c>
    </row>
    <row r="901" spans="1:25" ht="12" customHeight="1" x14ac:dyDescent="0.25">
      <c r="F901" s="50"/>
      <c r="G901" s="49"/>
      <c r="H901" s="49"/>
      <c r="I901" s="49"/>
      <c r="J901" s="49"/>
      <c r="K901" s="49"/>
      <c r="L901" s="49"/>
      <c r="M901" s="49"/>
      <c r="N901" s="49"/>
      <c r="O901" s="49"/>
      <c r="P901" s="49"/>
      <c r="Q901" s="49"/>
      <c r="R901" s="49"/>
      <c r="S901" s="49"/>
      <c r="T901" s="49"/>
      <c r="U901" s="49"/>
      <c r="V901" s="49"/>
      <c r="W901" s="41"/>
      <c r="X901" s="30"/>
      <c r="Y901" s="34"/>
    </row>
    <row r="902" spans="1:25" ht="12" customHeight="1" x14ac:dyDescent="0.25">
      <c r="A902" s="3" t="s">
        <v>2267</v>
      </c>
      <c r="F902" s="50"/>
      <c r="G902" s="49"/>
      <c r="H902" s="49"/>
      <c r="I902" s="49"/>
      <c r="J902" s="49"/>
      <c r="K902" s="49"/>
      <c r="L902" s="49"/>
      <c r="M902" s="49"/>
      <c r="N902" s="49"/>
      <c r="O902" s="49"/>
      <c r="P902" s="49"/>
      <c r="Q902" s="49"/>
      <c r="R902" s="49"/>
      <c r="S902" s="49"/>
      <c r="T902" s="49"/>
      <c r="U902" s="49"/>
      <c r="V902" s="49"/>
      <c r="W902" s="41"/>
      <c r="X902" s="30"/>
      <c r="Y902" s="34"/>
    </row>
    <row r="903" spans="1:25" ht="12" customHeight="1" x14ac:dyDescent="0.25">
      <c r="A903" s="29" t="s">
        <v>2262</v>
      </c>
      <c r="D903" s="29" t="s">
        <v>2269</v>
      </c>
      <c r="F903" s="33">
        <v>47484007.267346539</v>
      </c>
      <c r="G903" s="33">
        <v>29240346.583333332</v>
      </c>
      <c r="H903" s="33">
        <v>11248652.5</v>
      </c>
      <c r="I903" s="33">
        <v>247093</v>
      </c>
      <c r="J903" s="33">
        <v>3173463.3333333335</v>
      </c>
      <c r="K903" s="33">
        <v>746338</v>
      </c>
      <c r="L903" s="33">
        <v>616558.83333333326</v>
      </c>
      <c r="M903" s="33">
        <v>1327268</v>
      </c>
      <c r="N903" s="33">
        <v>786925</v>
      </c>
      <c r="O903" s="33">
        <v>39770.01734654</v>
      </c>
      <c r="P903" s="33">
        <v>0</v>
      </c>
      <c r="Q903" s="33">
        <v>2077</v>
      </c>
      <c r="R903" s="33">
        <v>51255</v>
      </c>
      <c r="S903" s="33">
        <v>4260</v>
      </c>
      <c r="T903" s="33">
        <v>0</v>
      </c>
      <c r="U903" s="33">
        <v>0</v>
      </c>
      <c r="V903" s="49">
        <v>0</v>
      </c>
      <c r="W903" s="37">
        <f>SUM(G903:V903)</f>
        <v>47484007.267346539</v>
      </c>
      <c r="X903" s="30" t="str">
        <f>IF(ABS(F903-W903)&lt;0.01,"ok","err")</f>
        <v>ok</v>
      </c>
      <c r="Y903" s="34" t="str">
        <f>IF(X903="err",W903-F903,"")</f>
        <v/>
      </c>
    </row>
    <row r="904" spans="1:25" ht="12" customHeight="1" x14ac:dyDescent="0.25">
      <c r="A904" s="29" t="s">
        <v>2263</v>
      </c>
      <c r="F904" s="34">
        <f>F45</f>
        <v>80825293.466673017</v>
      </c>
      <c r="G904" s="33"/>
      <c r="H904" s="33"/>
      <c r="I904" s="33"/>
      <c r="J904" s="33"/>
      <c r="K904" s="33"/>
      <c r="L904" s="33"/>
      <c r="M904" s="33"/>
      <c r="N904" s="33"/>
      <c r="O904" s="33"/>
      <c r="P904" s="33"/>
      <c r="Q904" s="33"/>
      <c r="R904" s="33"/>
      <c r="S904" s="33"/>
      <c r="T904" s="33"/>
      <c r="U904" s="33"/>
      <c r="V904" s="33">
        <f>V900</f>
        <v>0</v>
      </c>
      <c r="W904" s="37">
        <f>F904</f>
        <v>80825293.466673017</v>
      </c>
      <c r="X904" s="30" t="str">
        <f>IF(ABS(F904-W904)&lt;0.01,"ok","err")</f>
        <v>ok</v>
      </c>
      <c r="Y904" s="34" t="str">
        <f>IF(X904="err",W904-F904,"")</f>
        <v/>
      </c>
    </row>
    <row r="905" spans="1:25" ht="12" customHeight="1" x14ac:dyDescent="0.25">
      <c r="A905" s="29" t="s">
        <v>818</v>
      </c>
      <c r="F905" s="34">
        <v>140481.01</v>
      </c>
      <c r="G905" s="34"/>
      <c r="H905" s="34"/>
      <c r="I905" s="34"/>
      <c r="J905" s="34"/>
      <c r="K905" s="34"/>
      <c r="L905" s="34"/>
      <c r="M905" s="34"/>
      <c r="N905" s="34"/>
      <c r="O905" s="34"/>
      <c r="P905" s="34"/>
      <c r="Q905" s="34"/>
      <c r="R905" s="34"/>
      <c r="S905" s="34"/>
      <c r="T905" s="34">
        <v>140481.01</v>
      </c>
      <c r="U905" s="34">
        <v>0</v>
      </c>
      <c r="V905" s="34"/>
      <c r="W905" s="37">
        <f t="shared" ref="W905:W906" si="975">SUM(G905:V905)</f>
        <v>140481.01</v>
      </c>
      <c r="X905" s="30" t="str">
        <f t="shared" ref="X905:X908" si="976">IF(ABS(F905-W905)&lt;0.01,"ok","err")</f>
        <v>ok</v>
      </c>
      <c r="Y905" s="34" t="str">
        <f t="shared" ref="Y905:Y908" si="977">IF(X905="err",W905-F905,"")</f>
        <v/>
      </c>
    </row>
    <row r="906" spans="1:25" ht="12" customHeight="1" x14ac:dyDescent="0.25">
      <c r="A906" s="29" t="s">
        <v>2264</v>
      </c>
      <c r="E906" s="29" t="s">
        <v>2269</v>
      </c>
      <c r="F906" s="34">
        <f>F904-F905</f>
        <v>80684812.456673011</v>
      </c>
      <c r="G906" s="32">
        <f t="shared" ref="G906:V906" si="978">IF(VLOOKUP($E906,$D$5:$AJ$990,3,)=0,0,(VLOOKUP($E906,$D$5:$AJ$990,G$1,)/VLOOKUP($E906,$D$5:$AJ$990,3,))*$F906)</f>
        <v>49685189.098746575</v>
      </c>
      <c r="H906" s="32">
        <f t="shared" si="978"/>
        <v>19113707.321347218</v>
      </c>
      <c r="I906" s="32">
        <f t="shared" si="978"/>
        <v>419860.35955450201</v>
      </c>
      <c r="J906" s="32">
        <f t="shared" si="978"/>
        <v>5392348.0477648564</v>
      </c>
      <c r="K906" s="32">
        <f t="shared" si="978"/>
        <v>1268177.3301112857</v>
      </c>
      <c r="L906" s="32">
        <f t="shared" si="978"/>
        <v>1047656.6047999642</v>
      </c>
      <c r="M906" s="32">
        <f t="shared" si="978"/>
        <v>2255293.4308344824</v>
      </c>
      <c r="N906" s="32">
        <f t="shared" si="978"/>
        <v>1337142.7496627851</v>
      </c>
      <c r="O906" s="32">
        <f t="shared" si="978"/>
        <v>67577.202845111227</v>
      </c>
      <c r="P906" s="32">
        <f t="shared" si="978"/>
        <v>0</v>
      </c>
      <c r="Q906" s="32">
        <f t="shared" si="978"/>
        <v>3529.2378448385857</v>
      </c>
      <c r="R906" s="32">
        <f t="shared" si="978"/>
        <v>87092.482300048971</v>
      </c>
      <c r="S906" s="32">
        <f t="shared" si="978"/>
        <v>7238.5908613444271</v>
      </c>
      <c r="T906" s="32">
        <f t="shared" si="978"/>
        <v>0</v>
      </c>
      <c r="U906" s="32">
        <f t="shared" si="978"/>
        <v>0</v>
      </c>
      <c r="V906" s="32">
        <f t="shared" si="978"/>
        <v>0</v>
      </c>
      <c r="W906" s="37">
        <f t="shared" si="975"/>
        <v>80684812.456673011</v>
      </c>
      <c r="X906" s="30" t="str">
        <f t="shared" si="976"/>
        <v>ok</v>
      </c>
      <c r="Y906" s="34" t="str">
        <f t="shared" si="977"/>
        <v/>
      </c>
    </row>
    <row r="907" spans="1:25" ht="12" customHeight="1" x14ac:dyDescent="0.25">
      <c r="A907" s="29" t="s">
        <v>2265</v>
      </c>
      <c r="D907" s="29" t="s">
        <v>2270</v>
      </c>
      <c r="F907" s="34">
        <f t="shared" ref="F907" si="979">F905+F906</f>
        <v>80825293.466673017</v>
      </c>
      <c r="G907" s="34">
        <f>G905+G906</f>
        <v>49685189.098746575</v>
      </c>
      <c r="H907" s="34">
        <f t="shared" ref="H907" si="980">H905+H906</f>
        <v>19113707.321347218</v>
      </c>
      <c r="I907" s="34">
        <f t="shared" ref="I907" si="981">I905+I906</f>
        <v>419860.35955450201</v>
      </c>
      <c r="J907" s="34">
        <f t="shared" ref="J907" si="982">J905+J906</f>
        <v>5392348.0477648564</v>
      </c>
      <c r="K907" s="34">
        <f t="shared" ref="K907" si="983">K905+K906</f>
        <v>1268177.3301112857</v>
      </c>
      <c r="L907" s="34">
        <f t="shared" ref="L907" si="984">L905+L906</f>
        <v>1047656.6047999642</v>
      </c>
      <c r="M907" s="34">
        <f t="shared" ref="M907" si="985">M905+M906</f>
        <v>2255293.4308344824</v>
      </c>
      <c r="N907" s="34">
        <f t="shared" ref="N907" si="986">N905+N906</f>
        <v>1337142.7496627851</v>
      </c>
      <c r="O907" s="34">
        <f t="shared" ref="O907" si="987">O905+O906</f>
        <v>67577.202845111227</v>
      </c>
      <c r="P907" s="34">
        <f t="shared" ref="P907" si="988">P905+P906</f>
        <v>0</v>
      </c>
      <c r="Q907" s="34">
        <f t="shared" ref="Q907" si="989">Q905+Q906</f>
        <v>3529.2378448385857</v>
      </c>
      <c r="R907" s="34">
        <f t="shared" ref="R907" si="990">R905+R906</f>
        <v>87092.482300048971</v>
      </c>
      <c r="S907" s="34">
        <f t="shared" ref="S907" si="991">S905+S906</f>
        <v>7238.5908613444271</v>
      </c>
      <c r="T907" s="34">
        <f t="shared" ref="T907" si="992">T905+T906</f>
        <v>140481.01</v>
      </c>
      <c r="U907" s="34">
        <f t="shared" ref="U907" si="993">U905+U906</f>
        <v>0</v>
      </c>
      <c r="V907" s="34">
        <f t="shared" ref="V907" si="994">V905+V906</f>
        <v>0</v>
      </c>
      <c r="W907" s="37">
        <f>SUM(G907:V907)</f>
        <v>80825293.466673017</v>
      </c>
      <c r="X907" s="30" t="str">
        <f t="shared" si="976"/>
        <v>ok</v>
      </c>
      <c r="Y907" s="34" t="str">
        <f t="shared" si="977"/>
        <v/>
      </c>
    </row>
    <row r="908" spans="1:25" ht="12" customHeight="1" x14ac:dyDescent="0.25">
      <c r="A908" s="29" t="s">
        <v>2266</v>
      </c>
      <c r="D908" s="29" t="s">
        <v>2271</v>
      </c>
      <c r="E908" s="29" t="s">
        <v>2270</v>
      </c>
      <c r="F908" s="50">
        <v>1</v>
      </c>
      <c r="G908" s="49">
        <f t="shared" ref="G908:V908" si="995">IF(VLOOKUP($E908,$D$5:$AJ$990,3,)=0,0,(VLOOKUP($E908,$D$5:$AJ$990,G$1,)/VLOOKUP($E908,$D$5:$AJ$990,3,))*$F908)</f>
        <v>0.61472327495146617</v>
      </c>
      <c r="H908" s="49">
        <f t="shared" si="995"/>
        <v>0.23648175591503967</v>
      </c>
      <c r="I908" s="49">
        <f t="shared" si="995"/>
        <v>5.1946654512009232E-3</v>
      </c>
      <c r="J908" s="49">
        <f t="shared" si="995"/>
        <v>6.6716096118949478E-2</v>
      </c>
      <c r="K908" s="49">
        <f t="shared" si="995"/>
        <v>1.5690352310742898E-2</v>
      </c>
      <c r="L908" s="49">
        <f t="shared" si="995"/>
        <v>1.2961989494438993E-2</v>
      </c>
      <c r="M908" s="49">
        <f t="shared" si="995"/>
        <v>2.7903312615430411E-2</v>
      </c>
      <c r="N908" s="49">
        <f t="shared" si="995"/>
        <v>1.6543617626506163E-2</v>
      </c>
      <c r="O908" s="49">
        <f t="shared" si="995"/>
        <v>8.3608979252238131E-4</v>
      </c>
      <c r="P908" s="49">
        <f t="shared" si="995"/>
        <v>0</v>
      </c>
      <c r="Q908" s="49">
        <f t="shared" si="995"/>
        <v>4.3665017390797464E-5</v>
      </c>
      <c r="R908" s="49">
        <f t="shared" si="995"/>
        <v>1.0775399452890341E-3</v>
      </c>
      <c r="S908" s="49">
        <f t="shared" si="995"/>
        <v>8.9558485356185457E-5</v>
      </c>
      <c r="T908" s="49">
        <f t="shared" si="995"/>
        <v>1.7380822756668994E-3</v>
      </c>
      <c r="U908" s="49">
        <f t="shared" si="995"/>
        <v>0</v>
      </c>
      <c r="V908" s="49">
        <f t="shared" si="995"/>
        <v>0</v>
      </c>
      <c r="W908" s="41">
        <f>SUM(G908:V908)</f>
        <v>0.99999999999999989</v>
      </c>
      <c r="X908" s="30" t="str">
        <f t="shared" si="976"/>
        <v>ok</v>
      </c>
      <c r="Y908" s="34" t="str">
        <f t="shared" si="977"/>
        <v/>
      </c>
    </row>
    <row r="909" spans="1:25" ht="12" customHeight="1" x14ac:dyDescent="0.25">
      <c r="F909" s="50"/>
      <c r="G909" s="49"/>
      <c r="H909" s="49"/>
      <c r="I909" s="49"/>
      <c r="J909" s="49"/>
      <c r="K909" s="49"/>
      <c r="L909" s="49"/>
      <c r="M909" s="49"/>
      <c r="N909" s="49"/>
      <c r="O909" s="49"/>
      <c r="P909" s="49"/>
      <c r="Q909" s="49"/>
      <c r="R909" s="49"/>
      <c r="S909" s="49"/>
      <c r="T909" s="49"/>
      <c r="U909" s="49"/>
      <c r="V909" s="49"/>
      <c r="W909" s="41"/>
      <c r="X909" s="30"/>
      <c r="Y909" s="34"/>
    </row>
    <row r="910" spans="1:25" ht="12" customHeight="1" x14ac:dyDescent="0.25">
      <c r="A910" s="29" t="s">
        <v>2272</v>
      </c>
      <c r="D910" s="29" t="s">
        <v>2282</v>
      </c>
      <c r="F910" s="33">
        <v>47484007.267346539</v>
      </c>
      <c r="G910" s="33">
        <v>29240346.583333332</v>
      </c>
      <c r="H910" s="33">
        <v>11248652.5</v>
      </c>
      <c r="I910" s="33">
        <v>247093</v>
      </c>
      <c r="J910" s="33">
        <v>3173463.3333333335</v>
      </c>
      <c r="K910" s="33">
        <v>746338</v>
      </c>
      <c r="L910" s="33">
        <v>616558.83333333326</v>
      </c>
      <c r="M910" s="33">
        <v>1327268</v>
      </c>
      <c r="N910" s="33">
        <v>786925</v>
      </c>
      <c r="O910" s="33">
        <v>39770.01734654</v>
      </c>
      <c r="P910" s="33">
        <v>0</v>
      </c>
      <c r="Q910" s="33">
        <v>2077</v>
      </c>
      <c r="R910" s="33">
        <v>51255</v>
      </c>
      <c r="S910" s="33">
        <v>4260</v>
      </c>
      <c r="T910" s="33">
        <v>0</v>
      </c>
      <c r="U910" s="33">
        <v>0</v>
      </c>
      <c r="V910" s="49">
        <v>0</v>
      </c>
      <c r="W910" s="37">
        <f>SUM(G910:V910)</f>
        <v>47484007.267346539</v>
      </c>
      <c r="X910" s="30" t="str">
        <f>IF(ABS(F910-W910)&lt;0.01,"ok","err")</f>
        <v>ok</v>
      </c>
      <c r="Y910" s="34" t="str">
        <f>IF(X910="err",W910-F910,"")</f>
        <v/>
      </c>
    </row>
    <row r="911" spans="1:25" ht="12" customHeight="1" x14ac:dyDescent="0.25">
      <c r="A911" s="29" t="s">
        <v>2273</v>
      </c>
      <c r="F911" s="34">
        <f>F103</f>
        <v>53433764.74503462</v>
      </c>
      <c r="G911" s="33"/>
      <c r="H911" s="33"/>
      <c r="I911" s="33"/>
      <c r="J911" s="33"/>
      <c r="K911" s="33"/>
      <c r="L911" s="33"/>
      <c r="M911" s="33"/>
      <c r="N911" s="33"/>
      <c r="O911" s="33"/>
      <c r="P911" s="33"/>
      <c r="Q911" s="33"/>
      <c r="R911" s="33"/>
      <c r="S911" s="33"/>
      <c r="T911" s="33"/>
      <c r="U911" s="33"/>
      <c r="V911" s="33">
        <f>V907</f>
        <v>0</v>
      </c>
      <c r="W911" s="37">
        <f>F911</f>
        <v>53433764.74503462</v>
      </c>
      <c r="X911" s="30" t="str">
        <f>IF(ABS(F911-W911)&lt;0.01,"ok","err")</f>
        <v>ok</v>
      </c>
      <c r="Y911" s="34" t="str">
        <f>IF(X911="err",W911-F911,"")</f>
        <v/>
      </c>
    </row>
    <row r="912" spans="1:25" ht="12" customHeight="1" x14ac:dyDescent="0.25">
      <c r="A912" s="29" t="s">
        <v>818</v>
      </c>
      <c r="F912" s="34">
        <v>124631.66</v>
      </c>
      <c r="G912" s="34"/>
      <c r="H912" s="34"/>
      <c r="I912" s="34"/>
      <c r="J912" s="34"/>
      <c r="K912" s="34"/>
      <c r="L912" s="34"/>
      <c r="M912" s="34"/>
      <c r="N912" s="34"/>
      <c r="O912" s="34"/>
      <c r="P912" s="34"/>
      <c r="Q912" s="34"/>
      <c r="R912" s="34"/>
      <c r="S912" s="34"/>
      <c r="T912" s="34">
        <f>T905-15849.35</f>
        <v>124631.66</v>
      </c>
      <c r="U912" s="34">
        <v>0</v>
      </c>
      <c r="V912" s="34"/>
      <c r="W912" s="37">
        <f t="shared" ref="W912:W913" si="996">SUM(G912:V912)</f>
        <v>124631.66</v>
      </c>
      <c r="X912" s="30" t="str">
        <f t="shared" ref="X912:X915" si="997">IF(ABS(F912-W912)&lt;0.01,"ok","err")</f>
        <v>ok</v>
      </c>
      <c r="Y912" s="34" t="str">
        <f t="shared" ref="Y912:Y915" si="998">IF(X912="err",W912-F912,"")</f>
        <v/>
      </c>
    </row>
    <row r="913" spans="1:25" ht="12" customHeight="1" x14ac:dyDescent="0.25">
      <c r="A913" s="29" t="s">
        <v>2274</v>
      </c>
      <c r="E913" s="29" t="s">
        <v>2282</v>
      </c>
      <c r="F913" s="34">
        <f>F911-F912</f>
        <v>53309133.085034624</v>
      </c>
      <c r="G913" s="32">
        <f t="shared" ref="G913:V913" si="999">IF(VLOOKUP($E913,$D$5:$AJ$990,3,)=0,0,(VLOOKUP($E913,$D$5:$AJ$990,G$1,)/VLOOKUP($E913,$D$5:$AJ$990,3,))*$F913)</f>
        <v>32827421.634554908</v>
      </c>
      <c r="H913" s="32">
        <f t="shared" si="999"/>
        <v>12628586.921352245</v>
      </c>
      <c r="I913" s="32">
        <f t="shared" si="999"/>
        <v>277405.26504465227</v>
      </c>
      <c r="J913" s="32">
        <f t="shared" si="999"/>
        <v>3562769.6336716092</v>
      </c>
      <c r="K913" s="32">
        <f t="shared" si="999"/>
        <v>837895.41064658109</v>
      </c>
      <c r="L913" s="32">
        <f t="shared" si="999"/>
        <v>692195.51576311304</v>
      </c>
      <c r="M913" s="32">
        <f t="shared" si="999"/>
        <v>1490091.3070191608</v>
      </c>
      <c r="N913" s="32">
        <f t="shared" si="999"/>
        <v>883461.44243367075</v>
      </c>
      <c r="O913" s="32">
        <f t="shared" si="999"/>
        <v>44648.825352589294</v>
      </c>
      <c r="P913" s="32">
        <f t="shared" si="999"/>
        <v>0</v>
      </c>
      <c r="Q913" s="32">
        <f t="shared" si="999"/>
        <v>2331.7970784188251</v>
      </c>
      <c r="R913" s="32">
        <f t="shared" si="999"/>
        <v>57542.734354529071</v>
      </c>
      <c r="S913" s="32">
        <f t="shared" si="999"/>
        <v>4782.5977631507913</v>
      </c>
      <c r="T913" s="32">
        <f t="shared" si="999"/>
        <v>0</v>
      </c>
      <c r="U913" s="32">
        <f t="shared" si="999"/>
        <v>0</v>
      </c>
      <c r="V913" s="32">
        <f t="shared" si="999"/>
        <v>0</v>
      </c>
      <c r="W913" s="37">
        <f t="shared" si="996"/>
        <v>53309133.085034616</v>
      </c>
      <c r="X913" s="30" t="str">
        <f t="shared" si="997"/>
        <v>ok</v>
      </c>
      <c r="Y913" s="34" t="str">
        <f t="shared" si="998"/>
        <v/>
      </c>
    </row>
    <row r="914" spans="1:25" ht="12" customHeight="1" x14ac:dyDescent="0.25">
      <c r="A914" s="29" t="s">
        <v>2275</v>
      </c>
      <c r="D914" s="29" t="s">
        <v>2283</v>
      </c>
      <c r="F914" s="34">
        <f t="shared" ref="F914" si="1000">F912+F913</f>
        <v>53433764.74503462</v>
      </c>
      <c r="G914" s="34">
        <f>G912+G913</f>
        <v>32827421.634554908</v>
      </c>
      <c r="H914" s="34">
        <f t="shared" ref="H914" si="1001">H912+H913</f>
        <v>12628586.921352245</v>
      </c>
      <c r="I914" s="34">
        <f t="shared" ref="I914" si="1002">I912+I913</f>
        <v>277405.26504465227</v>
      </c>
      <c r="J914" s="34">
        <f t="shared" ref="J914" si="1003">J912+J913</f>
        <v>3562769.6336716092</v>
      </c>
      <c r="K914" s="34">
        <f t="shared" ref="K914" si="1004">K912+K913</f>
        <v>837895.41064658109</v>
      </c>
      <c r="L914" s="34">
        <f t="shared" ref="L914" si="1005">L912+L913</f>
        <v>692195.51576311304</v>
      </c>
      <c r="M914" s="34">
        <f t="shared" ref="M914" si="1006">M912+M913</f>
        <v>1490091.3070191608</v>
      </c>
      <c r="N914" s="34">
        <f t="shared" ref="N914" si="1007">N912+N913</f>
        <v>883461.44243367075</v>
      </c>
      <c r="O914" s="34">
        <f t="shared" ref="O914" si="1008">O912+O913</f>
        <v>44648.825352589294</v>
      </c>
      <c r="P914" s="34">
        <f t="shared" ref="P914" si="1009">P912+P913</f>
        <v>0</v>
      </c>
      <c r="Q914" s="34">
        <f t="shared" ref="Q914" si="1010">Q912+Q913</f>
        <v>2331.7970784188251</v>
      </c>
      <c r="R914" s="34">
        <f t="shared" ref="R914" si="1011">R912+R913</f>
        <v>57542.734354529071</v>
      </c>
      <c r="S914" s="34">
        <f t="shared" ref="S914" si="1012">S912+S913</f>
        <v>4782.5977631507913</v>
      </c>
      <c r="T914" s="34">
        <f t="shared" ref="T914" si="1013">T912+T913</f>
        <v>124631.66</v>
      </c>
      <c r="U914" s="34">
        <f t="shared" ref="U914" si="1014">U912+U913</f>
        <v>0</v>
      </c>
      <c r="V914" s="34">
        <f t="shared" ref="V914" si="1015">V912+V913</f>
        <v>0</v>
      </c>
      <c r="W914" s="37">
        <f>SUM(G914:V914)</f>
        <v>53433764.745034613</v>
      </c>
      <c r="X914" s="30" t="str">
        <f t="shared" si="997"/>
        <v>ok</v>
      </c>
      <c r="Y914" s="34" t="str">
        <f t="shared" si="998"/>
        <v/>
      </c>
    </row>
    <row r="915" spans="1:25" ht="12" customHeight="1" x14ac:dyDescent="0.25">
      <c r="A915" s="29" t="s">
        <v>2276</v>
      </c>
      <c r="D915" s="29" t="s">
        <v>2284</v>
      </c>
      <c r="E915" s="29" t="s">
        <v>2283</v>
      </c>
      <c r="F915" s="50">
        <v>1</v>
      </c>
      <c r="G915" s="49">
        <f t="shared" ref="G915:V915" si="1016">IF(VLOOKUP($E915,$D$5:$AJ$990,3,)=0,0,(VLOOKUP($E915,$D$5:$AJ$990,G$1,)/VLOOKUP($E915,$D$5:$AJ$990,3,))*$F915)</f>
        <v>0.61435726625654663</v>
      </c>
      <c r="H915" s="49">
        <f t="shared" si="1016"/>
        <v>0.23634095373236391</v>
      </c>
      <c r="I915" s="49">
        <f t="shared" si="1016"/>
        <v>5.1915725266285006E-3</v>
      </c>
      <c r="J915" s="49">
        <f t="shared" si="1016"/>
        <v>6.6676373088659882E-2</v>
      </c>
      <c r="K915" s="49">
        <f t="shared" si="1016"/>
        <v>1.5681010212263646E-2</v>
      </c>
      <c r="L915" s="49">
        <f t="shared" si="1016"/>
        <v>1.2954271874085682E-2</v>
      </c>
      <c r="M915" s="49">
        <f t="shared" si="1016"/>
        <v>2.7886698871571254E-2</v>
      </c>
      <c r="N915" s="49">
        <f t="shared" si="1016"/>
        <v>1.6533767490447455E-2</v>
      </c>
      <c r="O915" s="49">
        <f t="shared" si="1016"/>
        <v>8.3559198131811076E-4</v>
      </c>
      <c r="P915" s="49">
        <f t="shared" si="1016"/>
        <v>0</v>
      </c>
      <c r="Q915" s="49">
        <f t="shared" si="1016"/>
        <v>4.3639019064916428E-5</v>
      </c>
      <c r="R915" s="49">
        <f t="shared" si="1016"/>
        <v>1.0768983736987442E-3</v>
      </c>
      <c r="S915" s="49">
        <f t="shared" si="1016"/>
        <v>8.9505161876044271E-5</v>
      </c>
      <c r="T915" s="49">
        <f t="shared" si="1016"/>
        <v>2.3324514114753912E-3</v>
      </c>
      <c r="U915" s="49">
        <f t="shared" si="1016"/>
        <v>0</v>
      </c>
      <c r="V915" s="49">
        <f t="shared" si="1016"/>
        <v>0</v>
      </c>
      <c r="W915" s="41">
        <f>SUM(G915:V915)</f>
        <v>1.0000000000000002</v>
      </c>
      <c r="X915" s="30" t="str">
        <f t="shared" si="997"/>
        <v>ok</v>
      </c>
      <c r="Y915" s="34" t="str">
        <f t="shared" si="998"/>
        <v/>
      </c>
    </row>
    <row r="916" spans="1:25" ht="12" customHeight="1" x14ac:dyDescent="0.25">
      <c r="F916" s="50"/>
      <c r="G916" s="49"/>
      <c r="H916" s="49"/>
      <c r="I916" s="49"/>
      <c r="J916" s="49"/>
      <c r="K916" s="49"/>
      <c r="L916" s="49"/>
      <c r="M916" s="49"/>
      <c r="N916" s="49"/>
      <c r="O916" s="49"/>
      <c r="P916" s="49"/>
      <c r="Q916" s="49"/>
      <c r="R916" s="49"/>
      <c r="S916" s="49"/>
      <c r="T916" s="49"/>
      <c r="U916" s="49"/>
      <c r="V916" s="49"/>
      <c r="W916" s="41"/>
      <c r="X916" s="30"/>
      <c r="Y916" s="34"/>
    </row>
    <row r="917" spans="1:25" ht="12" customHeight="1" x14ac:dyDescent="0.25">
      <c r="A917" s="29" t="s">
        <v>2277</v>
      </c>
      <c r="D917" s="29" t="s">
        <v>2285</v>
      </c>
      <c r="F917" s="33">
        <v>47484007.267346539</v>
      </c>
      <c r="G917" s="33">
        <v>29240346.583333332</v>
      </c>
      <c r="H917" s="33">
        <v>11248652.5</v>
      </c>
      <c r="I917" s="33">
        <v>247093</v>
      </c>
      <c r="J917" s="33">
        <v>3173463.3333333335</v>
      </c>
      <c r="K917" s="33">
        <v>746338</v>
      </c>
      <c r="L917" s="33">
        <v>616558.83333333326</v>
      </c>
      <c r="M917" s="33">
        <v>1327268</v>
      </c>
      <c r="N917" s="33">
        <v>786925</v>
      </c>
      <c r="O917" s="33">
        <v>39770.01734654</v>
      </c>
      <c r="P917" s="33">
        <v>0</v>
      </c>
      <c r="Q917" s="33">
        <v>2077</v>
      </c>
      <c r="R917" s="33">
        <v>51255</v>
      </c>
      <c r="S917" s="33">
        <v>4260</v>
      </c>
      <c r="T917" s="33">
        <v>0</v>
      </c>
      <c r="U917" s="33">
        <v>0</v>
      </c>
      <c r="V917" s="49">
        <v>0</v>
      </c>
      <c r="W917" s="37">
        <f>SUM(G917:V917)</f>
        <v>47484007.267346539</v>
      </c>
      <c r="X917" s="30" t="str">
        <f>IF(ABS(F917-W917)&lt;0.01,"ok","err")</f>
        <v>ok</v>
      </c>
      <c r="Y917" s="34" t="str">
        <f>IF(X917="err",W917-F917,"")</f>
        <v/>
      </c>
    </row>
    <row r="918" spans="1:25" ht="12" customHeight="1" x14ac:dyDescent="0.25">
      <c r="A918" s="29" t="s">
        <v>2278</v>
      </c>
      <c r="F918" s="34">
        <f>F160</f>
        <v>44037762.876980335</v>
      </c>
      <c r="G918" s="33"/>
      <c r="H918" s="33"/>
      <c r="I918" s="33"/>
      <c r="J918" s="33"/>
      <c r="K918" s="33"/>
      <c r="L918" s="33"/>
      <c r="M918" s="33"/>
      <c r="N918" s="33"/>
      <c r="O918" s="33"/>
      <c r="P918" s="33"/>
      <c r="Q918" s="33"/>
      <c r="R918" s="33"/>
      <c r="S918" s="33"/>
      <c r="T918" s="33"/>
      <c r="U918" s="33"/>
      <c r="V918" s="33">
        <f>V914</f>
        <v>0</v>
      </c>
      <c r="W918" s="37">
        <f>F918</f>
        <v>44037762.876980335</v>
      </c>
      <c r="X918" s="30" t="str">
        <f>IF(ABS(F918-W918)&lt;0.01,"ok","err")</f>
        <v>ok</v>
      </c>
      <c r="Y918" s="34" t="str">
        <f>IF(X918="err",W918-F918,"")</f>
        <v/>
      </c>
    </row>
    <row r="919" spans="1:25" ht="12" customHeight="1" x14ac:dyDescent="0.25">
      <c r="A919" s="29" t="s">
        <v>818</v>
      </c>
      <c r="F919" s="34">
        <v>124111.54000000001</v>
      </c>
      <c r="G919" s="34"/>
      <c r="H919" s="34"/>
      <c r="I919" s="34"/>
      <c r="J919" s="34"/>
      <c r="K919" s="34"/>
      <c r="L919" s="34"/>
      <c r="M919" s="34"/>
      <c r="N919" s="34"/>
      <c r="O919" s="34"/>
      <c r="P919" s="34"/>
      <c r="Q919" s="34"/>
      <c r="R919" s="34"/>
      <c r="S919" s="34"/>
      <c r="T919" s="34">
        <f>T912-520.12</f>
        <v>124111.54000000001</v>
      </c>
      <c r="U919" s="34">
        <v>0</v>
      </c>
      <c r="V919" s="34"/>
      <c r="W919" s="37">
        <f t="shared" ref="W919:W920" si="1017">SUM(G919:V919)</f>
        <v>124111.54000000001</v>
      </c>
      <c r="X919" s="30" t="str">
        <f t="shared" ref="X919:X922" si="1018">IF(ABS(F919-W919)&lt;0.01,"ok","err")</f>
        <v>ok</v>
      </c>
      <c r="Y919" s="34" t="str">
        <f t="shared" ref="Y919:Y922" si="1019">IF(X919="err",W919-F919,"")</f>
        <v/>
      </c>
    </row>
    <row r="920" spans="1:25" ht="12" customHeight="1" x14ac:dyDescent="0.25">
      <c r="A920" s="29" t="s">
        <v>2279</v>
      </c>
      <c r="E920" s="29" t="s">
        <v>2285</v>
      </c>
      <c r="F920" s="34">
        <f>F918-F919</f>
        <v>43913651.336980335</v>
      </c>
      <c r="G920" s="32">
        <f t="shared" ref="G920:V920" si="1020">IF(VLOOKUP($E920,$D$5:$AJ$990,3,)=0,0,(VLOOKUP($E920,$D$5:$AJ$990,G$1,)/VLOOKUP($E920,$D$5:$AJ$990,3,))*$F920)</f>
        <v>27041744.34148844</v>
      </c>
      <c r="H920" s="32">
        <f t="shared" si="1020"/>
        <v>10402858.400612315</v>
      </c>
      <c r="I920" s="32">
        <f t="shared" si="1020"/>
        <v>228513.90340154065</v>
      </c>
      <c r="J920" s="32">
        <f t="shared" si="1020"/>
        <v>2934848.3915030556</v>
      </c>
      <c r="K920" s="32">
        <f t="shared" si="1020"/>
        <v>690220.32043359813</v>
      </c>
      <c r="L920" s="32">
        <f t="shared" si="1020"/>
        <v>570199.34065999405</v>
      </c>
      <c r="M920" s="32">
        <f t="shared" si="1020"/>
        <v>1227469.7848176842</v>
      </c>
      <c r="N920" s="32">
        <f t="shared" si="1020"/>
        <v>727755.55533445871</v>
      </c>
      <c r="O920" s="32">
        <f t="shared" si="1020"/>
        <v>36779.681748187279</v>
      </c>
      <c r="P920" s="32">
        <f t="shared" si="1020"/>
        <v>0</v>
      </c>
      <c r="Q920" s="32">
        <f t="shared" si="1020"/>
        <v>1920.82890800225</v>
      </c>
      <c r="R920" s="32">
        <f t="shared" si="1020"/>
        <v>47401.100471668433</v>
      </c>
      <c r="S920" s="32">
        <f t="shared" si="1020"/>
        <v>3939.6876013912301</v>
      </c>
      <c r="T920" s="32">
        <f t="shared" si="1020"/>
        <v>0</v>
      </c>
      <c r="U920" s="32">
        <f t="shared" si="1020"/>
        <v>0</v>
      </c>
      <c r="V920" s="32">
        <f t="shared" si="1020"/>
        <v>0</v>
      </c>
      <c r="W920" s="37">
        <f t="shared" si="1017"/>
        <v>43913651.336980335</v>
      </c>
      <c r="X920" s="30" t="str">
        <f t="shared" si="1018"/>
        <v>ok</v>
      </c>
      <c r="Y920" s="34" t="str">
        <f t="shared" si="1019"/>
        <v/>
      </c>
    </row>
    <row r="921" spans="1:25" ht="12" customHeight="1" x14ac:dyDescent="0.25">
      <c r="A921" s="29" t="s">
        <v>2280</v>
      </c>
      <c r="D921" s="29" t="s">
        <v>2286</v>
      </c>
      <c r="F921" s="34">
        <f t="shared" ref="F921" si="1021">F919+F920</f>
        <v>44037762.876980335</v>
      </c>
      <c r="G921" s="34">
        <f>G919+G920</f>
        <v>27041744.34148844</v>
      </c>
      <c r="H921" s="34">
        <f t="shared" ref="H921" si="1022">H919+H920</f>
        <v>10402858.400612315</v>
      </c>
      <c r="I921" s="34">
        <f t="shared" ref="I921" si="1023">I919+I920</f>
        <v>228513.90340154065</v>
      </c>
      <c r="J921" s="34">
        <f t="shared" ref="J921" si="1024">J919+J920</f>
        <v>2934848.3915030556</v>
      </c>
      <c r="K921" s="34">
        <f t="shared" ref="K921" si="1025">K919+K920</f>
        <v>690220.32043359813</v>
      </c>
      <c r="L921" s="34">
        <f t="shared" ref="L921" si="1026">L919+L920</f>
        <v>570199.34065999405</v>
      </c>
      <c r="M921" s="34">
        <f t="shared" ref="M921" si="1027">M919+M920</f>
        <v>1227469.7848176842</v>
      </c>
      <c r="N921" s="34">
        <f t="shared" ref="N921" si="1028">N919+N920</f>
        <v>727755.55533445871</v>
      </c>
      <c r="O921" s="34">
        <f t="shared" ref="O921" si="1029">O919+O920</f>
        <v>36779.681748187279</v>
      </c>
      <c r="P921" s="34">
        <f t="shared" ref="P921" si="1030">P919+P920</f>
        <v>0</v>
      </c>
      <c r="Q921" s="34">
        <f t="shared" ref="Q921" si="1031">Q919+Q920</f>
        <v>1920.82890800225</v>
      </c>
      <c r="R921" s="34">
        <f t="shared" ref="R921" si="1032">R919+R920</f>
        <v>47401.100471668433</v>
      </c>
      <c r="S921" s="34">
        <f t="shared" ref="S921" si="1033">S919+S920</f>
        <v>3939.6876013912301</v>
      </c>
      <c r="T921" s="34">
        <f t="shared" ref="T921" si="1034">T919+T920</f>
        <v>124111.54000000001</v>
      </c>
      <c r="U921" s="34">
        <f t="shared" ref="U921" si="1035">U919+U920</f>
        <v>0</v>
      </c>
      <c r="V921" s="34">
        <f t="shared" ref="V921" si="1036">V919+V920</f>
        <v>0</v>
      </c>
      <c r="W921" s="37">
        <f>SUM(G921:V921)</f>
        <v>44037762.876980335</v>
      </c>
      <c r="X921" s="30" t="str">
        <f t="shared" si="1018"/>
        <v>ok</v>
      </c>
      <c r="Y921" s="34" t="str">
        <f t="shared" si="1019"/>
        <v/>
      </c>
    </row>
    <row r="922" spans="1:25" ht="12" customHeight="1" x14ac:dyDescent="0.25">
      <c r="A922" s="29" t="s">
        <v>2281</v>
      </c>
      <c r="D922" s="29" t="s">
        <v>2287</v>
      </c>
      <c r="E922" s="29" t="s">
        <v>2286</v>
      </c>
      <c r="F922" s="50">
        <v>1</v>
      </c>
      <c r="G922" s="49">
        <f t="shared" ref="G922:V922" si="1037">IF(VLOOKUP($E922,$D$5:$AJ$990,3,)=0,0,(VLOOKUP($E922,$D$5:$AJ$990,G$1,)/VLOOKUP($E922,$D$5:$AJ$990,3,))*$F922)</f>
        <v>0.61405808503555592</v>
      </c>
      <c r="H922" s="49">
        <f t="shared" si="1037"/>
        <v>0.23622585983018124</v>
      </c>
      <c r="I922" s="49">
        <f t="shared" si="1037"/>
        <v>5.1890443217993418E-3</v>
      </c>
      <c r="J922" s="49">
        <f t="shared" si="1037"/>
        <v>6.6643902863584736E-2</v>
      </c>
      <c r="K922" s="49">
        <f t="shared" si="1037"/>
        <v>1.567337383512717E-2</v>
      </c>
      <c r="L922" s="49">
        <f t="shared" si="1037"/>
        <v>1.2947963370729076E-2</v>
      </c>
      <c r="M922" s="49">
        <f t="shared" si="1037"/>
        <v>2.7873118537983545E-2</v>
      </c>
      <c r="N922" s="49">
        <f t="shared" si="1037"/>
        <v>1.652571583546255E-2</v>
      </c>
      <c r="O922" s="49">
        <f t="shared" si="1037"/>
        <v>8.3518506266840725E-4</v>
      </c>
      <c r="P922" s="49">
        <f t="shared" si="1037"/>
        <v>0</v>
      </c>
      <c r="Q922" s="49">
        <f t="shared" si="1037"/>
        <v>4.3617767627481286E-5</v>
      </c>
      <c r="R922" s="49">
        <f t="shared" si="1037"/>
        <v>1.0763739430652642E-3</v>
      </c>
      <c r="S922" s="49">
        <f t="shared" si="1037"/>
        <v>8.94615744309438E-5</v>
      </c>
      <c r="T922" s="49">
        <f t="shared" si="1037"/>
        <v>2.8182980217843056E-3</v>
      </c>
      <c r="U922" s="49">
        <f t="shared" si="1037"/>
        <v>0</v>
      </c>
      <c r="V922" s="49">
        <f t="shared" si="1037"/>
        <v>0</v>
      </c>
      <c r="W922" s="41">
        <f>SUM(G922:V922)</f>
        <v>1</v>
      </c>
      <c r="X922" s="30" t="str">
        <f t="shared" si="1018"/>
        <v>ok</v>
      </c>
      <c r="Y922" s="34" t="str">
        <f t="shared" si="1019"/>
        <v/>
      </c>
    </row>
    <row r="923" spans="1:25" ht="12" customHeight="1" x14ac:dyDescent="0.25">
      <c r="F923" s="50"/>
      <c r="G923" s="49"/>
      <c r="H923" s="49"/>
      <c r="I923" s="49"/>
      <c r="J923" s="49"/>
      <c r="K923" s="49"/>
      <c r="L923" s="49"/>
      <c r="M923" s="49"/>
      <c r="N923" s="49"/>
      <c r="O923" s="49"/>
      <c r="P923" s="49"/>
      <c r="Q923" s="49"/>
      <c r="R923" s="49"/>
      <c r="S923" s="49"/>
      <c r="T923" s="49"/>
      <c r="U923" s="49"/>
      <c r="V923" s="49"/>
      <c r="W923" s="41"/>
      <c r="X923" s="30"/>
      <c r="Y923" s="34"/>
    </row>
    <row r="924" spans="1:25" ht="12" customHeight="1" x14ac:dyDescent="0.25">
      <c r="A924" s="29" t="s">
        <v>2288</v>
      </c>
      <c r="D924" s="29" t="s">
        <v>2306</v>
      </c>
      <c r="F924" s="33">
        <v>47484007.267346539</v>
      </c>
      <c r="G924" s="33">
        <v>29240346.583333332</v>
      </c>
      <c r="H924" s="33">
        <v>11248652.5</v>
      </c>
      <c r="I924" s="33">
        <v>247093</v>
      </c>
      <c r="J924" s="33">
        <v>3173463.3333333335</v>
      </c>
      <c r="K924" s="33">
        <v>746338</v>
      </c>
      <c r="L924" s="33">
        <v>616558.83333333326</v>
      </c>
      <c r="M924" s="33">
        <v>1327268</v>
      </c>
      <c r="N924" s="33">
        <v>786925</v>
      </c>
      <c r="O924" s="33">
        <v>39770.01734654</v>
      </c>
      <c r="P924" s="33">
        <v>0</v>
      </c>
      <c r="Q924" s="33">
        <v>2077</v>
      </c>
      <c r="R924" s="33">
        <v>51255</v>
      </c>
      <c r="S924" s="33">
        <v>4260</v>
      </c>
      <c r="T924" s="33">
        <v>0</v>
      </c>
      <c r="U924" s="33">
        <v>0</v>
      </c>
      <c r="V924" s="49">
        <v>0</v>
      </c>
      <c r="W924" s="37">
        <f>SUM(G924:V924)</f>
        <v>47484007.267346539</v>
      </c>
      <c r="X924" s="30" t="str">
        <f>IF(ABS(F924-W924)&lt;0.01,"ok","err")</f>
        <v>ok</v>
      </c>
      <c r="Y924" s="34" t="str">
        <f>IF(X924="err",W924-F924,"")</f>
        <v/>
      </c>
    </row>
    <row r="925" spans="1:25" ht="12" customHeight="1" x14ac:dyDescent="0.25">
      <c r="A925" s="29" t="s">
        <v>2289</v>
      </c>
      <c r="F925" s="34">
        <f>F217</f>
        <v>10652700.500883294</v>
      </c>
      <c r="G925" s="33"/>
      <c r="H925" s="33"/>
      <c r="I925" s="33"/>
      <c r="J925" s="33"/>
      <c r="K925" s="33"/>
      <c r="L925" s="33"/>
      <c r="M925" s="33"/>
      <c r="N925" s="33"/>
      <c r="O925" s="33"/>
      <c r="P925" s="33"/>
      <c r="Q925" s="33"/>
      <c r="R925" s="33"/>
      <c r="S925" s="33"/>
      <c r="T925" s="33"/>
      <c r="U925" s="33"/>
      <c r="V925" s="33">
        <f>V921</f>
        <v>0</v>
      </c>
      <c r="W925" s="37">
        <f>F925</f>
        <v>10652700.500883294</v>
      </c>
      <c r="X925" s="30" t="str">
        <f>IF(ABS(F925-W925)&lt;0.01,"ok","err")</f>
        <v>ok</v>
      </c>
      <c r="Y925" s="34" t="str">
        <f>IF(X925="err",W925-F925,"")</f>
        <v/>
      </c>
    </row>
    <row r="926" spans="1:25" ht="12" customHeight="1" x14ac:dyDescent="0.25">
      <c r="A926" s="29" t="s">
        <v>818</v>
      </c>
      <c r="F926" s="34">
        <v>6399</v>
      </c>
      <c r="G926" s="34"/>
      <c r="H926" s="34"/>
      <c r="I926" s="34"/>
      <c r="J926" s="34"/>
      <c r="K926" s="34"/>
      <c r="L926" s="34"/>
      <c r="M926" s="34"/>
      <c r="N926" s="34"/>
      <c r="O926" s="34"/>
      <c r="P926" s="34"/>
      <c r="Q926" s="34"/>
      <c r="R926" s="34"/>
      <c r="S926" s="34"/>
      <c r="T926" s="34">
        <v>6399</v>
      </c>
      <c r="U926" s="34">
        <v>0</v>
      </c>
      <c r="V926" s="34"/>
      <c r="W926" s="37">
        <f t="shared" ref="W926:W927" si="1038">SUM(G926:V926)</f>
        <v>6399</v>
      </c>
      <c r="X926" s="30" t="str">
        <f t="shared" ref="X926:X929" si="1039">IF(ABS(F926-W926)&lt;0.01,"ok","err")</f>
        <v>ok</v>
      </c>
      <c r="Y926" s="34" t="str">
        <f t="shared" ref="Y926:Y929" si="1040">IF(X926="err",W926-F926,"")</f>
        <v/>
      </c>
    </row>
    <row r="927" spans="1:25" ht="12" customHeight="1" x14ac:dyDescent="0.25">
      <c r="A927" s="29" t="s">
        <v>2290</v>
      </c>
      <c r="E927" s="29" t="s">
        <v>2306</v>
      </c>
      <c r="F927" s="34">
        <f>F925-F926</f>
        <v>10646301.500883294</v>
      </c>
      <c r="G927" s="32">
        <f t="shared" ref="G927:V927" si="1041">IF(VLOOKUP($E927,$D$5:$AJ$990,3,)=0,0,(VLOOKUP($E927,$D$5:$AJ$990,G$1,)/VLOOKUP($E927,$D$5:$AJ$990,3,))*$F927)</f>
        <v>6555924.060153259</v>
      </c>
      <c r="H927" s="32">
        <f t="shared" si="1041"/>
        <v>2522039.5852314248</v>
      </c>
      <c r="I927" s="32">
        <f t="shared" si="1041"/>
        <v>55400.264808037085</v>
      </c>
      <c r="J927" s="32">
        <f t="shared" si="1041"/>
        <v>711516.34819789603</v>
      </c>
      <c r="K927" s="32">
        <f t="shared" si="1041"/>
        <v>167335.06346315268</v>
      </c>
      <c r="L927" s="32">
        <f t="shared" si="1041"/>
        <v>138237.51638614232</v>
      </c>
      <c r="M927" s="32">
        <f t="shared" si="1041"/>
        <v>297584.30498328066</v>
      </c>
      <c r="N927" s="32">
        <f t="shared" si="1041"/>
        <v>176434.99971292019</v>
      </c>
      <c r="O927" s="32">
        <f t="shared" si="1041"/>
        <v>8916.7620791303052</v>
      </c>
      <c r="P927" s="32">
        <f t="shared" si="1041"/>
        <v>0</v>
      </c>
      <c r="Q927" s="32">
        <f t="shared" si="1041"/>
        <v>465.68033091302885</v>
      </c>
      <c r="R927" s="32">
        <f t="shared" si="1041"/>
        <v>11491.788811240873</v>
      </c>
      <c r="S927" s="32">
        <f t="shared" si="1041"/>
        <v>955.12672589769033</v>
      </c>
      <c r="T927" s="32">
        <f t="shared" si="1041"/>
        <v>0</v>
      </c>
      <c r="U927" s="32">
        <f t="shared" si="1041"/>
        <v>0</v>
      </c>
      <c r="V927" s="32">
        <f t="shared" si="1041"/>
        <v>0</v>
      </c>
      <c r="W927" s="37">
        <f t="shared" si="1038"/>
        <v>10646301.500883294</v>
      </c>
      <c r="X927" s="30" t="str">
        <f t="shared" si="1039"/>
        <v>ok</v>
      </c>
      <c r="Y927" s="34" t="str">
        <f t="shared" si="1040"/>
        <v/>
      </c>
    </row>
    <row r="928" spans="1:25" ht="12" customHeight="1" x14ac:dyDescent="0.25">
      <c r="A928" s="29" t="s">
        <v>2291</v>
      </c>
      <c r="D928" s="29" t="s">
        <v>2307</v>
      </c>
      <c r="F928" s="34">
        <f t="shared" ref="F928" si="1042">F926+F927</f>
        <v>10652700.500883294</v>
      </c>
      <c r="G928" s="34">
        <f>G926+G927</f>
        <v>6555924.060153259</v>
      </c>
      <c r="H928" s="34">
        <f t="shared" ref="H928" si="1043">H926+H927</f>
        <v>2522039.5852314248</v>
      </c>
      <c r="I928" s="34">
        <f t="shared" ref="I928" si="1044">I926+I927</f>
        <v>55400.264808037085</v>
      </c>
      <c r="J928" s="34">
        <f t="shared" ref="J928" si="1045">J926+J927</f>
        <v>711516.34819789603</v>
      </c>
      <c r="K928" s="34">
        <f t="shared" ref="K928" si="1046">K926+K927</f>
        <v>167335.06346315268</v>
      </c>
      <c r="L928" s="34">
        <f t="shared" ref="L928" si="1047">L926+L927</f>
        <v>138237.51638614232</v>
      </c>
      <c r="M928" s="34">
        <f t="shared" ref="M928" si="1048">M926+M927</f>
        <v>297584.30498328066</v>
      </c>
      <c r="N928" s="34">
        <f t="shared" ref="N928" si="1049">N926+N927</f>
        <v>176434.99971292019</v>
      </c>
      <c r="O928" s="34">
        <f t="shared" ref="O928" si="1050">O926+O927</f>
        <v>8916.7620791303052</v>
      </c>
      <c r="P928" s="34">
        <f t="shared" ref="P928" si="1051">P926+P927</f>
        <v>0</v>
      </c>
      <c r="Q928" s="34">
        <f t="shared" ref="Q928" si="1052">Q926+Q927</f>
        <v>465.68033091302885</v>
      </c>
      <c r="R928" s="34">
        <f t="shared" ref="R928" si="1053">R926+R927</f>
        <v>11491.788811240873</v>
      </c>
      <c r="S928" s="34">
        <f t="shared" ref="S928" si="1054">S926+S927</f>
        <v>955.12672589769033</v>
      </c>
      <c r="T928" s="34">
        <f t="shared" ref="T928" si="1055">T926+T927</f>
        <v>6399</v>
      </c>
      <c r="U928" s="34">
        <f t="shared" ref="U928" si="1056">U926+U927</f>
        <v>0</v>
      </c>
      <c r="V928" s="34">
        <f t="shared" ref="V928" si="1057">V926+V927</f>
        <v>0</v>
      </c>
      <c r="W928" s="37">
        <f>SUM(G928:V928)</f>
        <v>10652700.500883294</v>
      </c>
      <c r="X928" s="30" t="str">
        <f t="shared" si="1039"/>
        <v>ok</v>
      </c>
      <c r="Y928" s="34" t="str">
        <f t="shared" si="1040"/>
        <v/>
      </c>
    </row>
    <row r="929" spans="1:25" ht="12" customHeight="1" x14ac:dyDescent="0.25">
      <c r="A929" s="29" t="s">
        <v>2292</v>
      </c>
      <c r="D929" s="29" t="s">
        <v>2308</v>
      </c>
      <c r="E929" s="29" t="s">
        <v>2307</v>
      </c>
      <c r="F929" s="50">
        <v>1</v>
      </c>
      <c r="G929" s="49">
        <f t="shared" ref="G929:V929" si="1058">IF(VLOOKUP($E929,$D$5:$AJ$990,3,)=0,0,(VLOOKUP($E929,$D$5:$AJ$990,G$1,)/VLOOKUP($E929,$D$5:$AJ$990,3,))*$F929)</f>
        <v>0.61542367211109139</v>
      </c>
      <c r="H929" s="49">
        <f t="shared" si="1058"/>
        <v>0.23675119609551623</v>
      </c>
      <c r="I929" s="49">
        <f t="shared" si="1058"/>
        <v>5.2005840963465968E-3</v>
      </c>
      <c r="J929" s="49">
        <f t="shared" si="1058"/>
        <v>6.6792110426731596E-2</v>
      </c>
      <c r="K929" s="49">
        <f t="shared" si="1058"/>
        <v>1.5708229424949822E-2</v>
      </c>
      <c r="L929" s="49">
        <f t="shared" si="1058"/>
        <v>1.2976757994339559E-2</v>
      </c>
      <c r="M929" s="49">
        <f t="shared" si="1058"/>
        <v>2.7935104808269579E-2</v>
      </c>
      <c r="N929" s="49">
        <f t="shared" si="1058"/>
        <v>1.6562466925479663E-2</v>
      </c>
      <c r="O929" s="49">
        <f t="shared" si="1058"/>
        <v>8.3704240801578443E-4</v>
      </c>
      <c r="P929" s="49">
        <f t="shared" si="1058"/>
        <v>0</v>
      </c>
      <c r="Q929" s="49">
        <f t="shared" si="1058"/>
        <v>4.3714767994689784E-5</v>
      </c>
      <c r="R929" s="49">
        <f t="shared" si="1058"/>
        <v>1.0787676618044413E-3</v>
      </c>
      <c r="S929" s="49">
        <f t="shared" si="1058"/>
        <v>8.9660525593345436E-5</v>
      </c>
      <c r="T929" s="49">
        <f t="shared" si="1058"/>
        <v>6.0069275386737955E-4</v>
      </c>
      <c r="U929" s="49">
        <f t="shared" si="1058"/>
        <v>0</v>
      </c>
      <c r="V929" s="49">
        <f t="shared" si="1058"/>
        <v>0</v>
      </c>
      <c r="W929" s="41">
        <f>SUM(G929:V929)</f>
        <v>1</v>
      </c>
      <c r="X929" s="30" t="str">
        <f t="shared" si="1039"/>
        <v>ok</v>
      </c>
      <c r="Y929" s="34" t="str">
        <f t="shared" si="1040"/>
        <v/>
      </c>
    </row>
    <row r="930" spans="1:25" ht="12" customHeight="1" x14ac:dyDescent="0.25">
      <c r="F930" s="50"/>
      <c r="G930" s="49"/>
      <c r="H930" s="49"/>
      <c r="I930" s="49"/>
      <c r="J930" s="49"/>
      <c r="K930" s="49"/>
      <c r="L930" s="49"/>
      <c r="M930" s="49"/>
      <c r="N930" s="49"/>
      <c r="O930" s="49"/>
      <c r="P930" s="49"/>
      <c r="Q930" s="49"/>
      <c r="R930" s="49"/>
      <c r="S930" s="49"/>
      <c r="T930" s="49"/>
      <c r="U930" s="49"/>
      <c r="V930" s="49"/>
      <c r="W930" s="41"/>
      <c r="X930" s="30"/>
      <c r="Y930" s="34"/>
    </row>
    <row r="931" spans="1:25" ht="12" customHeight="1" x14ac:dyDescent="0.25">
      <c r="A931" s="29" t="s">
        <v>2293</v>
      </c>
      <c r="D931" s="29" t="s">
        <v>2309</v>
      </c>
      <c r="F931" s="33">
        <v>47484007.267346539</v>
      </c>
      <c r="G931" s="33">
        <v>29240346.583333332</v>
      </c>
      <c r="H931" s="33">
        <v>11248652.5</v>
      </c>
      <c r="I931" s="33">
        <v>247093</v>
      </c>
      <c r="J931" s="33">
        <v>3173463.3333333335</v>
      </c>
      <c r="K931" s="33">
        <v>746338</v>
      </c>
      <c r="L931" s="33">
        <v>616558.83333333326</v>
      </c>
      <c r="M931" s="33">
        <v>1327268</v>
      </c>
      <c r="N931" s="33">
        <v>786925</v>
      </c>
      <c r="O931" s="33">
        <v>39770.01734654</v>
      </c>
      <c r="P931" s="33">
        <v>0</v>
      </c>
      <c r="Q931" s="33">
        <v>2077</v>
      </c>
      <c r="R931" s="33">
        <v>51255</v>
      </c>
      <c r="S931" s="33">
        <v>4260</v>
      </c>
      <c r="T931" s="33">
        <v>0</v>
      </c>
      <c r="U931" s="33">
        <v>0</v>
      </c>
      <c r="V931" s="49">
        <v>0</v>
      </c>
      <c r="W931" s="37">
        <f>SUM(G931:V931)</f>
        <v>47484007.267346539</v>
      </c>
      <c r="X931" s="30" t="str">
        <f>IF(ABS(F931-W931)&lt;0.01,"ok","err")</f>
        <v>ok</v>
      </c>
      <c r="Y931" s="34" t="str">
        <f>IF(X931="err",W931-F931,"")</f>
        <v/>
      </c>
    </row>
    <row r="932" spans="1:25" ht="12" customHeight="1" x14ac:dyDescent="0.25">
      <c r="A932" s="29" t="s">
        <v>2294</v>
      </c>
      <c r="F932" s="34">
        <f>F331</f>
        <v>2175671.6470483094</v>
      </c>
      <c r="G932" s="33"/>
      <c r="H932" s="33"/>
      <c r="I932" s="33"/>
      <c r="J932" s="33"/>
      <c r="K932" s="33"/>
      <c r="L932" s="33"/>
      <c r="M932" s="33"/>
      <c r="N932" s="33"/>
      <c r="O932" s="33"/>
      <c r="P932" s="33"/>
      <c r="Q932" s="33"/>
      <c r="R932" s="33"/>
      <c r="S932" s="33"/>
      <c r="T932" s="33"/>
      <c r="U932" s="33"/>
      <c r="V932" s="33">
        <f>V928</f>
        <v>0</v>
      </c>
      <c r="W932" s="37">
        <f>F932</f>
        <v>2175671.6470483094</v>
      </c>
      <c r="X932" s="30" t="str">
        <f>IF(ABS(F932-W932)&lt;0.01,"ok","err")</f>
        <v>ok</v>
      </c>
      <c r="Y932" s="34" t="str">
        <f>IF(X932="err",W932-F932,"")</f>
        <v/>
      </c>
    </row>
    <row r="933" spans="1:25" ht="12" customHeight="1" x14ac:dyDescent="0.25">
      <c r="A933" s="29" t="s">
        <v>818</v>
      </c>
      <c r="F933" s="34">
        <v>14048.1</v>
      </c>
      <c r="G933" s="34"/>
      <c r="H933" s="34"/>
      <c r="I933" s="34"/>
      <c r="J933" s="34"/>
      <c r="K933" s="34"/>
      <c r="L933" s="34"/>
      <c r="M933" s="34"/>
      <c r="N933" s="34"/>
      <c r="O933" s="34"/>
      <c r="P933" s="34"/>
      <c r="Q933" s="34"/>
      <c r="R933" s="34"/>
      <c r="S933" s="34"/>
      <c r="T933" s="34">
        <v>14048.1</v>
      </c>
      <c r="U933" s="34">
        <v>0</v>
      </c>
      <c r="V933" s="34"/>
      <c r="W933" s="37">
        <f t="shared" ref="W933:W934" si="1059">SUM(G933:V933)</f>
        <v>14048.1</v>
      </c>
      <c r="X933" s="30" t="str">
        <f t="shared" ref="X933:X936" si="1060">IF(ABS(F933-W933)&lt;0.01,"ok","err")</f>
        <v>ok</v>
      </c>
      <c r="Y933" s="34" t="str">
        <f t="shared" ref="Y933:Y936" si="1061">IF(X933="err",W933-F933,"")</f>
        <v/>
      </c>
    </row>
    <row r="934" spans="1:25" ht="12" customHeight="1" x14ac:dyDescent="0.25">
      <c r="A934" s="29" t="s">
        <v>2295</v>
      </c>
      <c r="E934" s="29" t="s">
        <v>2309</v>
      </c>
      <c r="F934" s="34">
        <f>F932-F933</f>
        <v>2161623.5470483094</v>
      </c>
      <c r="G934" s="32">
        <f t="shared" ref="G934:V934" si="1062">IF(VLOOKUP($E934,$D$5:$AJ$990,3,)=0,0,(VLOOKUP($E934,$D$5:$AJ$990,G$1,)/VLOOKUP($E934,$D$5:$AJ$990,3,))*$F934)</f>
        <v>1331113.8915154785</v>
      </c>
      <c r="H934" s="32">
        <f t="shared" si="1062"/>
        <v>512074.55974940094</v>
      </c>
      <c r="I934" s="32">
        <f t="shared" si="1062"/>
        <v>11248.461910629627</v>
      </c>
      <c r="J934" s="32">
        <f t="shared" si="1062"/>
        <v>144466.17844204299</v>
      </c>
      <c r="K934" s="32">
        <f t="shared" si="1062"/>
        <v>33975.687556731653</v>
      </c>
      <c r="L934" s="32">
        <f t="shared" si="1062"/>
        <v>28067.725724371954</v>
      </c>
      <c r="M934" s="32">
        <f t="shared" si="1062"/>
        <v>60421.475085079554</v>
      </c>
      <c r="N934" s="32">
        <f t="shared" si="1062"/>
        <v>35823.33732247461</v>
      </c>
      <c r="O934" s="32">
        <f t="shared" si="1062"/>
        <v>1810.4581081116612</v>
      </c>
      <c r="P934" s="32">
        <f t="shared" si="1062"/>
        <v>0</v>
      </c>
      <c r="Q934" s="32">
        <f t="shared" si="1062"/>
        <v>94.55166835312103</v>
      </c>
      <c r="R934" s="32">
        <f t="shared" si="1062"/>
        <v>2333.2911706495997</v>
      </c>
      <c r="S934" s="32">
        <f t="shared" si="1062"/>
        <v>193.92879498521691</v>
      </c>
      <c r="T934" s="32">
        <f t="shared" si="1062"/>
        <v>0</v>
      </c>
      <c r="U934" s="32">
        <f t="shared" si="1062"/>
        <v>0</v>
      </c>
      <c r="V934" s="32">
        <f t="shared" si="1062"/>
        <v>0</v>
      </c>
      <c r="W934" s="37">
        <f t="shared" si="1059"/>
        <v>2161623.5470483094</v>
      </c>
      <c r="X934" s="30" t="str">
        <f t="shared" si="1060"/>
        <v>ok</v>
      </c>
      <c r="Y934" s="34" t="str">
        <f t="shared" si="1061"/>
        <v/>
      </c>
    </row>
    <row r="935" spans="1:25" ht="12" customHeight="1" x14ac:dyDescent="0.25">
      <c r="A935" s="29" t="s">
        <v>2296</v>
      </c>
      <c r="D935" s="29" t="s">
        <v>2310</v>
      </c>
      <c r="F935" s="34">
        <f t="shared" ref="F935" si="1063">F933+F934</f>
        <v>2175671.6470483094</v>
      </c>
      <c r="G935" s="34">
        <f>G933+G934</f>
        <v>1331113.8915154785</v>
      </c>
      <c r="H935" s="34">
        <f t="shared" ref="H935" si="1064">H933+H934</f>
        <v>512074.55974940094</v>
      </c>
      <c r="I935" s="34">
        <f t="shared" ref="I935" si="1065">I933+I934</f>
        <v>11248.461910629627</v>
      </c>
      <c r="J935" s="34">
        <f t="shared" ref="J935" si="1066">J933+J934</f>
        <v>144466.17844204299</v>
      </c>
      <c r="K935" s="34">
        <f t="shared" ref="K935" si="1067">K933+K934</f>
        <v>33975.687556731653</v>
      </c>
      <c r="L935" s="34">
        <f t="shared" ref="L935" si="1068">L933+L934</f>
        <v>28067.725724371954</v>
      </c>
      <c r="M935" s="34">
        <f t="shared" ref="M935" si="1069">M933+M934</f>
        <v>60421.475085079554</v>
      </c>
      <c r="N935" s="34">
        <f t="shared" ref="N935" si="1070">N933+N934</f>
        <v>35823.33732247461</v>
      </c>
      <c r="O935" s="34">
        <f t="shared" ref="O935" si="1071">O933+O934</f>
        <v>1810.4581081116612</v>
      </c>
      <c r="P935" s="34">
        <f t="shared" ref="P935" si="1072">P933+P934</f>
        <v>0</v>
      </c>
      <c r="Q935" s="34">
        <f t="shared" ref="Q935" si="1073">Q933+Q934</f>
        <v>94.55166835312103</v>
      </c>
      <c r="R935" s="34">
        <f t="shared" ref="R935" si="1074">R933+R934</f>
        <v>2333.2911706495997</v>
      </c>
      <c r="S935" s="34">
        <f t="shared" ref="S935" si="1075">S933+S934</f>
        <v>193.92879498521691</v>
      </c>
      <c r="T935" s="34">
        <f t="shared" ref="T935" si="1076">T933+T934</f>
        <v>14048.1</v>
      </c>
      <c r="U935" s="34">
        <f t="shared" ref="U935" si="1077">U933+U934</f>
        <v>0</v>
      </c>
      <c r="V935" s="34">
        <f t="shared" ref="V935" si="1078">V933+V934</f>
        <v>0</v>
      </c>
      <c r="W935" s="37">
        <f>SUM(G935:V935)</f>
        <v>2175671.6470483094</v>
      </c>
      <c r="X935" s="30" t="str">
        <f t="shared" si="1060"/>
        <v>ok</v>
      </c>
      <c r="Y935" s="34" t="str">
        <f t="shared" si="1061"/>
        <v/>
      </c>
    </row>
    <row r="936" spans="1:25" ht="12" customHeight="1" x14ac:dyDescent="0.25">
      <c r="A936" s="29" t="s">
        <v>2297</v>
      </c>
      <c r="D936" s="29" t="s">
        <v>2311</v>
      </c>
      <c r="E936" s="29" t="s">
        <v>2310</v>
      </c>
      <c r="F936" s="50">
        <v>1</v>
      </c>
      <c r="G936" s="49">
        <f t="shared" ref="G936:V936" si="1079">IF(VLOOKUP($E936,$D$5:$AJ$990,3,)=0,0,(VLOOKUP($E936,$D$5:$AJ$990,G$1,)/VLOOKUP($E936,$D$5:$AJ$990,3,))*$F936)</f>
        <v>0.61181745569069412</v>
      </c>
      <c r="H936" s="49">
        <f t="shared" si="1079"/>
        <v>0.235363898060685</v>
      </c>
      <c r="I936" s="49">
        <f t="shared" si="1079"/>
        <v>5.1701100788302283E-3</v>
      </c>
      <c r="J936" s="49">
        <f t="shared" si="1079"/>
        <v>6.6400726708020205E-2</v>
      </c>
      <c r="K936" s="49">
        <f t="shared" si="1079"/>
        <v>1.5616183445156254E-2</v>
      </c>
      <c r="L936" s="49">
        <f t="shared" si="1079"/>
        <v>1.2900717699038309E-2</v>
      </c>
      <c r="M936" s="49">
        <f t="shared" si="1079"/>
        <v>2.7771412642644017E-2</v>
      </c>
      <c r="N936" s="49">
        <f t="shared" si="1079"/>
        <v>1.6465415344762809E-2</v>
      </c>
      <c r="O936" s="49">
        <f t="shared" si="1079"/>
        <v>8.3213756568822038E-4</v>
      </c>
      <c r="P936" s="49">
        <f t="shared" si="1079"/>
        <v>0</v>
      </c>
      <c r="Q936" s="49">
        <f t="shared" si="1079"/>
        <v>4.3458611266731083E-5</v>
      </c>
      <c r="R936" s="49">
        <f t="shared" si="1079"/>
        <v>1.0724463748080413E-3</v>
      </c>
      <c r="S936" s="49">
        <f t="shared" si="1079"/>
        <v>8.9135139141200955E-5</v>
      </c>
      <c r="T936" s="49">
        <f t="shared" si="1079"/>
        <v>6.4569026392648811E-3</v>
      </c>
      <c r="U936" s="49">
        <f t="shared" si="1079"/>
        <v>0</v>
      </c>
      <c r="V936" s="49">
        <f t="shared" si="1079"/>
        <v>0</v>
      </c>
      <c r="W936" s="41">
        <f>SUM(G936:V936)</f>
        <v>1.0000000000000002</v>
      </c>
      <c r="X936" s="30" t="str">
        <f t="shared" si="1060"/>
        <v>ok</v>
      </c>
      <c r="Y936" s="34" t="str">
        <f t="shared" si="1061"/>
        <v/>
      </c>
    </row>
    <row r="937" spans="1:25" ht="12.6" customHeight="1" x14ac:dyDescent="0.25">
      <c r="F937" s="50"/>
      <c r="G937" s="49"/>
      <c r="H937" s="49"/>
      <c r="I937" s="49"/>
      <c r="J937" s="49"/>
      <c r="K937" s="49"/>
      <c r="L937" s="49"/>
      <c r="M937" s="49"/>
      <c r="N937" s="49"/>
      <c r="O937" s="49"/>
      <c r="P937" s="49"/>
      <c r="Q937" s="49"/>
      <c r="R937" s="49"/>
      <c r="S937" s="49"/>
      <c r="T937" s="49"/>
      <c r="U937" s="49"/>
      <c r="V937" s="49"/>
      <c r="W937" s="41"/>
      <c r="X937" s="30"/>
      <c r="Y937" s="34"/>
    </row>
    <row r="938" spans="1:25" ht="12" customHeight="1" x14ac:dyDescent="0.25">
      <c r="A938" s="29" t="s">
        <v>2312</v>
      </c>
      <c r="D938" s="29" t="s">
        <v>2317</v>
      </c>
      <c r="F938" s="33">
        <v>47484007.267346539</v>
      </c>
      <c r="G938" s="33">
        <v>29240346.583333332</v>
      </c>
      <c r="H938" s="33">
        <v>11248652.5</v>
      </c>
      <c r="I938" s="33">
        <v>247093</v>
      </c>
      <c r="J938" s="33">
        <v>3173463.3333333335</v>
      </c>
      <c r="K938" s="33">
        <v>746338</v>
      </c>
      <c r="L938" s="33">
        <v>616558.83333333326</v>
      </c>
      <c r="M938" s="33">
        <v>1327268</v>
      </c>
      <c r="N938" s="33">
        <v>786925</v>
      </c>
      <c r="O938" s="33">
        <v>39770.01734654</v>
      </c>
      <c r="P938" s="33">
        <v>0</v>
      </c>
      <c r="Q938" s="33">
        <v>2077</v>
      </c>
      <c r="R938" s="33">
        <v>51255</v>
      </c>
      <c r="S938" s="33">
        <v>4260</v>
      </c>
      <c r="T938" s="33">
        <v>0</v>
      </c>
      <c r="U938" s="33">
        <v>0</v>
      </c>
      <c r="V938" s="49">
        <v>0</v>
      </c>
      <c r="W938" s="37">
        <f>SUM(G938:V938)</f>
        <v>47484007.267346539</v>
      </c>
      <c r="X938" s="30" t="str">
        <f>IF(ABS(F938-W938)&lt;0.01,"ok","err")</f>
        <v>ok</v>
      </c>
      <c r="Y938" s="34" t="str">
        <f>IF(X938="err",W938-F938,"")</f>
        <v/>
      </c>
    </row>
    <row r="939" spans="1:25" ht="12" customHeight="1" x14ac:dyDescent="0.25">
      <c r="A939" s="29" t="s">
        <v>2313</v>
      </c>
      <c r="F939" s="34">
        <f>F445</f>
        <v>315466.89867703599</v>
      </c>
      <c r="G939" s="33"/>
      <c r="H939" s="33"/>
      <c r="I939" s="33"/>
      <c r="J939" s="33"/>
      <c r="K939" s="33"/>
      <c r="L939" s="33"/>
      <c r="M939" s="33"/>
      <c r="N939" s="33"/>
      <c r="O939" s="33"/>
      <c r="P939" s="33"/>
      <c r="Q939" s="33"/>
      <c r="R939" s="33"/>
      <c r="S939" s="33"/>
      <c r="T939" s="33"/>
      <c r="U939" s="33"/>
      <c r="V939" s="33">
        <f>V935</f>
        <v>0</v>
      </c>
      <c r="W939" s="37">
        <f>F939</f>
        <v>315466.89867703599</v>
      </c>
      <c r="X939" s="30" t="str">
        <f>IF(ABS(F939-W939)&lt;0.01,"ok","err")</f>
        <v>ok</v>
      </c>
      <c r="Y939" s="34" t="str">
        <f>IF(X939="err",W939-F939,"")</f>
        <v/>
      </c>
    </row>
    <row r="940" spans="1:25" ht="12" customHeight="1" x14ac:dyDescent="0.25">
      <c r="A940" s="29" t="s">
        <v>818</v>
      </c>
      <c r="F940" s="34">
        <v>1989.32</v>
      </c>
      <c r="G940" s="34"/>
      <c r="H940" s="34"/>
      <c r="I940" s="34"/>
      <c r="J940" s="34"/>
      <c r="K940" s="34"/>
      <c r="L940" s="34"/>
      <c r="M940" s="34"/>
      <c r="N940" s="34"/>
      <c r="O940" s="34"/>
      <c r="P940" s="34"/>
      <c r="Q940" s="34"/>
      <c r="R940" s="34"/>
      <c r="S940" s="34"/>
      <c r="T940" s="34">
        <v>1989.32</v>
      </c>
      <c r="U940" s="34">
        <v>0</v>
      </c>
      <c r="V940" s="34"/>
      <c r="W940" s="37">
        <f t="shared" ref="W940:W941" si="1080">SUM(G940:V940)</f>
        <v>1989.32</v>
      </c>
      <c r="X940" s="30" t="str">
        <f t="shared" ref="X940:X943" si="1081">IF(ABS(F940-W940)&lt;0.01,"ok","err")</f>
        <v>ok</v>
      </c>
      <c r="Y940" s="34" t="str">
        <f t="shared" ref="Y940:Y943" si="1082">IF(X940="err",W940-F940,"")</f>
        <v/>
      </c>
    </row>
    <row r="941" spans="1:25" ht="12" customHeight="1" x14ac:dyDescent="0.25">
      <c r="A941" s="29" t="s">
        <v>2314</v>
      </c>
      <c r="E941" s="29" t="s">
        <v>2317</v>
      </c>
      <c r="F941" s="34">
        <f>F939-F940</f>
        <v>313477.57867703598</v>
      </c>
      <c r="G941" s="32">
        <f t="shared" ref="G941:V941" si="1083">IF(VLOOKUP($E941,$D$5:$AJ$990,3,)=0,0,(VLOOKUP($E941,$D$5:$AJ$990,G$1,)/VLOOKUP($E941,$D$5:$AJ$990,3,))*$F941)</f>
        <v>193037.47880866023</v>
      </c>
      <c r="H941" s="32">
        <f t="shared" si="1083"/>
        <v>74260.799625145781</v>
      </c>
      <c r="I941" s="32">
        <f t="shared" si="1083"/>
        <v>1631.246388114145</v>
      </c>
      <c r="J941" s="32">
        <f t="shared" si="1083"/>
        <v>20950.413813069066</v>
      </c>
      <c r="K941" s="32">
        <f t="shared" si="1083"/>
        <v>4927.1374211828524</v>
      </c>
      <c r="L941" s="32">
        <f t="shared" si="1083"/>
        <v>4070.3677155357332</v>
      </c>
      <c r="M941" s="32">
        <f t="shared" si="1083"/>
        <v>8762.2924609741476</v>
      </c>
      <c r="N941" s="32">
        <f t="shared" si="1083"/>
        <v>5195.0826772378159</v>
      </c>
      <c r="O941" s="32">
        <f t="shared" si="1083"/>
        <v>262.55174024266279</v>
      </c>
      <c r="P941" s="32">
        <f t="shared" si="1083"/>
        <v>0</v>
      </c>
      <c r="Q941" s="32">
        <f t="shared" si="1083"/>
        <v>13.711836224065753</v>
      </c>
      <c r="R941" s="32">
        <f t="shared" si="1083"/>
        <v>338.37273262613877</v>
      </c>
      <c r="S941" s="32">
        <f t="shared" si="1083"/>
        <v>28.123458023360666</v>
      </c>
      <c r="T941" s="32">
        <f t="shared" si="1083"/>
        <v>0</v>
      </c>
      <c r="U941" s="32">
        <f t="shared" si="1083"/>
        <v>0</v>
      </c>
      <c r="V941" s="32">
        <f t="shared" si="1083"/>
        <v>0</v>
      </c>
      <c r="W941" s="37">
        <f t="shared" si="1080"/>
        <v>313477.57867703604</v>
      </c>
      <c r="X941" s="30" t="str">
        <f t="shared" si="1081"/>
        <v>ok</v>
      </c>
      <c r="Y941" s="34" t="str">
        <f t="shared" si="1082"/>
        <v/>
      </c>
    </row>
    <row r="942" spans="1:25" ht="12" customHeight="1" x14ac:dyDescent="0.25">
      <c r="A942" s="29" t="s">
        <v>2315</v>
      </c>
      <c r="D942" s="29" t="s">
        <v>2318</v>
      </c>
      <c r="F942" s="34">
        <f t="shared" ref="F942" si="1084">F940+F941</f>
        <v>315466.89867703599</v>
      </c>
      <c r="G942" s="34">
        <f>G940+G941</f>
        <v>193037.47880866023</v>
      </c>
      <c r="H942" s="34">
        <f t="shared" ref="H942:V942" si="1085">H940+H941</f>
        <v>74260.799625145781</v>
      </c>
      <c r="I942" s="34">
        <f t="shared" si="1085"/>
        <v>1631.246388114145</v>
      </c>
      <c r="J942" s="34">
        <f t="shared" si="1085"/>
        <v>20950.413813069066</v>
      </c>
      <c r="K942" s="34">
        <f t="shared" si="1085"/>
        <v>4927.1374211828524</v>
      </c>
      <c r="L942" s="34">
        <f t="shared" si="1085"/>
        <v>4070.3677155357332</v>
      </c>
      <c r="M942" s="34">
        <f t="shared" si="1085"/>
        <v>8762.2924609741476</v>
      </c>
      <c r="N942" s="34">
        <f t="shared" si="1085"/>
        <v>5195.0826772378159</v>
      </c>
      <c r="O942" s="34">
        <f t="shared" si="1085"/>
        <v>262.55174024266279</v>
      </c>
      <c r="P942" s="34">
        <f t="shared" si="1085"/>
        <v>0</v>
      </c>
      <c r="Q942" s="34">
        <f t="shared" si="1085"/>
        <v>13.711836224065753</v>
      </c>
      <c r="R942" s="34">
        <f t="shared" si="1085"/>
        <v>338.37273262613877</v>
      </c>
      <c r="S942" s="34">
        <f t="shared" si="1085"/>
        <v>28.123458023360666</v>
      </c>
      <c r="T942" s="34">
        <f t="shared" si="1085"/>
        <v>1989.32</v>
      </c>
      <c r="U942" s="34">
        <f t="shared" si="1085"/>
        <v>0</v>
      </c>
      <c r="V942" s="34">
        <f t="shared" si="1085"/>
        <v>0</v>
      </c>
      <c r="W942" s="37">
        <f>SUM(G942:V942)</f>
        <v>315466.89867703605</v>
      </c>
      <c r="X942" s="30" t="str">
        <f t="shared" si="1081"/>
        <v>ok</v>
      </c>
      <c r="Y942" s="34" t="str">
        <f t="shared" si="1082"/>
        <v/>
      </c>
    </row>
    <row r="943" spans="1:25" ht="12" customHeight="1" x14ac:dyDescent="0.25">
      <c r="A943" s="29" t="s">
        <v>2316</v>
      </c>
      <c r="D943" s="29" t="s">
        <v>2319</v>
      </c>
      <c r="E943" s="29" t="s">
        <v>2318</v>
      </c>
      <c r="F943" s="50">
        <v>1</v>
      </c>
      <c r="G943" s="49">
        <f t="shared" ref="G943:V943" si="1086">IF(VLOOKUP($E943,$D$5:$AJ$990,3,)=0,0,(VLOOKUP($E943,$D$5:$AJ$990,G$1,)/VLOOKUP($E943,$D$5:$AJ$990,3,))*$F943)</f>
        <v>0.61191040840796829</v>
      </c>
      <c r="H943" s="49">
        <f t="shared" si="1086"/>
        <v>0.23539965662505655</v>
      </c>
      <c r="I943" s="49">
        <f t="shared" si="1086"/>
        <v>5.1708955676651137E-3</v>
      </c>
      <c r="J943" s="49">
        <f t="shared" si="1086"/>
        <v>6.6410814893506045E-2</v>
      </c>
      <c r="K943" s="49">
        <f t="shared" si="1086"/>
        <v>1.5618555993816277E-2</v>
      </c>
      <c r="L943" s="49">
        <f t="shared" si="1086"/>
        <v>1.2902677690133296E-2</v>
      </c>
      <c r="M943" s="49">
        <f t="shared" si="1086"/>
        <v>2.7775631921194612E-2</v>
      </c>
      <c r="N943" s="49">
        <f t="shared" si="1086"/>
        <v>1.6467916916241537E-2</v>
      </c>
      <c r="O943" s="49">
        <f t="shared" si="1086"/>
        <v>8.3226399138457347E-4</v>
      </c>
      <c r="P943" s="49">
        <f t="shared" si="1086"/>
        <v>0</v>
      </c>
      <c r="Q943" s="49">
        <f t="shared" si="1086"/>
        <v>4.3465213883195563E-5</v>
      </c>
      <c r="R943" s="49">
        <f t="shared" si="1086"/>
        <v>1.0726093103433745E-3</v>
      </c>
      <c r="S943" s="49">
        <f t="shared" si="1086"/>
        <v>8.9148681339630759E-5</v>
      </c>
      <c r="T943" s="49">
        <f t="shared" si="1086"/>
        <v>6.3059547874675633E-3</v>
      </c>
      <c r="U943" s="49">
        <f t="shared" si="1086"/>
        <v>0</v>
      </c>
      <c r="V943" s="49">
        <f t="shared" si="1086"/>
        <v>0</v>
      </c>
      <c r="W943" s="41">
        <f>SUM(G943:V943)</f>
        <v>1</v>
      </c>
      <c r="X943" s="30" t="str">
        <f t="shared" si="1081"/>
        <v>ok</v>
      </c>
      <c r="Y943" s="34" t="str">
        <f t="shared" si="1082"/>
        <v/>
      </c>
    </row>
    <row r="944" spans="1:25" ht="12" customHeight="1" x14ac:dyDescent="0.25">
      <c r="F944" s="50"/>
      <c r="G944" s="49"/>
      <c r="H944" s="49"/>
      <c r="I944" s="49"/>
      <c r="J944" s="49"/>
      <c r="K944" s="49"/>
      <c r="L944" s="49"/>
      <c r="M944" s="49"/>
      <c r="N944" s="49"/>
      <c r="O944" s="49"/>
      <c r="P944" s="49"/>
      <c r="Q944" s="49"/>
      <c r="R944" s="49"/>
      <c r="S944" s="49"/>
      <c r="T944" s="49"/>
      <c r="U944" s="49"/>
      <c r="V944" s="49"/>
      <c r="W944" s="41"/>
      <c r="X944" s="30"/>
      <c r="Y944" s="34"/>
    </row>
    <row r="945" spans="1:36" ht="12" customHeight="1" x14ac:dyDescent="0.25">
      <c r="F945" s="50"/>
      <c r="G945" s="49"/>
      <c r="H945" s="49"/>
      <c r="I945" s="49"/>
      <c r="J945" s="49"/>
      <c r="K945" s="49"/>
      <c r="L945" s="49"/>
      <c r="M945" s="49"/>
      <c r="N945" s="49"/>
      <c r="O945" s="49"/>
      <c r="P945" s="49"/>
      <c r="Q945" s="49"/>
      <c r="R945" s="49"/>
      <c r="S945" s="49"/>
      <c r="T945" s="49"/>
      <c r="U945" s="49"/>
      <c r="V945" s="49"/>
      <c r="X945" s="30"/>
    </row>
    <row r="946" spans="1:36" ht="12" customHeight="1" x14ac:dyDescent="0.25">
      <c r="A946" s="93" t="s">
        <v>874</v>
      </c>
      <c r="F946" s="50"/>
      <c r="G946" s="49"/>
      <c r="H946" s="49"/>
      <c r="I946" s="49"/>
      <c r="J946" s="49"/>
      <c r="K946" s="49"/>
      <c r="L946" s="49"/>
      <c r="M946" s="49"/>
      <c r="N946" s="49"/>
      <c r="O946" s="49"/>
      <c r="P946" s="49"/>
      <c r="Q946" s="49"/>
      <c r="R946" s="49"/>
      <c r="S946" s="49"/>
      <c r="T946" s="49"/>
      <c r="U946" s="49"/>
      <c r="V946" s="49"/>
      <c r="X946" s="30"/>
      <c r="AA946" s="37"/>
      <c r="AB946" s="37"/>
      <c r="AC946" s="37"/>
      <c r="AD946" s="37"/>
      <c r="AE946" s="37"/>
      <c r="AF946" s="37"/>
    </row>
    <row r="947" spans="1:36" ht="12" customHeight="1" x14ac:dyDescent="0.25">
      <c r="A947" s="93"/>
      <c r="F947" s="50"/>
      <c r="G947" s="49"/>
      <c r="H947" s="49"/>
      <c r="I947" s="49"/>
      <c r="J947" s="49"/>
      <c r="K947" s="49"/>
      <c r="L947" s="49"/>
      <c r="M947" s="49"/>
      <c r="N947" s="49"/>
      <c r="O947" s="49"/>
      <c r="P947" s="49"/>
      <c r="Q947" s="49"/>
      <c r="R947" s="49"/>
      <c r="S947" s="49"/>
      <c r="T947" s="49"/>
      <c r="U947" s="49"/>
      <c r="V947" s="49"/>
      <c r="X947" s="30"/>
      <c r="AA947" s="37"/>
      <c r="AB947" s="37"/>
      <c r="AC947" s="37"/>
      <c r="AD947" s="37"/>
      <c r="AE947" s="37"/>
      <c r="AF947" s="37"/>
    </row>
    <row r="948" spans="1:36" ht="12" customHeight="1" x14ac:dyDescent="0.25">
      <c r="A948" s="29" t="s">
        <v>1762</v>
      </c>
      <c r="D948" s="29" t="s">
        <v>1761</v>
      </c>
      <c r="F948" s="33">
        <v>4039618.55</v>
      </c>
      <c r="G948" s="33">
        <v>3142208.99</v>
      </c>
      <c r="H948" s="33">
        <v>633110.54</v>
      </c>
      <c r="I948" s="33">
        <f t="shared" ref="I948:O948" si="1087">(I830/($I$830+$J$830+$K$830+$L$830+$M$830+$N$830+$O$830))*(168624.19+54107.91+3839.69+1237.22+34040.61)</f>
        <v>23343.696651843962</v>
      </c>
      <c r="J948" s="33">
        <f t="shared" si="1087"/>
        <v>186986.63584502728</v>
      </c>
      <c r="K948" s="33">
        <f t="shared" si="1087"/>
        <v>8617.923853548129</v>
      </c>
      <c r="L948" s="33">
        <f t="shared" si="1087"/>
        <v>30964.562972174146</v>
      </c>
      <c r="M948" s="33">
        <f t="shared" si="1087"/>
        <v>10849.10155025962</v>
      </c>
      <c r="N948" s="33">
        <f t="shared" si="1087"/>
        <v>1045.8645453335109</v>
      </c>
      <c r="O948" s="33">
        <f t="shared" si="1087"/>
        <v>41.834581813340435</v>
      </c>
      <c r="P948" s="33">
        <v>2449.4</v>
      </c>
      <c r="Q948" s="33">
        <v>0</v>
      </c>
      <c r="R948" s="33">
        <v>0</v>
      </c>
      <c r="S948" s="33">
        <v>0</v>
      </c>
      <c r="T948" s="33">
        <v>0</v>
      </c>
      <c r="U948" s="33"/>
      <c r="V948" s="33">
        <v>0</v>
      </c>
      <c r="W948" s="37">
        <f>SUM(G948:V948)</f>
        <v>4039618.5500000003</v>
      </c>
      <c r="X948" s="30" t="str">
        <f>IF(ABS(F948-W948)&lt;0.01,"ok","err")</f>
        <v>ok</v>
      </c>
      <c r="Y948" s="34" t="str">
        <f>IF(X948="err",W948-F948,"")</f>
        <v/>
      </c>
    </row>
    <row r="949" spans="1:36" ht="12" customHeight="1" x14ac:dyDescent="0.25">
      <c r="A949" s="29" t="s">
        <v>1414</v>
      </c>
      <c r="D949" s="29" t="s">
        <v>2010</v>
      </c>
      <c r="F949" s="33">
        <v>1721762.97</v>
      </c>
      <c r="G949" s="33">
        <f>196532.34</f>
        <v>196532.34</v>
      </c>
      <c r="H949" s="33">
        <v>289719.55</v>
      </c>
      <c r="I949" s="33">
        <f t="shared" ref="I949:O949" si="1088">(I830/($I$830+$J$830+$K$830+$L$830+$M$830+$N$830+$O$830))*(919157.09+216516.03+90635.5+207.24+465.28)</f>
        <v>109384.44565890027</v>
      </c>
      <c r="J949" s="33">
        <f t="shared" si="1088"/>
        <v>876186.39894874173</v>
      </c>
      <c r="K949" s="33">
        <f t="shared" si="1088"/>
        <v>40382.071336439883</v>
      </c>
      <c r="L949" s="33">
        <f t="shared" si="1088"/>
        <v>145094.48123392358</v>
      </c>
      <c r="M949" s="33">
        <f t="shared" si="1088"/>
        <v>50836.976536812668</v>
      </c>
      <c r="N949" s="33">
        <f t="shared" si="1088"/>
        <v>4900.7368126747433</v>
      </c>
      <c r="O949" s="33">
        <f t="shared" si="1088"/>
        <v>196.02947250698972</v>
      </c>
      <c r="P949" s="33">
        <f>8529.94</f>
        <v>8529.94</v>
      </c>
      <c r="Q949" s="38">
        <v>0</v>
      </c>
      <c r="R949" s="33">
        <v>0</v>
      </c>
      <c r="S949" s="38">
        <v>0</v>
      </c>
      <c r="T949" s="38">
        <v>0</v>
      </c>
      <c r="U949" s="33"/>
      <c r="V949" s="33">
        <v>0</v>
      </c>
      <c r="W949" s="37">
        <f>SUM(G949:V949)</f>
        <v>1721762.97</v>
      </c>
      <c r="X949" s="30" t="str">
        <f>IF(ABS(F949-W949)&lt;0.01,"ok","err")</f>
        <v>ok</v>
      </c>
      <c r="Y949" s="34" t="str">
        <f>IF(X949="err",W949-F949,"")</f>
        <v/>
      </c>
    </row>
    <row r="950" spans="1:36" ht="12" customHeight="1" x14ac:dyDescent="0.25">
      <c r="A950" s="29" t="s">
        <v>2205</v>
      </c>
      <c r="D950" s="29" t="s">
        <v>2206</v>
      </c>
      <c r="F950" s="33">
        <v>2060072</v>
      </c>
      <c r="G950" s="33">
        <v>1967504</v>
      </c>
      <c r="H950" s="33">
        <v>89404</v>
      </c>
      <c r="I950" s="33">
        <f t="shared" ref="I950:O950" si="1089">(I830/($I$830+$J$830+$K$830+$L$830+$M$830+$N$830+$O$830))*(1008+812+980)</f>
        <v>249.61789375582478</v>
      </c>
      <c r="J950" s="33">
        <f t="shared" si="1089"/>
        <v>1999.4780987884435</v>
      </c>
      <c r="K950" s="33">
        <f t="shared" si="1089"/>
        <v>92.152842497670093</v>
      </c>
      <c r="L950" s="33">
        <f t="shared" si="1089"/>
        <v>331.10904007455736</v>
      </c>
      <c r="M950" s="33">
        <f t="shared" si="1089"/>
        <v>116.0111835973905</v>
      </c>
      <c r="N950" s="33">
        <f t="shared" si="1089"/>
        <v>11.183597390493944</v>
      </c>
      <c r="O950" s="33">
        <f t="shared" si="1089"/>
        <v>0.44734389561975768</v>
      </c>
      <c r="P950" s="33">
        <v>364</v>
      </c>
      <c r="Q950" s="38"/>
      <c r="R950" s="33"/>
      <c r="S950" s="38"/>
      <c r="T950" s="38"/>
      <c r="U950" s="33"/>
      <c r="V950" s="33">
        <v>0</v>
      </c>
      <c r="W950" s="37">
        <f>SUM(G950:V950)</f>
        <v>2060072.0000000002</v>
      </c>
      <c r="X950" s="30" t="str">
        <f>IF(ABS(F950-W950)&lt;0.01,"ok","err")</f>
        <v>ok</v>
      </c>
      <c r="Y950" s="34" t="str">
        <f>IF(X950="err",W950-F950,"")</f>
        <v/>
      </c>
    </row>
    <row r="951" spans="1:36" ht="12" customHeight="1" x14ac:dyDescent="0.25">
      <c r="A951" s="29" t="s">
        <v>2207</v>
      </c>
      <c r="D951" s="29" t="s">
        <v>1018</v>
      </c>
      <c r="F951" s="33">
        <v>183760</v>
      </c>
      <c r="G951" s="33">
        <v>171130</v>
      </c>
      <c r="H951" s="33">
        <v>11340</v>
      </c>
      <c r="I951" s="33">
        <f t="shared" ref="I951:O951" si="1090">(I830/($I$830+$J$830+$K$830+$L$830+$M$830+$N$830+$O$830))*(390+760+80)</f>
        <v>109.65357475702302</v>
      </c>
      <c r="J951" s="33">
        <f t="shared" si="1090"/>
        <v>878.34216482492343</v>
      </c>
      <c r="K951" s="33">
        <f t="shared" si="1090"/>
        <v>40.481427240047928</v>
      </c>
      <c r="L951" s="33">
        <f t="shared" si="1090"/>
        <v>145.4514711756091</v>
      </c>
      <c r="M951" s="33">
        <f t="shared" si="1090"/>
        <v>50.962055651710827</v>
      </c>
      <c r="N951" s="33">
        <f t="shared" si="1090"/>
        <v>4.9127945679669818</v>
      </c>
      <c r="O951" s="33">
        <f t="shared" si="1090"/>
        <v>0.19651178271867928</v>
      </c>
      <c r="P951" s="33">
        <v>60</v>
      </c>
      <c r="Q951" s="38"/>
      <c r="R951" s="33"/>
      <c r="S951" s="38"/>
      <c r="T951" s="38"/>
      <c r="U951" s="33"/>
      <c r="V951" s="33">
        <v>0</v>
      </c>
      <c r="W951" s="37">
        <f>SUM(G951:V951)</f>
        <v>183759.99999999997</v>
      </c>
      <c r="X951" s="30" t="str">
        <f>IF(ABS(F951-W951)&lt;0.01,"ok","err")</f>
        <v>ok</v>
      </c>
      <c r="Y951" s="34" t="str">
        <f>IF(X951="err",W951-F951,"")</f>
        <v/>
      </c>
    </row>
    <row r="952" spans="1:36" ht="12" customHeight="1" x14ac:dyDescent="0.25">
      <c r="A952" s="29" t="s">
        <v>2208</v>
      </c>
      <c r="D952" s="29" t="s">
        <v>2209</v>
      </c>
      <c r="F952" s="33">
        <v>4043921743.242528</v>
      </c>
      <c r="G952" s="33">
        <f t="shared" ref="G952:S952" si="1091">G174</f>
        <v>1913829757.74629</v>
      </c>
      <c r="H952" s="33">
        <f t="shared" si="1091"/>
        <v>467548043.95758653</v>
      </c>
      <c r="I952" s="33">
        <f t="shared" si="1091"/>
        <v>28196993.42654264</v>
      </c>
      <c r="J952" s="33">
        <f t="shared" si="1091"/>
        <v>349060438.26951933</v>
      </c>
      <c r="K952" s="33">
        <f t="shared" si="1091"/>
        <v>23535963.346838195</v>
      </c>
      <c r="L952" s="33">
        <f t="shared" si="1091"/>
        <v>306358758.4514882</v>
      </c>
      <c r="M952" s="33">
        <f t="shared" si="1091"/>
        <v>598196354.09069657</v>
      </c>
      <c r="N952" s="33">
        <f t="shared" si="1091"/>
        <v>179279650.94574383</v>
      </c>
      <c r="O952" s="33">
        <f t="shared" si="1091"/>
        <v>81805214.326673463</v>
      </c>
      <c r="P952" s="33">
        <f t="shared" si="1091"/>
        <v>95549460.244665146</v>
      </c>
      <c r="Q952" s="33">
        <f t="shared" si="1091"/>
        <v>110709.73647517695</v>
      </c>
      <c r="R952" s="33">
        <f t="shared" si="1091"/>
        <v>291865.82501450198</v>
      </c>
      <c r="S952" s="33">
        <f t="shared" si="1091"/>
        <v>158532.87499419737</v>
      </c>
      <c r="T952" s="38"/>
      <c r="U952" s="33"/>
      <c r="V952" s="33">
        <v>0</v>
      </c>
      <c r="W952" s="37">
        <f>SUM(G952:V952)</f>
        <v>4043921743.242528</v>
      </c>
      <c r="X952" s="30" t="str">
        <f>IF(ABS(F952-W952)&lt;0.01,"ok","err")</f>
        <v>ok</v>
      </c>
      <c r="Y952" s="34" t="str">
        <f>IF(X952="err",W952-F952,"")</f>
        <v/>
      </c>
    </row>
    <row r="953" spans="1:36" ht="12" hidden="1" customHeight="1" x14ac:dyDescent="0.25">
      <c r="A953" s="29" t="s">
        <v>873</v>
      </c>
      <c r="D953" s="29" t="s">
        <v>2131</v>
      </c>
      <c r="F953" s="33">
        <v>0</v>
      </c>
      <c r="G953" s="33"/>
      <c r="H953" s="33"/>
      <c r="I953" s="33"/>
      <c r="J953" s="33"/>
      <c r="K953" s="33"/>
      <c r="L953" s="33"/>
      <c r="M953" s="33"/>
      <c r="N953" s="33"/>
      <c r="O953" s="33"/>
      <c r="P953" s="33"/>
      <c r="Q953" s="33"/>
      <c r="R953" s="33"/>
      <c r="S953" s="33"/>
      <c r="T953" s="33"/>
      <c r="U953" s="33"/>
      <c r="V953" s="33"/>
      <c r="W953" s="37">
        <f t="shared" ref="W953:W955" si="1092">SUM(G953:V953)</f>
        <v>0</v>
      </c>
      <c r="X953" s="30" t="str">
        <f t="shared" ref="X953:X955" si="1093">IF(ABS(F953-W953)&lt;0.01,"ok","err")</f>
        <v>ok</v>
      </c>
      <c r="Y953" s="34" t="str">
        <f t="shared" ref="Y953:Y955" si="1094">IF(X953="err",W953-F953,"")</f>
        <v/>
      </c>
      <c r="Z953" s="37"/>
      <c r="AG953" s="37"/>
      <c r="AH953" s="37"/>
      <c r="AI953" s="37"/>
      <c r="AJ953" s="37"/>
    </row>
    <row r="954" spans="1:36" ht="12" customHeight="1" x14ac:dyDescent="0.25">
      <c r="A954" s="29" t="s">
        <v>535</v>
      </c>
      <c r="D954" s="29" t="s">
        <v>536</v>
      </c>
      <c r="F954" s="33">
        <v>4638709293.2988653</v>
      </c>
      <c r="G954" s="33">
        <f t="shared" ref="G954:S954" si="1095">G8</f>
        <v>1919356253.6339631</v>
      </c>
      <c r="H954" s="33">
        <f t="shared" si="1095"/>
        <v>435361973.91238195</v>
      </c>
      <c r="I954" s="33">
        <f t="shared" si="1095"/>
        <v>29426980.003630739</v>
      </c>
      <c r="J954" s="33">
        <f t="shared" si="1095"/>
        <v>482065201.0804376</v>
      </c>
      <c r="K954" s="33">
        <f t="shared" si="1095"/>
        <v>33295340.02488758</v>
      </c>
      <c r="L954" s="33">
        <f t="shared" si="1095"/>
        <v>449729429.61157304</v>
      </c>
      <c r="M954" s="33">
        <f t="shared" si="1095"/>
        <v>878426637.55972326</v>
      </c>
      <c r="N954" s="33">
        <f t="shared" si="1095"/>
        <v>287662732.47613364</v>
      </c>
      <c r="O954" s="33">
        <f t="shared" si="1095"/>
        <v>121318461.82166994</v>
      </c>
      <c r="P954" s="33">
        <f t="shared" si="1095"/>
        <v>1763674.4847379541</v>
      </c>
      <c r="Q954" s="33">
        <f t="shared" si="1095"/>
        <v>20115.696470598286</v>
      </c>
      <c r="R954" s="33">
        <f t="shared" si="1095"/>
        <v>241738.24094981106</v>
      </c>
      <c r="S954" s="33">
        <f t="shared" si="1095"/>
        <v>40754.752305828515</v>
      </c>
      <c r="T954" s="33">
        <v>0</v>
      </c>
      <c r="U954" s="33">
        <v>0</v>
      </c>
      <c r="V954" s="33">
        <v>0</v>
      </c>
      <c r="W954" s="37">
        <f t="shared" si="1092"/>
        <v>4638709293.2988653</v>
      </c>
      <c r="X954" s="30" t="str">
        <f t="shared" si="1093"/>
        <v>ok</v>
      </c>
      <c r="Y954" s="34" t="str">
        <f t="shared" si="1094"/>
        <v/>
      </c>
      <c r="Z954" s="37"/>
      <c r="AG954" s="37"/>
      <c r="AH954" s="37"/>
      <c r="AI954" s="37"/>
      <c r="AJ954" s="37"/>
    </row>
    <row r="955" spans="1:36" ht="12" customHeight="1" x14ac:dyDescent="0.25">
      <c r="A955" s="29" t="s">
        <v>538</v>
      </c>
      <c r="F955" s="33">
        <v>1421546812.3251231</v>
      </c>
      <c r="G955" s="33">
        <v>548415755.63999999</v>
      </c>
      <c r="H955" s="33">
        <v>195335990.06999999</v>
      </c>
      <c r="I955" s="33">
        <v>10580354.35</v>
      </c>
      <c r="J955" s="33">
        <v>153184602.70000002</v>
      </c>
      <c r="K955" s="33">
        <v>12152454.16</v>
      </c>
      <c r="L955" s="33">
        <v>123859983.27000001</v>
      </c>
      <c r="M955" s="33">
        <v>238251994.34999999</v>
      </c>
      <c r="N955" s="33">
        <v>80897271.019999996</v>
      </c>
      <c r="O955" s="33">
        <v>31706991.170000002</v>
      </c>
      <c r="P955" s="33">
        <v>26808058.205123302</v>
      </c>
      <c r="Q955" s="33">
        <v>83913.11</v>
      </c>
      <c r="R955" s="33">
        <v>162373.04999999999</v>
      </c>
      <c r="S955" s="33">
        <v>51252</v>
      </c>
      <c r="T955" s="33">
        <v>2599.4699999999998</v>
      </c>
      <c r="U955" s="33">
        <v>53219.76</v>
      </c>
      <c r="V955" s="33">
        <v>0</v>
      </c>
      <c r="W955" s="37">
        <f t="shared" si="1092"/>
        <v>1421546812.3251231</v>
      </c>
      <c r="X955" s="30" t="str">
        <f t="shared" si="1093"/>
        <v>ok</v>
      </c>
      <c r="Y955" s="34" t="str">
        <f t="shared" si="1094"/>
        <v/>
      </c>
    </row>
    <row r="957" spans="1:36" ht="12" customHeight="1" x14ac:dyDescent="0.25">
      <c r="F957" s="33"/>
      <c r="G957" s="33"/>
      <c r="H957" s="33"/>
      <c r="I957" s="33"/>
      <c r="J957" s="33"/>
      <c r="K957" s="33"/>
      <c r="L957" s="33"/>
      <c r="M957" s="33"/>
      <c r="N957" s="33"/>
      <c r="O957" s="33"/>
      <c r="P957" s="33"/>
      <c r="Q957" s="33"/>
      <c r="R957" s="33"/>
      <c r="S957" s="33"/>
      <c r="T957" s="33"/>
      <c r="U957" s="49"/>
      <c r="V957" s="33"/>
      <c r="X957" s="86"/>
    </row>
    <row r="958" spans="1:36" ht="12" customHeight="1" x14ac:dyDescent="0.25">
      <c r="A958" s="29" t="s">
        <v>539</v>
      </c>
      <c r="D958" s="29" t="s">
        <v>492</v>
      </c>
      <c r="F958" s="33">
        <f t="shared" ref="F958:U958" si="1096">F231-F183</f>
        <v>310645197.12277186</v>
      </c>
      <c r="G958" s="33">
        <f t="shared" si="1096"/>
        <v>163197544.8823671</v>
      </c>
      <c r="H958" s="33">
        <f t="shared" si="1096"/>
        <v>45983717.424860053</v>
      </c>
      <c r="I958" s="33">
        <f t="shared" si="1096"/>
        <v>2296886.4600329809</v>
      </c>
      <c r="J958" s="33">
        <f t="shared" si="1096"/>
        <v>22619233.107222132</v>
      </c>
      <c r="K958" s="33">
        <f t="shared" si="1096"/>
        <v>1579443.3883528821</v>
      </c>
      <c r="L958" s="33">
        <f t="shared" si="1096"/>
        <v>19050186.815913387</v>
      </c>
      <c r="M958" s="33">
        <f t="shared" si="1096"/>
        <v>35193938.582833067</v>
      </c>
      <c r="N958" s="33">
        <f t="shared" si="1096"/>
        <v>10168700.927974895</v>
      </c>
      <c r="O958" s="33">
        <f t="shared" si="1096"/>
        <v>4739603.7723790519</v>
      </c>
      <c r="P958" s="33">
        <f t="shared" si="1096"/>
        <v>5683344.972163775</v>
      </c>
      <c r="Q958" s="33">
        <f t="shared" si="1096"/>
        <v>8624.3844314963208</v>
      </c>
      <c r="R958" s="33">
        <f t="shared" si="1096"/>
        <v>34575.477924715757</v>
      </c>
      <c r="S958" s="33">
        <f t="shared" si="1096"/>
        <v>14699.396316295099</v>
      </c>
      <c r="T958" s="33">
        <f t="shared" si="1096"/>
        <v>6398.9999999999991</v>
      </c>
      <c r="U958" s="33">
        <f t="shared" si="1096"/>
        <v>68298.53</v>
      </c>
      <c r="V958" s="33">
        <v>0</v>
      </c>
      <c r="W958" s="37">
        <f>SUM(G958:V958)</f>
        <v>310645197.12277174</v>
      </c>
      <c r="X958" s="30" t="str">
        <f>IF(ABS(F958-W958)&lt;0.01,"ok","err")</f>
        <v>ok</v>
      </c>
      <c r="Y958" s="34" t="str">
        <f>IF(X958="err",W958-F958,"")</f>
        <v/>
      </c>
    </row>
    <row r="959" spans="1:36" ht="12" customHeight="1" x14ac:dyDescent="0.25">
      <c r="F959" s="38"/>
      <c r="G959" s="38"/>
      <c r="H959" s="38"/>
      <c r="I959" s="38"/>
      <c r="J959" s="38"/>
      <c r="K959" s="38"/>
      <c r="L959" s="38"/>
      <c r="M959" s="38"/>
      <c r="N959" s="38"/>
      <c r="O959" s="38"/>
      <c r="P959" s="38"/>
      <c r="Q959" s="38"/>
      <c r="R959" s="38"/>
      <c r="S959" s="38"/>
      <c r="T959" s="38"/>
      <c r="U959" s="38"/>
      <c r="V959" s="33"/>
      <c r="W959" s="30"/>
    </row>
    <row r="960" spans="1:36" ht="12" customHeight="1" x14ac:dyDescent="0.25">
      <c r="A960" s="93" t="s">
        <v>2210</v>
      </c>
      <c r="F960" s="50"/>
      <c r="G960" s="49"/>
      <c r="H960" s="49"/>
      <c r="I960" s="49"/>
      <c r="J960" s="49"/>
      <c r="K960" s="49"/>
      <c r="L960" s="49"/>
      <c r="M960" s="49"/>
      <c r="N960" s="49"/>
      <c r="O960" s="49"/>
      <c r="P960" s="49"/>
      <c r="Q960" s="49"/>
      <c r="R960" s="49"/>
      <c r="S960" s="49"/>
      <c r="T960" s="49"/>
      <c r="U960" s="49"/>
      <c r="V960" s="49"/>
      <c r="W960" s="30"/>
    </row>
    <row r="961" spans="1:24" ht="12" customHeight="1" x14ac:dyDescent="0.25">
      <c r="A961" s="29" t="s">
        <v>2211</v>
      </c>
      <c r="F961" s="33">
        <v>3103908</v>
      </c>
      <c r="G961" s="49"/>
      <c r="H961" s="49"/>
      <c r="I961" s="49"/>
      <c r="J961" s="49"/>
      <c r="K961" s="49"/>
      <c r="L961" s="49"/>
      <c r="M961" s="33">
        <f>(4877+5667+6104)*12</f>
        <v>199776</v>
      </c>
      <c r="N961" s="33">
        <f>(4745+24132+4557+6471+3256)*12</f>
        <v>517932</v>
      </c>
      <c r="O961" s="33">
        <f>198850*12</f>
        <v>2386200</v>
      </c>
      <c r="P961" s="49"/>
      <c r="Q961" s="49"/>
      <c r="R961" s="49"/>
      <c r="S961" s="49"/>
      <c r="T961" s="49"/>
      <c r="U961" s="49"/>
      <c r="V961" s="33">
        <v>0</v>
      </c>
      <c r="W961" s="37">
        <f>SUM(G961:V961)</f>
        <v>3103908</v>
      </c>
      <c r="X961" s="30" t="str">
        <f>IF(ABS(F961-W961)&lt;0.01,"ok","err")</f>
        <v>ok</v>
      </c>
    </row>
    <row r="962" spans="1:24" ht="12" customHeight="1" x14ac:dyDescent="0.25">
      <c r="A962" s="29" t="s">
        <v>2212</v>
      </c>
      <c r="F962" s="32"/>
      <c r="G962" s="32"/>
      <c r="H962" s="32"/>
      <c r="I962" s="32"/>
      <c r="J962" s="32"/>
      <c r="K962" s="32"/>
      <c r="L962" s="32"/>
      <c r="M962" s="190">
        <f>M963/M961</f>
        <v>-5.2119696059586733</v>
      </c>
      <c r="N962" s="190">
        <f>N963/N961</f>
        <v>-5.8999999999999995</v>
      </c>
      <c r="O962" s="190">
        <v>-5.9</v>
      </c>
      <c r="P962" s="32"/>
      <c r="Q962" s="32"/>
      <c r="R962" s="32"/>
      <c r="S962" s="32"/>
      <c r="T962" s="32"/>
      <c r="U962" s="32"/>
      <c r="V962" s="34"/>
      <c r="W962" s="30"/>
      <c r="X962" s="34"/>
    </row>
    <row r="963" spans="1:24" ht="11.7" customHeight="1" x14ac:dyDescent="0.25">
      <c r="A963" s="29" t="s">
        <v>2213</v>
      </c>
      <c r="F963" s="32">
        <v>-18175605.239999998</v>
      </c>
      <c r="G963" s="49"/>
      <c r="H963" s="49"/>
      <c r="I963" s="49"/>
      <c r="J963" s="49"/>
      <c r="K963" s="49"/>
      <c r="L963" s="49"/>
      <c r="M963" s="32">
        <f>-193714.44-408024-439488</f>
        <v>-1041226.44</v>
      </c>
      <c r="N963" s="32">
        <f>(-27995.5-142378.8-26886.3-38178.9-19210.4)*12</f>
        <v>-3055798.8</v>
      </c>
      <c r="O963" s="32">
        <f>O961*O962</f>
        <v>-14078580</v>
      </c>
      <c r="P963" s="49"/>
      <c r="Q963" s="49"/>
      <c r="R963" s="49"/>
      <c r="S963" s="49"/>
      <c r="T963" s="49"/>
      <c r="U963" s="49"/>
      <c r="V963" s="33">
        <v>0</v>
      </c>
      <c r="W963" s="37">
        <f>SUM(G963:V963)</f>
        <v>-18175605.239999998</v>
      </c>
      <c r="X963" s="30" t="str">
        <f>IF(ABS(F963-W963)&lt;0.01,"ok","err")</f>
        <v>ok</v>
      </c>
    </row>
    <row r="964" spans="1:24" ht="12" customHeight="1" x14ac:dyDescent="0.25">
      <c r="G964" s="49"/>
      <c r="H964" s="49"/>
      <c r="I964" s="49"/>
      <c r="J964" s="49"/>
      <c r="K964" s="49"/>
      <c r="L964" s="49"/>
      <c r="M964" s="49"/>
      <c r="N964" s="49"/>
      <c r="O964" s="49"/>
      <c r="P964" s="49"/>
      <c r="Q964" s="49"/>
      <c r="R964" s="49"/>
      <c r="S964" s="49"/>
      <c r="T964" s="49"/>
      <c r="U964" s="49"/>
      <c r="V964" s="49"/>
      <c r="W964" s="30"/>
    </row>
    <row r="965" spans="1:24" ht="12" customHeight="1" x14ac:dyDescent="0.25">
      <c r="F965" s="32"/>
      <c r="G965" s="32"/>
      <c r="H965" s="32"/>
      <c r="I965" s="32"/>
      <c r="J965" s="32"/>
      <c r="K965" s="32"/>
      <c r="L965" s="32"/>
      <c r="M965" s="32"/>
      <c r="N965" s="32"/>
      <c r="O965" s="32"/>
      <c r="P965" s="32"/>
      <c r="Q965" s="32"/>
      <c r="R965" s="32"/>
      <c r="S965" s="32"/>
      <c r="T965" s="32"/>
      <c r="U965" s="32"/>
      <c r="V965" s="34"/>
      <c r="W965" s="30"/>
      <c r="X965" s="34"/>
    </row>
    <row r="966" spans="1:24" ht="12" customHeight="1" x14ac:dyDescent="0.25">
      <c r="F966" s="32"/>
      <c r="G966" s="32"/>
      <c r="H966" s="32"/>
      <c r="I966" s="32"/>
      <c r="J966" s="32"/>
      <c r="K966" s="32"/>
      <c r="L966" s="32"/>
      <c r="M966" s="32"/>
      <c r="N966" s="32"/>
      <c r="O966" s="32"/>
      <c r="P966" s="32"/>
      <c r="Q966" s="32"/>
      <c r="R966" s="32"/>
      <c r="S966" s="32"/>
      <c r="T966" s="32"/>
      <c r="U966" s="32"/>
      <c r="V966" s="34"/>
      <c r="W966" s="30"/>
      <c r="X966" s="34"/>
    </row>
    <row r="967" spans="1:24" ht="12" customHeight="1" x14ac:dyDescent="0.25">
      <c r="F967" s="32"/>
      <c r="G967" s="32"/>
      <c r="H967" s="32"/>
      <c r="I967" s="32"/>
      <c r="J967" s="32"/>
      <c r="K967" s="32"/>
      <c r="L967" s="32"/>
      <c r="M967" s="32"/>
      <c r="N967" s="32"/>
      <c r="O967" s="32"/>
      <c r="P967" s="32"/>
      <c r="Q967" s="32"/>
      <c r="R967" s="32"/>
      <c r="S967" s="32"/>
      <c r="T967" s="32"/>
      <c r="U967" s="32"/>
      <c r="V967" s="49"/>
      <c r="W967" s="30"/>
    </row>
    <row r="968" spans="1:24" ht="12" customHeight="1" x14ac:dyDescent="0.25">
      <c r="F968" s="50"/>
      <c r="G968" s="49"/>
      <c r="H968" s="49"/>
      <c r="I968" s="49"/>
      <c r="J968" s="49"/>
      <c r="K968" s="49"/>
      <c r="L968" s="49"/>
      <c r="M968" s="49"/>
      <c r="N968" s="49"/>
      <c r="O968" s="49"/>
      <c r="P968" s="49"/>
      <c r="Q968" s="49"/>
      <c r="R968" s="49"/>
      <c r="S968" s="49"/>
      <c r="T968" s="49"/>
      <c r="U968" s="49"/>
      <c r="V968" s="49"/>
      <c r="W968" s="30"/>
    </row>
    <row r="969" spans="1:24" ht="12" customHeight="1" x14ac:dyDescent="0.25">
      <c r="F969" s="32"/>
      <c r="G969" s="32"/>
      <c r="H969" s="32"/>
      <c r="I969" s="32"/>
      <c r="J969" s="32"/>
      <c r="K969" s="32"/>
      <c r="L969" s="32"/>
      <c r="M969" s="32"/>
      <c r="N969" s="32"/>
      <c r="O969" s="32"/>
      <c r="P969" s="32"/>
      <c r="Q969" s="32"/>
      <c r="R969" s="32"/>
      <c r="S969" s="32"/>
      <c r="T969" s="32"/>
      <c r="U969" s="32"/>
      <c r="V969" s="34"/>
      <c r="W969" s="30"/>
      <c r="X969" s="34"/>
    </row>
    <row r="970" spans="1:24" ht="12" customHeight="1" x14ac:dyDescent="0.25">
      <c r="F970" s="38"/>
      <c r="G970" s="38"/>
      <c r="H970" s="38"/>
      <c r="I970" s="38"/>
      <c r="J970" s="38"/>
      <c r="K970" s="38"/>
      <c r="L970" s="38"/>
      <c r="M970" s="38"/>
      <c r="N970" s="38"/>
      <c r="O970" s="38"/>
      <c r="P970" s="38"/>
      <c r="Q970" s="38"/>
      <c r="R970" s="38"/>
      <c r="S970" s="38"/>
      <c r="T970" s="38"/>
      <c r="U970" s="38"/>
      <c r="V970" s="33"/>
      <c r="W970" s="30"/>
    </row>
    <row r="971" spans="1:24" ht="12" customHeight="1" x14ac:dyDescent="0.25">
      <c r="F971" s="33"/>
      <c r="G971" s="33"/>
      <c r="H971" s="33"/>
      <c r="I971" s="33"/>
      <c r="J971" s="33"/>
      <c r="K971" s="33"/>
      <c r="L971" s="33"/>
      <c r="M971" s="33"/>
      <c r="N971" s="33"/>
      <c r="O971" s="33"/>
      <c r="P971" s="33"/>
      <c r="Q971" s="33"/>
      <c r="R971" s="33"/>
      <c r="S971" s="33"/>
      <c r="T971" s="33"/>
      <c r="U971" s="33"/>
      <c r="V971" s="33"/>
      <c r="W971" s="30"/>
      <c r="X971" s="87"/>
    </row>
  </sheetData>
  <autoFilter ref="D2:E664"/>
  <phoneticPr fontId="0" type="noConversion"/>
  <conditionalFormatting sqref="Y8 Y20 Y34 Y39 Y59 Y72 Y78 Y92 Y97 Y117 Y129 Y135 Y149 Y154 Y174 Y186 Y192 Y206 Y211 Y231 Y243 Y249 Y263 Y268 Y288 Y300 Y306 Y320 Y325 Y345 Y357 Y363 Y377 Y382 Y402 Y414 Y420 Y434 Y439 Y459 Y471 Y477 Y491 Y496 Y516 Y529 Y535 Y549 Y554 Y574 Y591 Y597 Y611 Y616 Y636 Y740:Y743 Y948:Y949 Y953:Y955 Y842:Y850 Y652:Y666">
    <cfRule type="cellIs" dxfId="259" priority="287" stopIfTrue="1" operator="notEqual">
      <formula>""</formula>
    </cfRule>
  </conditionalFormatting>
  <conditionalFormatting sqref="X962 X965:X966 X969 Y862 Y771 Y717 Y719:Y722 Y680:Y681 Y651 X971 Y853:Y858 Y744:Y745">
    <cfRule type="cellIs" dxfId="258" priority="286" stopIfTrue="1" operator="notEqual">
      <formula>""</formula>
    </cfRule>
  </conditionalFormatting>
  <conditionalFormatting sqref="Y803">
    <cfRule type="cellIs" dxfId="257" priority="58" stopIfTrue="1" operator="notEqual">
      <formula>""</formula>
    </cfRule>
  </conditionalFormatting>
  <conditionalFormatting sqref="Y14">
    <cfRule type="cellIs" dxfId="256" priority="284" stopIfTrue="1" operator="notEqual">
      <formula>""</formula>
    </cfRule>
  </conditionalFormatting>
  <conditionalFormatting sqref="Y830:Y839">
    <cfRule type="cellIs" dxfId="255" priority="282" stopIfTrue="1" operator="notEqual">
      <formula>""</formula>
    </cfRule>
  </conditionalFormatting>
  <conditionalFormatting sqref="Y805">
    <cfRule type="cellIs" dxfId="254" priority="57" stopIfTrue="1" operator="notEqual">
      <formula>""</formula>
    </cfRule>
  </conditionalFormatting>
  <conditionalFormatting sqref="Y815">
    <cfRule type="cellIs" dxfId="253" priority="280" stopIfTrue="1" operator="notEqual">
      <formula>""</formula>
    </cfRule>
  </conditionalFormatting>
  <conditionalFormatting sqref="Y818">
    <cfRule type="cellIs" dxfId="252" priority="279" stopIfTrue="1" operator="notEqual">
      <formula>""</formula>
    </cfRule>
  </conditionalFormatting>
  <conditionalFormatting sqref="Y869">
    <cfRule type="cellIs" dxfId="251" priority="49" stopIfTrue="1" operator="notEqual">
      <formula>""</formula>
    </cfRule>
  </conditionalFormatting>
  <conditionalFormatting sqref="Y819:Y820">
    <cfRule type="cellIs" dxfId="250" priority="277" stopIfTrue="1" operator="notEqual">
      <formula>""</formula>
    </cfRule>
  </conditionalFormatting>
  <conditionalFormatting sqref="Y821">
    <cfRule type="cellIs" dxfId="249" priority="276" stopIfTrue="1" operator="notEqual">
      <formula>""</formula>
    </cfRule>
  </conditionalFormatting>
  <conditionalFormatting sqref="Y822">
    <cfRule type="cellIs" dxfId="248" priority="274" stopIfTrue="1" operator="notEqual">
      <formula>""</formula>
    </cfRule>
  </conditionalFormatting>
  <conditionalFormatting sqref="Y823">
    <cfRule type="cellIs" dxfId="247" priority="273" stopIfTrue="1" operator="notEqual">
      <formula>""</formula>
    </cfRule>
  </conditionalFormatting>
  <conditionalFormatting sqref="Y825">
    <cfRule type="cellIs" dxfId="246" priority="272" stopIfTrue="1" operator="notEqual">
      <formula>""</formula>
    </cfRule>
  </conditionalFormatting>
  <conditionalFormatting sqref="Y826">
    <cfRule type="cellIs" dxfId="245" priority="271" stopIfTrue="1" operator="notEqual">
      <formula>""</formula>
    </cfRule>
  </conditionalFormatting>
  <conditionalFormatting sqref="Y827">
    <cfRule type="cellIs" dxfId="244" priority="270" stopIfTrue="1" operator="notEqual">
      <formula>""</formula>
    </cfRule>
  </conditionalFormatting>
  <conditionalFormatting sqref="Y861">
    <cfRule type="cellIs" dxfId="243" priority="269" stopIfTrue="1" operator="notEqual">
      <formula>""</formula>
    </cfRule>
  </conditionalFormatting>
  <conditionalFormatting sqref="Y862:Y865">
    <cfRule type="cellIs" dxfId="242" priority="268" stopIfTrue="1" operator="notEqual">
      <formula>""</formula>
    </cfRule>
  </conditionalFormatting>
  <conditionalFormatting sqref="Y9:Y13">
    <cfRule type="cellIs" dxfId="241" priority="267" stopIfTrue="1" operator="notEqual">
      <formula>""</formula>
    </cfRule>
  </conditionalFormatting>
  <conditionalFormatting sqref="Y17:Y19">
    <cfRule type="cellIs" dxfId="240" priority="266" stopIfTrue="1" operator="notEqual">
      <formula>""</formula>
    </cfRule>
  </conditionalFormatting>
  <conditionalFormatting sqref="Y23">
    <cfRule type="cellIs" dxfId="239" priority="265" stopIfTrue="1" operator="notEqual">
      <formula>""</formula>
    </cfRule>
  </conditionalFormatting>
  <conditionalFormatting sqref="Y26">
    <cfRule type="cellIs" dxfId="238" priority="264" stopIfTrue="1" operator="notEqual">
      <formula>""</formula>
    </cfRule>
  </conditionalFormatting>
  <conditionalFormatting sqref="Y29:Y33">
    <cfRule type="cellIs" dxfId="237" priority="263" stopIfTrue="1" operator="notEqual">
      <formula>""</formula>
    </cfRule>
  </conditionalFormatting>
  <conditionalFormatting sqref="Y37:Y38">
    <cfRule type="cellIs" dxfId="236" priority="262" stopIfTrue="1" operator="notEqual">
      <formula>""</formula>
    </cfRule>
  </conditionalFormatting>
  <conditionalFormatting sqref="Y42">
    <cfRule type="cellIs" dxfId="235" priority="261" stopIfTrue="1" operator="notEqual">
      <formula>""</formula>
    </cfRule>
  </conditionalFormatting>
  <conditionalFormatting sqref="Y45">
    <cfRule type="cellIs" dxfId="234" priority="260" stopIfTrue="1" operator="notEqual">
      <formula>""</formula>
    </cfRule>
  </conditionalFormatting>
  <conditionalFormatting sqref="Y48">
    <cfRule type="cellIs" dxfId="233" priority="259" stopIfTrue="1" operator="notEqual">
      <formula>""</formula>
    </cfRule>
  </conditionalFormatting>
  <conditionalFormatting sqref="Y51">
    <cfRule type="cellIs" dxfId="232" priority="258" stopIfTrue="1" operator="notEqual">
      <formula>""</formula>
    </cfRule>
  </conditionalFormatting>
  <conditionalFormatting sqref="Y54">
    <cfRule type="cellIs" dxfId="231" priority="257" stopIfTrue="1" operator="notEqual">
      <formula>""</formula>
    </cfRule>
  </conditionalFormatting>
  <conditionalFormatting sqref="Y57">
    <cfRule type="cellIs" dxfId="230" priority="256" stopIfTrue="1" operator="notEqual">
      <formula>""</formula>
    </cfRule>
  </conditionalFormatting>
  <conditionalFormatting sqref="Y66:Y71">
    <cfRule type="cellIs" dxfId="229" priority="255" stopIfTrue="1" operator="notEqual">
      <formula>""</formula>
    </cfRule>
  </conditionalFormatting>
  <conditionalFormatting sqref="Y75">
    <cfRule type="cellIs" dxfId="228" priority="254" stopIfTrue="1" operator="notEqual">
      <formula>""</formula>
    </cfRule>
  </conditionalFormatting>
  <conditionalFormatting sqref="Y81">
    <cfRule type="cellIs" dxfId="227" priority="253" stopIfTrue="1" operator="notEqual">
      <formula>""</formula>
    </cfRule>
  </conditionalFormatting>
  <conditionalFormatting sqref="Y84">
    <cfRule type="cellIs" dxfId="226" priority="252" stopIfTrue="1" operator="notEqual">
      <formula>""</formula>
    </cfRule>
  </conditionalFormatting>
  <conditionalFormatting sqref="Y87:Y91">
    <cfRule type="cellIs" dxfId="225" priority="251" stopIfTrue="1" operator="notEqual">
      <formula>""</formula>
    </cfRule>
  </conditionalFormatting>
  <conditionalFormatting sqref="Y95">
    <cfRule type="cellIs" dxfId="224" priority="249" stopIfTrue="1" operator="notEqual">
      <formula>""</formula>
    </cfRule>
  </conditionalFormatting>
  <conditionalFormatting sqref="Y96">
    <cfRule type="cellIs" dxfId="223" priority="248" stopIfTrue="1" operator="notEqual">
      <formula>""</formula>
    </cfRule>
  </conditionalFormatting>
  <conditionalFormatting sqref="Y100">
    <cfRule type="cellIs" dxfId="222" priority="246" stopIfTrue="1" operator="notEqual">
      <formula>""</formula>
    </cfRule>
  </conditionalFormatting>
  <conditionalFormatting sqref="Y103">
    <cfRule type="cellIs" dxfId="221" priority="245" stopIfTrue="1" operator="notEqual">
      <formula>""</formula>
    </cfRule>
  </conditionalFormatting>
  <conditionalFormatting sqref="Y106">
    <cfRule type="cellIs" dxfId="220" priority="244" stopIfTrue="1" operator="notEqual">
      <formula>""</formula>
    </cfRule>
  </conditionalFormatting>
  <conditionalFormatting sqref="Y109">
    <cfRule type="cellIs" dxfId="219" priority="243" stopIfTrue="1" operator="notEqual">
      <formula>""</formula>
    </cfRule>
  </conditionalFormatting>
  <conditionalFormatting sqref="Y112">
    <cfRule type="cellIs" dxfId="218" priority="242" stopIfTrue="1" operator="notEqual">
      <formula>""</formula>
    </cfRule>
  </conditionalFormatting>
  <conditionalFormatting sqref="Y115">
    <cfRule type="cellIs" dxfId="217" priority="241" stopIfTrue="1" operator="notEqual">
      <formula>""</formula>
    </cfRule>
  </conditionalFormatting>
  <conditionalFormatting sqref="Y76">
    <cfRule type="cellIs" dxfId="216" priority="240" stopIfTrue="1" operator="notEqual">
      <formula>""</formula>
    </cfRule>
  </conditionalFormatting>
  <conditionalFormatting sqref="Y77">
    <cfRule type="cellIs" dxfId="215" priority="239" stopIfTrue="1" operator="notEqual">
      <formula>""</formula>
    </cfRule>
  </conditionalFormatting>
  <conditionalFormatting sqref="Y123:Y128">
    <cfRule type="cellIs" dxfId="214" priority="238" stopIfTrue="1" operator="notEqual">
      <formula>""</formula>
    </cfRule>
  </conditionalFormatting>
  <conditionalFormatting sqref="Y781:Y782">
    <cfRule type="cellIs" dxfId="213" priority="69" stopIfTrue="1" operator="notEqual">
      <formula>""</formula>
    </cfRule>
  </conditionalFormatting>
  <conditionalFormatting sqref="Y138">
    <cfRule type="cellIs" dxfId="212" priority="236" stopIfTrue="1" operator="notEqual">
      <formula>""</formula>
    </cfRule>
  </conditionalFormatting>
  <conditionalFormatting sqref="Y141">
    <cfRule type="cellIs" dxfId="211" priority="235" stopIfTrue="1" operator="notEqual">
      <formula>""</formula>
    </cfRule>
  </conditionalFormatting>
  <conditionalFormatting sqref="Y144">
    <cfRule type="cellIs" dxfId="210" priority="234" stopIfTrue="1" operator="notEqual">
      <formula>""</formula>
    </cfRule>
  </conditionalFormatting>
  <conditionalFormatting sqref="Y145">
    <cfRule type="cellIs" dxfId="209" priority="233" stopIfTrue="1" operator="notEqual">
      <formula>""</formula>
    </cfRule>
  </conditionalFormatting>
  <conditionalFormatting sqref="Y146:Y148">
    <cfRule type="cellIs" dxfId="208" priority="232" stopIfTrue="1" operator="notEqual">
      <formula>""</formula>
    </cfRule>
  </conditionalFormatting>
  <conditionalFormatting sqref="Y152:Y153">
    <cfRule type="cellIs" dxfId="207" priority="231" stopIfTrue="1" operator="notEqual">
      <formula>""</formula>
    </cfRule>
  </conditionalFormatting>
  <conditionalFormatting sqref="Y157">
    <cfRule type="cellIs" dxfId="206" priority="230" stopIfTrue="1" operator="notEqual">
      <formula>""</formula>
    </cfRule>
  </conditionalFormatting>
  <conditionalFormatting sqref="Y160">
    <cfRule type="cellIs" dxfId="205" priority="229" stopIfTrue="1" operator="notEqual">
      <formula>""</formula>
    </cfRule>
  </conditionalFormatting>
  <conditionalFormatting sqref="Y163">
    <cfRule type="cellIs" dxfId="204" priority="228" stopIfTrue="1" operator="notEqual">
      <formula>""</formula>
    </cfRule>
  </conditionalFormatting>
  <conditionalFormatting sqref="Y166">
    <cfRule type="cellIs" dxfId="203" priority="227" stopIfTrue="1" operator="notEqual">
      <formula>""</formula>
    </cfRule>
  </conditionalFormatting>
  <conditionalFormatting sqref="Y169">
    <cfRule type="cellIs" dxfId="202" priority="226" stopIfTrue="1" operator="notEqual">
      <formula>""</formula>
    </cfRule>
  </conditionalFormatting>
  <conditionalFormatting sqref="Y172">
    <cfRule type="cellIs" dxfId="201" priority="225" stopIfTrue="1" operator="notEqual">
      <formula>""</formula>
    </cfRule>
  </conditionalFormatting>
  <conditionalFormatting sqref="Y132">
    <cfRule type="cellIs" dxfId="200" priority="224" stopIfTrue="1" operator="notEqual">
      <formula>""</formula>
    </cfRule>
  </conditionalFormatting>
  <conditionalFormatting sqref="Y133">
    <cfRule type="cellIs" dxfId="199" priority="223" stopIfTrue="1" operator="notEqual">
      <formula>""</formula>
    </cfRule>
  </conditionalFormatting>
  <conditionalFormatting sqref="Y134">
    <cfRule type="cellIs" dxfId="198" priority="222" stopIfTrue="1" operator="notEqual">
      <formula>""</formula>
    </cfRule>
  </conditionalFormatting>
  <conditionalFormatting sqref="Y189">
    <cfRule type="cellIs" dxfId="197" priority="221" stopIfTrue="1" operator="notEqual">
      <formula>""</formula>
    </cfRule>
  </conditionalFormatting>
  <conditionalFormatting sqref="Y190">
    <cfRule type="cellIs" dxfId="196" priority="220" stopIfTrue="1" operator="notEqual">
      <formula>""</formula>
    </cfRule>
  </conditionalFormatting>
  <conditionalFormatting sqref="Y191">
    <cfRule type="cellIs" dxfId="195" priority="219" stopIfTrue="1" operator="notEqual">
      <formula>""</formula>
    </cfRule>
  </conditionalFormatting>
  <conditionalFormatting sqref="Y246">
    <cfRule type="cellIs" dxfId="194" priority="218" stopIfTrue="1" operator="notEqual">
      <formula>""</formula>
    </cfRule>
  </conditionalFormatting>
  <conditionalFormatting sqref="Y247">
    <cfRule type="cellIs" dxfId="193" priority="217" stopIfTrue="1" operator="notEqual">
      <formula>""</formula>
    </cfRule>
  </conditionalFormatting>
  <conditionalFormatting sqref="Y248">
    <cfRule type="cellIs" dxfId="192" priority="216" stopIfTrue="1" operator="notEqual">
      <formula>""</formula>
    </cfRule>
  </conditionalFormatting>
  <conditionalFormatting sqref="Y303">
    <cfRule type="cellIs" dxfId="191" priority="215" stopIfTrue="1" operator="notEqual">
      <formula>""</formula>
    </cfRule>
  </conditionalFormatting>
  <conditionalFormatting sqref="Y304">
    <cfRule type="cellIs" dxfId="190" priority="214" stopIfTrue="1" operator="notEqual">
      <formula>""</formula>
    </cfRule>
  </conditionalFormatting>
  <conditionalFormatting sqref="Y305">
    <cfRule type="cellIs" dxfId="189" priority="213" stopIfTrue="1" operator="notEqual">
      <formula>""</formula>
    </cfRule>
  </conditionalFormatting>
  <conditionalFormatting sqref="Y360">
    <cfRule type="cellIs" dxfId="188" priority="212" stopIfTrue="1" operator="notEqual">
      <formula>""</formula>
    </cfRule>
  </conditionalFormatting>
  <conditionalFormatting sqref="Y361">
    <cfRule type="cellIs" dxfId="187" priority="211" stopIfTrue="1" operator="notEqual">
      <formula>""</formula>
    </cfRule>
  </conditionalFormatting>
  <conditionalFormatting sqref="Y362">
    <cfRule type="cellIs" dxfId="186" priority="210" stopIfTrue="1" operator="notEqual">
      <formula>""</formula>
    </cfRule>
  </conditionalFormatting>
  <conditionalFormatting sqref="Y417">
    <cfRule type="cellIs" dxfId="185" priority="209" stopIfTrue="1" operator="notEqual">
      <formula>""</formula>
    </cfRule>
  </conditionalFormatting>
  <conditionalFormatting sqref="Y418">
    <cfRule type="cellIs" dxfId="184" priority="208" stopIfTrue="1" operator="notEqual">
      <formula>""</formula>
    </cfRule>
  </conditionalFormatting>
  <conditionalFormatting sqref="Y419">
    <cfRule type="cellIs" dxfId="183" priority="207" stopIfTrue="1" operator="notEqual">
      <formula>""</formula>
    </cfRule>
  </conditionalFormatting>
  <conditionalFormatting sqref="Y474">
    <cfRule type="cellIs" dxfId="182" priority="206" stopIfTrue="1" operator="notEqual">
      <formula>""</formula>
    </cfRule>
  </conditionalFormatting>
  <conditionalFormatting sqref="Y475">
    <cfRule type="cellIs" dxfId="181" priority="205" stopIfTrue="1" operator="notEqual">
      <formula>""</formula>
    </cfRule>
  </conditionalFormatting>
  <conditionalFormatting sqref="Y476">
    <cfRule type="cellIs" dxfId="180" priority="204" stopIfTrue="1" operator="notEqual">
      <formula>""</formula>
    </cfRule>
  </conditionalFormatting>
  <conditionalFormatting sqref="Y499">
    <cfRule type="cellIs" dxfId="179" priority="133" stopIfTrue="1" operator="notEqual">
      <formula>""</formula>
    </cfRule>
  </conditionalFormatting>
  <conditionalFormatting sqref="Y533">
    <cfRule type="cellIs" dxfId="178" priority="202" stopIfTrue="1" operator="notEqual">
      <formula>""</formula>
    </cfRule>
  </conditionalFormatting>
  <conditionalFormatting sqref="Y534">
    <cfRule type="cellIs" dxfId="177" priority="201" stopIfTrue="1" operator="notEqual">
      <formula>""</formula>
    </cfRule>
  </conditionalFormatting>
  <conditionalFormatting sqref="Y594">
    <cfRule type="cellIs" dxfId="176" priority="200" stopIfTrue="1" operator="notEqual">
      <formula>""</formula>
    </cfRule>
  </conditionalFormatting>
  <conditionalFormatting sqref="Y595">
    <cfRule type="cellIs" dxfId="175" priority="199" stopIfTrue="1" operator="notEqual">
      <formula>""</formula>
    </cfRule>
  </conditionalFormatting>
  <conditionalFormatting sqref="Y596">
    <cfRule type="cellIs" dxfId="174" priority="198" stopIfTrue="1" operator="notEqual">
      <formula>""</formula>
    </cfRule>
  </conditionalFormatting>
  <conditionalFormatting sqref="Y180:Y185">
    <cfRule type="cellIs" dxfId="173" priority="197" stopIfTrue="1" operator="notEqual">
      <formula>""</formula>
    </cfRule>
  </conditionalFormatting>
  <conditionalFormatting sqref="Y195">
    <cfRule type="cellIs" dxfId="172" priority="196" stopIfTrue="1" operator="notEqual">
      <formula>""</formula>
    </cfRule>
  </conditionalFormatting>
  <conditionalFormatting sqref="Y198">
    <cfRule type="cellIs" dxfId="171" priority="195" stopIfTrue="1" operator="notEqual">
      <formula>""</formula>
    </cfRule>
  </conditionalFormatting>
  <conditionalFormatting sqref="Y201">
    <cfRule type="cellIs" dxfId="170" priority="194" stopIfTrue="1" operator="notEqual">
      <formula>""</formula>
    </cfRule>
  </conditionalFormatting>
  <conditionalFormatting sqref="Y202:Y205">
    <cfRule type="cellIs" dxfId="169" priority="193" stopIfTrue="1" operator="notEqual">
      <formula>""</formula>
    </cfRule>
  </conditionalFormatting>
  <conditionalFormatting sqref="Y209:Y210">
    <cfRule type="cellIs" dxfId="168" priority="192" stopIfTrue="1" operator="notEqual">
      <formula>""</formula>
    </cfRule>
  </conditionalFormatting>
  <conditionalFormatting sqref="Y214">
    <cfRule type="cellIs" dxfId="167" priority="191" stopIfTrue="1" operator="notEqual">
      <formula>""</formula>
    </cfRule>
  </conditionalFormatting>
  <conditionalFormatting sqref="Y217">
    <cfRule type="cellIs" dxfId="166" priority="190" stopIfTrue="1" operator="notEqual">
      <formula>""</formula>
    </cfRule>
  </conditionalFormatting>
  <conditionalFormatting sqref="Y220">
    <cfRule type="cellIs" dxfId="165" priority="189" stopIfTrue="1" operator="notEqual">
      <formula>""</formula>
    </cfRule>
  </conditionalFormatting>
  <conditionalFormatting sqref="Y223">
    <cfRule type="cellIs" dxfId="164" priority="188" stopIfTrue="1" operator="notEqual">
      <formula>""</formula>
    </cfRule>
  </conditionalFormatting>
  <conditionalFormatting sqref="Y226">
    <cfRule type="cellIs" dxfId="163" priority="187" stopIfTrue="1" operator="notEqual">
      <formula>""</formula>
    </cfRule>
  </conditionalFormatting>
  <conditionalFormatting sqref="Y229">
    <cfRule type="cellIs" dxfId="162" priority="186" stopIfTrue="1" operator="notEqual">
      <formula>""</formula>
    </cfRule>
  </conditionalFormatting>
  <conditionalFormatting sqref="Y237:Y242">
    <cfRule type="cellIs" dxfId="161" priority="185" stopIfTrue="1" operator="notEqual">
      <formula>""</formula>
    </cfRule>
  </conditionalFormatting>
  <conditionalFormatting sqref="Y252">
    <cfRule type="cellIs" dxfId="160" priority="184" stopIfTrue="1" operator="notEqual">
      <formula>""</formula>
    </cfRule>
  </conditionalFormatting>
  <conditionalFormatting sqref="Y255">
    <cfRule type="cellIs" dxfId="159" priority="183" stopIfTrue="1" operator="notEqual">
      <formula>""</formula>
    </cfRule>
  </conditionalFormatting>
  <conditionalFormatting sqref="Y258:Y262">
    <cfRule type="cellIs" dxfId="158" priority="182" stopIfTrue="1" operator="notEqual">
      <formula>""</formula>
    </cfRule>
  </conditionalFormatting>
  <conditionalFormatting sqref="Y266:Y267">
    <cfRule type="cellIs" dxfId="157" priority="181" stopIfTrue="1" operator="notEqual">
      <formula>""</formula>
    </cfRule>
  </conditionalFormatting>
  <conditionalFormatting sqref="Y271">
    <cfRule type="cellIs" dxfId="156" priority="180" stopIfTrue="1" operator="notEqual">
      <formula>""</formula>
    </cfRule>
  </conditionalFormatting>
  <conditionalFormatting sqref="Y274">
    <cfRule type="cellIs" dxfId="155" priority="178" stopIfTrue="1" operator="notEqual">
      <formula>""</formula>
    </cfRule>
  </conditionalFormatting>
  <conditionalFormatting sqref="Y277">
    <cfRule type="cellIs" dxfId="154" priority="177" stopIfTrue="1" operator="notEqual">
      <formula>""</formula>
    </cfRule>
  </conditionalFormatting>
  <conditionalFormatting sqref="Y280">
    <cfRule type="cellIs" dxfId="153" priority="176" stopIfTrue="1" operator="notEqual">
      <formula>""</formula>
    </cfRule>
  </conditionalFormatting>
  <conditionalFormatting sqref="Y283">
    <cfRule type="cellIs" dxfId="152" priority="175" stopIfTrue="1" operator="notEqual">
      <formula>""</formula>
    </cfRule>
  </conditionalFormatting>
  <conditionalFormatting sqref="Y286">
    <cfRule type="cellIs" dxfId="151" priority="174" stopIfTrue="1" operator="notEqual">
      <formula>""</formula>
    </cfRule>
  </conditionalFormatting>
  <conditionalFormatting sqref="Y295:Y299">
    <cfRule type="cellIs" dxfId="150" priority="173" stopIfTrue="1" operator="notEqual">
      <formula>""</formula>
    </cfRule>
  </conditionalFormatting>
  <conditionalFormatting sqref="Y309">
    <cfRule type="cellIs" dxfId="149" priority="172" stopIfTrue="1" operator="notEqual">
      <formula>""</formula>
    </cfRule>
  </conditionalFormatting>
  <conditionalFormatting sqref="Y312">
    <cfRule type="cellIs" dxfId="148" priority="171" stopIfTrue="1" operator="notEqual">
      <formula>""</formula>
    </cfRule>
  </conditionalFormatting>
  <conditionalFormatting sqref="Y315:Y319">
    <cfRule type="cellIs" dxfId="147" priority="170" stopIfTrue="1" operator="notEqual">
      <formula>""</formula>
    </cfRule>
  </conditionalFormatting>
  <conditionalFormatting sqref="Y323:Y324">
    <cfRule type="cellIs" dxfId="146" priority="169" stopIfTrue="1" operator="notEqual">
      <formula>""</formula>
    </cfRule>
  </conditionalFormatting>
  <conditionalFormatting sqref="Y328">
    <cfRule type="cellIs" dxfId="145" priority="168" stopIfTrue="1" operator="notEqual">
      <formula>""</formula>
    </cfRule>
  </conditionalFormatting>
  <conditionalFormatting sqref="Y331">
    <cfRule type="cellIs" dxfId="144" priority="166" stopIfTrue="1" operator="notEqual">
      <formula>""</formula>
    </cfRule>
  </conditionalFormatting>
  <conditionalFormatting sqref="Y334">
    <cfRule type="cellIs" dxfId="143" priority="165" stopIfTrue="1" operator="notEqual">
      <formula>""</formula>
    </cfRule>
  </conditionalFormatting>
  <conditionalFormatting sqref="Y337">
    <cfRule type="cellIs" dxfId="142" priority="164" stopIfTrue="1" operator="notEqual">
      <formula>""</formula>
    </cfRule>
  </conditionalFormatting>
  <conditionalFormatting sqref="Y340">
    <cfRule type="cellIs" dxfId="141" priority="163" stopIfTrue="1" operator="notEqual">
      <formula>""</formula>
    </cfRule>
  </conditionalFormatting>
  <conditionalFormatting sqref="Y343">
    <cfRule type="cellIs" dxfId="140" priority="162" stopIfTrue="1" operator="notEqual">
      <formula>""</formula>
    </cfRule>
  </conditionalFormatting>
  <conditionalFormatting sqref="Y351:Y356">
    <cfRule type="cellIs" dxfId="139" priority="161" stopIfTrue="1" operator="notEqual">
      <formula>""</formula>
    </cfRule>
  </conditionalFormatting>
  <conditionalFormatting sqref="Y366">
    <cfRule type="cellIs" dxfId="138" priority="160" stopIfTrue="1" operator="notEqual">
      <formula>""</formula>
    </cfRule>
  </conditionalFormatting>
  <conditionalFormatting sqref="Y369">
    <cfRule type="cellIs" dxfId="137" priority="159" stopIfTrue="1" operator="notEqual">
      <formula>""</formula>
    </cfRule>
  </conditionalFormatting>
  <conditionalFormatting sqref="Y372:Y376">
    <cfRule type="cellIs" dxfId="136" priority="158" stopIfTrue="1" operator="notEqual">
      <formula>""</formula>
    </cfRule>
  </conditionalFormatting>
  <conditionalFormatting sqref="Y380:Y381">
    <cfRule type="cellIs" dxfId="135" priority="157" stopIfTrue="1" operator="notEqual">
      <formula>""</formula>
    </cfRule>
  </conditionalFormatting>
  <conditionalFormatting sqref="Y385">
    <cfRule type="cellIs" dxfId="134" priority="156" stopIfTrue="1" operator="notEqual">
      <formula>""</formula>
    </cfRule>
  </conditionalFormatting>
  <conditionalFormatting sqref="Y388">
    <cfRule type="cellIs" dxfId="133" priority="155" stopIfTrue="1" operator="notEqual">
      <formula>""</formula>
    </cfRule>
  </conditionalFormatting>
  <conditionalFormatting sqref="Y391">
    <cfRule type="cellIs" dxfId="132" priority="154" stopIfTrue="1" operator="notEqual">
      <formula>""</formula>
    </cfRule>
  </conditionalFormatting>
  <conditionalFormatting sqref="Y394">
    <cfRule type="cellIs" dxfId="131" priority="153" stopIfTrue="1" operator="notEqual">
      <formula>""</formula>
    </cfRule>
  </conditionalFormatting>
  <conditionalFormatting sqref="Y397">
    <cfRule type="cellIs" dxfId="130" priority="152" stopIfTrue="1" operator="notEqual">
      <formula>""</formula>
    </cfRule>
  </conditionalFormatting>
  <conditionalFormatting sqref="Y400">
    <cfRule type="cellIs" dxfId="129" priority="151" stopIfTrue="1" operator="notEqual">
      <formula>""</formula>
    </cfRule>
  </conditionalFormatting>
  <conditionalFormatting sqref="Y408:Y413">
    <cfRule type="cellIs" dxfId="128" priority="150" stopIfTrue="1" operator="notEqual">
      <formula>""</formula>
    </cfRule>
  </conditionalFormatting>
  <conditionalFormatting sqref="Y423">
    <cfRule type="cellIs" dxfId="127" priority="148" stopIfTrue="1" operator="notEqual">
      <formula>""</formula>
    </cfRule>
  </conditionalFormatting>
  <conditionalFormatting sqref="Y426">
    <cfRule type="cellIs" dxfId="126" priority="147" stopIfTrue="1" operator="notEqual">
      <formula>""</formula>
    </cfRule>
  </conditionalFormatting>
  <conditionalFormatting sqref="Y429:Y433">
    <cfRule type="cellIs" dxfId="125" priority="146" stopIfTrue="1" operator="notEqual">
      <formula>""</formula>
    </cfRule>
  </conditionalFormatting>
  <conditionalFormatting sqref="Y437:Y438">
    <cfRule type="cellIs" dxfId="124" priority="145" stopIfTrue="1" operator="notEqual">
      <formula>""</formula>
    </cfRule>
  </conditionalFormatting>
  <conditionalFormatting sqref="Y442">
    <cfRule type="cellIs" dxfId="123" priority="144" stopIfTrue="1" operator="notEqual">
      <formula>""</formula>
    </cfRule>
  </conditionalFormatting>
  <conditionalFormatting sqref="Y445">
    <cfRule type="cellIs" dxfId="122" priority="143" stopIfTrue="1" operator="notEqual">
      <formula>""</formula>
    </cfRule>
  </conditionalFormatting>
  <conditionalFormatting sqref="Y448">
    <cfRule type="cellIs" dxfId="121" priority="142" stopIfTrue="1" operator="notEqual">
      <formula>""</formula>
    </cfRule>
  </conditionalFormatting>
  <conditionalFormatting sqref="Y451">
    <cfRule type="cellIs" dxfId="120" priority="141" stopIfTrue="1" operator="notEqual">
      <formula>""</formula>
    </cfRule>
  </conditionalFormatting>
  <conditionalFormatting sqref="Y454">
    <cfRule type="cellIs" dxfId="119" priority="140" stopIfTrue="1" operator="notEqual">
      <formula>""</formula>
    </cfRule>
  </conditionalFormatting>
  <conditionalFormatting sqref="Y457">
    <cfRule type="cellIs" dxfId="118" priority="139" stopIfTrue="1" operator="notEqual">
      <formula>""</formula>
    </cfRule>
  </conditionalFormatting>
  <conditionalFormatting sqref="Y465:Y470">
    <cfRule type="cellIs" dxfId="117" priority="138" stopIfTrue="1" operator="notEqual">
      <formula>""</formula>
    </cfRule>
  </conditionalFormatting>
  <conditionalFormatting sqref="Y480">
    <cfRule type="cellIs" dxfId="116" priority="137" stopIfTrue="1" operator="notEqual">
      <formula>""</formula>
    </cfRule>
  </conditionalFormatting>
  <conditionalFormatting sqref="Y483">
    <cfRule type="cellIs" dxfId="115" priority="136" stopIfTrue="1" operator="notEqual">
      <formula>""</formula>
    </cfRule>
  </conditionalFormatting>
  <conditionalFormatting sqref="Y486:Y490">
    <cfRule type="cellIs" dxfId="114" priority="135" stopIfTrue="1" operator="notEqual">
      <formula>""</formula>
    </cfRule>
  </conditionalFormatting>
  <conditionalFormatting sqref="Y494:Y495">
    <cfRule type="cellIs" dxfId="113" priority="134" stopIfTrue="1" operator="notEqual">
      <formula>""</formula>
    </cfRule>
  </conditionalFormatting>
  <conditionalFormatting sqref="Y511">
    <cfRule type="cellIs" dxfId="112" priority="129" stopIfTrue="1" operator="notEqual">
      <formula>""</formula>
    </cfRule>
  </conditionalFormatting>
  <conditionalFormatting sqref="Y502">
    <cfRule type="cellIs" dxfId="111" priority="132" stopIfTrue="1" operator="notEqual">
      <formula>""</formula>
    </cfRule>
  </conditionalFormatting>
  <conditionalFormatting sqref="Y505">
    <cfRule type="cellIs" dxfId="110" priority="131" stopIfTrue="1" operator="notEqual">
      <formula>""</formula>
    </cfRule>
  </conditionalFormatting>
  <conditionalFormatting sqref="Y508">
    <cfRule type="cellIs" dxfId="109" priority="130" stopIfTrue="1" operator="notEqual">
      <formula>""</formula>
    </cfRule>
  </conditionalFormatting>
  <conditionalFormatting sqref="Y514">
    <cfRule type="cellIs" dxfId="108" priority="128" stopIfTrue="1" operator="notEqual">
      <formula>""</formula>
    </cfRule>
  </conditionalFormatting>
  <conditionalFormatting sqref="Y523:Y528">
    <cfRule type="cellIs" dxfId="107" priority="127" stopIfTrue="1" operator="notEqual">
      <formula>""</formula>
    </cfRule>
  </conditionalFormatting>
  <conditionalFormatting sqref="Y532">
    <cfRule type="cellIs" dxfId="106" priority="126" stopIfTrue="1" operator="notEqual">
      <formula>""</formula>
    </cfRule>
  </conditionalFormatting>
  <conditionalFormatting sqref="Y538">
    <cfRule type="cellIs" dxfId="105" priority="125" stopIfTrue="1" operator="notEqual">
      <formula>""</formula>
    </cfRule>
  </conditionalFormatting>
  <conditionalFormatting sqref="Y541">
    <cfRule type="cellIs" dxfId="104" priority="124" stopIfTrue="1" operator="notEqual">
      <formula>""</formula>
    </cfRule>
  </conditionalFormatting>
  <conditionalFormatting sqref="Y544:Y548">
    <cfRule type="cellIs" dxfId="103" priority="123" stopIfTrue="1" operator="notEqual">
      <formula>""</formula>
    </cfRule>
  </conditionalFormatting>
  <conditionalFormatting sqref="Y552:Y553">
    <cfRule type="cellIs" dxfId="102" priority="122" stopIfTrue="1" operator="notEqual">
      <formula>""</formula>
    </cfRule>
  </conditionalFormatting>
  <conditionalFormatting sqref="Y557">
    <cfRule type="cellIs" dxfId="101" priority="121" stopIfTrue="1" operator="notEqual">
      <formula>""</formula>
    </cfRule>
  </conditionalFormatting>
  <conditionalFormatting sqref="Y560">
    <cfRule type="cellIs" dxfId="100" priority="120" stopIfTrue="1" operator="notEqual">
      <formula>""</formula>
    </cfRule>
  </conditionalFormatting>
  <conditionalFormatting sqref="Y563">
    <cfRule type="cellIs" dxfId="99" priority="119" stopIfTrue="1" operator="notEqual">
      <formula>""</formula>
    </cfRule>
  </conditionalFormatting>
  <conditionalFormatting sqref="Y566">
    <cfRule type="cellIs" dxfId="98" priority="118" stopIfTrue="1" operator="notEqual">
      <formula>""</formula>
    </cfRule>
  </conditionalFormatting>
  <conditionalFormatting sqref="Y569">
    <cfRule type="cellIs" dxfId="97" priority="117" stopIfTrue="1" operator="notEqual">
      <formula>""</formula>
    </cfRule>
  </conditionalFormatting>
  <conditionalFormatting sqref="Y572">
    <cfRule type="cellIs" dxfId="96" priority="116" stopIfTrue="1" operator="notEqual">
      <formula>""</formula>
    </cfRule>
  </conditionalFormatting>
  <conditionalFormatting sqref="Y585">
    <cfRule type="cellIs" dxfId="95" priority="115" stopIfTrue="1" operator="notEqual">
      <formula>""</formula>
    </cfRule>
  </conditionalFormatting>
  <conditionalFormatting sqref="Y586:Y590">
    <cfRule type="cellIs" dxfId="94" priority="114" stopIfTrue="1" operator="notEqual">
      <formula>""</formula>
    </cfRule>
  </conditionalFormatting>
  <conditionalFormatting sqref="Y600">
    <cfRule type="cellIs" dxfId="93" priority="113" stopIfTrue="1" operator="notEqual">
      <formula>""</formula>
    </cfRule>
  </conditionalFormatting>
  <conditionalFormatting sqref="Y603">
    <cfRule type="cellIs" dxfId="92" priority="112" stopIfTrue="1" operator="notEqual">
      <formula>""</formula>
    </cfRule>
  </conditionalFormatting>
  <conditionalFormatting sqref="Y605:Y610">
    <cfRule type="cellIs" dxfId="91" priority="111" stopIfTrue="1" operator="notEqual">
      <formula>""</formula>
    </cfRule>
  </conditionalFormatting>
  <conditionalFormatting sqref="Y614:Y615">
    <cfRule type="cellIs" dxfId="90" priority="110" stopIfTrue="1" operator="notEqual">
      <formula>""</formula>
    </cfRule>
  </conditionalFormatting>
  <conditionalFormatting sqref="Y619">
    <cfRule type="cellIs" dxfId="89" priority="109" stopIfTrue="1" operator="notEqual">
      <formula>""</formula>
    </cfRule>
  </conditionalFormatting>
  <conditionalFormatting sqref="Y622">
    <cfRule type="cellIs" dxfId="88" priority="108" stopIfTrue="1" operator="notEqual">
      <formula>""</formula>
    </cfRule>
  </conditionalFormatting>
  <conditionalFormatting sqref="Y625">
    <cfRule type="cellIs" dxfId="87" priority="107" stopIfTrue="1" operator="notEqual">
      <formula>""</formula>
    </cfRule>
  </conditionalFormatting>
  <conditionalFormatting sqref="Y628">
    <cfRule type="cellIs" dxfId="86" priority="106" stopIfTrue="1" operator="notEqual">
      <formula>""</formula>
    </cfRule>
  </conditionalFormatting>
  <conditionalFormatting sqref="Y631">
    <cfRule type="cellIs" dxfId="85" priority="105" stopIfTrue="1" operator="notEqual">
      <formula>""</formula>
    </cfRule>
  </conditionalFormatting>
  <conditionalFormatting sqref="Y634">
    <cfRule type="cellIs" dxfId="84" priority="104" stopIfTrue="1" operator="notEqual">
      <formula>""</formula>
    </cfRule>
  </conditionalFormatting>
  <conditionalFormatting sqref="Y294">
    <cfRule type="cellIs" dxfId="83" priority="103" stopIfTrue="1" operator="notEqual">
      <formula>""</formula>
    </cfRule>
  </conditionalFormatting>
  <conditionalFormatting sqref="Y668:Y670">
    <cfRule type="cellIs" dxfId="82" priority="101" stopIfTrue="1" operator="notEqual">
      <formula>""</formula>
    </cfRule>
  </conditionalFormatting>
  <conditionalFormatting sqref="Y673">
    <cfRule type="cellIs" dxfId="81" priority="100" stopIfTrue="1" operator="notEqual">
      <formula>""</formula>
    </cfRule>
  </conditionalFormatting>
  <conditionalFormatting sqref="Y674">
    <cfRule type="cellIs" dxfId="80" priority="99" stopIfTrue="1" operator="notEqual">
      <formula>""</formula>
    </cfRule>
  </conditionalFormatting>
  <conditionalFormatting sqref="Y675:Y679">
    <cfRule type="cellIs" dxfId="79" priority="98" stopIfTrue="1" operator="notEqual">
      <formula>""</formula>
    </cfRule>
  </conditionalFormatting>
  <conditionalFormatting sqref="Y683">
    <cfRule type="cellIs" dxfId="78" priority="97" stopIfTrue="1" operator="notEqual">
      <formula>""</formula>
    </cfRule>
  </conditionalFormatting>
  <conditionalFormatting sqref="Y685">
    <cfRule type="cellIs" dxfId="77" priority="96" stopIfTrue="1" operator="notEqual">
      <formula>""</formula>
    </cfRule>
  </conditionalFormatting>
  <conditionalFormatting sqref="Y687">
    <cfRule type="cellIs" dxfId="76" priority="95" stopIfTrue="1" operator="notEqual">
      <formula>""</formula>
    </cfRule>
  </conditionalFormatting>
  <conditionalFormatting sqref="Y703">
    <cfRule type="cellIs" dxfId="75" priority="94" stopIfTrue="1" operator="notEqual">
      <formula>""</formula>
    </cfRule>
  </conditionalFormatting>
  <conditionalFormatting sqref="Y705">
    <cfRule type="cellIs" dxfId="74" priority="93" stopIfTrue="1" operator="notEqual">
      <formula>""</formula>
    </cfRule>
  </conditionalFormatting>
  <conditionalFormatting sqref="Y707">
    <cfRule type="cellIs" dxfId="73" priority="92" stopIfTrue="1" operator="notEqual">
      <formula>""</formula>
    </cfRule>
  </conditionalFormatting>
  <conditionalFormatting sqref="Y709">
    <cfRule type="cellIs" dxfId="72" priority="91" stopIfTrue="1" operator="notEqual">
      <formula>""</formula>
    </cfRule>
  </conditionalFormatting>
  <conditionalFormatting sqref="Y716">
    <cfRule type="cellIs" dxfId="71" priority="90" stopIfTrue="1" operator="notEqual">
      <formula>""</formula>
    </cfRule>
  </conditionalFormatting>
  <conditionalFormatting sqref="Y724">
    <cfRule type="cellIs" dxfId="70" priority="88" stopIfTrue="1" operator="notEqual">
      <formula>""</formula>
    </cfRule>
  </conditionalFormatting>
  <conditionalFormatting sqref="Y729">
    <cfRule type="cellIs" dxfId="69" priority="87" stopIfTrue="1" operator="notEqual">
      <formula>""</formula>
    </cfRule>
  </conditionalFormatting>
  <conditionalFormatting sqref="Y867">
    <cfRule type="cellIs" dxfId="68" priority="46" stopIfTrue="1" operator="notEqual">
      <formula>""</formula>
    </cfRule>
  </conditionalFormatting>
  <conditionalFormatting sqref="Y730">
    <cfRule type="cellIs" dxfId="67" priority="84" stopIfTrue="1" operator="notEqual">
      <formula>""</formula>
    </cfRule>
  </conditionalFormatting>
  <conditionalFormatting sqref="Y731:Y737">
    <cfRule type="cellIs" dxfId="66" priority="83" stopIfTrue="1" operator="notEqual">
      <formula>""</formula>
    </cfRule>
  </conditionalFormatting>
  <conditionalFormatting sqref="Y747">
    <cfRule type="cellIs" dxfId="65" priority="81" stopIfTrue="1" operator="notEqual">
      <formula>""</formula>
    </cfRule>
  </conditionalFormatting>
  <conditionalFormatting sqref="Y749">
    <cfRule type="cellIs" dxfId="64" priority="78" stopIfTrue="1" operator="notEqual">
      <formula>""</formula>
    </cfRule>
  </conditionalFormatting>
  <conditionalFormatting sqref="Y751:Y755">
    <cfRule type="cellIs" dxfId="63" priority="77" stopIfTrue="1" operator="notEqual">
      <formula>""</formula>
    </cfRule>
  </conditionalFormatting>
  <conditionalFormatting sqref="Y762">
    <cfRule type="cellIs" dxfId="62" priority="76" stopIfTrue="1" operator="notEqual">
      <formula>""</formula>
    </cfRule>
  </conditionalFormatting>
  <conditionalFormatting sqref="Y764">
    <cfRule type="cellIs" dxfId="61" priority="74" stopIfTrue="1" operator="notEqual">
      <formula>""</formula>
    </cfRule>
  </conditionalFormatting>
  <conditionalFormatting sqref="Y766">
    <cfRule type="cellIs" dxfId="60" priority="73" stopIfTrue="1" operator="notEqual">
      <formula>""</formula>
    </cfRule>
  </conditionalFormatting>
  <conditionalFormatting sqref="Y768">
    <cfRule type="cellIs" dxfId="59" priority="72" stopIfTrue="1" operator="notEqual">
      <formula>""</formula>
    </cfRule>
  </conditionalFormatting>
  <conditionalFormatting sqref="Y770">
    <cfRule type="cellIs" dxfId="58" priority="71" stopIfTrue="1" operator="notEqual">
      <formula>""</formula>
    </cfRule>
  </conditionalFormatting>
  <conditionalFormatting sqref="Y779">
    <cfRule type="cellIs" dxfId="57" priority="70" stopIfTrue="1" operator="notEqual">
      <formula>""</formula>
    </cfRule>
  </conditionalFormatting>
  <conditionalFormatting sqref="Y793">
    <cfRule type="cellIs" dxfId="56" priority="65" stopIfTrue="1" operator="notEqual">
      <formula>""</formula>
    </cfRule>
  </conditionalFormatting>
  <conditionalFormatting sqref="Y785">
    <cfRule type="cellIs" dxfId="55" priority="68" stopIfTrue="1" operator="notEqual">
      <formula>""</formula>
    </cfRule>
  </conditionalFormatting>
  <conditionalFormatting sqref="Y786">
    <cfRule type="cellIs" dxfId="54" priority="67" stopIfTrue="1" operator="notEqual">
      <formula>""</formula>
    </cfRule>
  </conditionalFormatting>
  <conditionalFormatting sqref="Y788">
    <cfRule type="cellIs" dxfId="53" priority="66" stopIfTrue="1" operator="notEqual">
      <formula>""</formula>
    </cfRule>
  </conditionalFormatting>
  <conditionalFormatting sqref="Y795">
    <cfRule type="cellIs" dxfId="52" priority="64" stopIfTrue="1" operator="notEqual">
      <formula>""</formula>
    </cfRule>
  </conditionalFormatting>
  <conditionalFormatting sqref="Y797">
    <cfRule type="cellIs" dxfId="51" priority="62" stopIfTrue="1" operator="notEqual">
      <formula>""</formula>
    </cfRule>
  </conditionalFormatting>
  <conditionalFormatting sqref="Y796">
    <cfRule type="cellIs" dxfId="50" priority="61" stopIfTrue="1" operator="notEqual">
      <formula>""</formula>
    </cfRule>
  </conditionalFormatting>
  <conditionalFormatting sqref="Y799">
    <cfRule type="cellIs" dxfId="49" priority="60" stopIfTrue="1" operator="notEqual">
      <formula>""</formula>
    </cfRule>
  </conditionalFormatting>
  <conditionalFormatting sqref="Y801">
    <cfRule type="cellIs" dxfId="48" priority="59" stopIfTrue="1" operator="notEqual">
      <formula>""</formula>
    </cfRule>
  </conditionalFormatting>
  <conditionalFormatting sqref="Y958">
    <cfRule type="cellIs" dxfId="47" priority="55" stopIfTrue="1" operator="notEqual">
      <formula>""</formula>
    </cfRule>
  </conditionalFormatting>
  <conditionalFormatting sqref="Y950">
    <cfRule type="cellIs" dxfId="46" priority="52" stopIfTrue="1" operator="notEqual">
      <formula>""</formula>
    </cfRule>
  </conditionalFormatting>
  <conditionalFormatting sqref="Y951:Y952">
    <cfRule type="cellIs" dxfId="45" priority="51" stopIfTrue="1" operator="notEqual">
      <formula>""</formula>
    </cfRule>
  </conditionalFormatting>
  <conditionalFormatting sqref="Y860">
    <cfRule type="cellIs" dxfId="44" priority="50" stopIfTrue="1" operator="notEqual">
      <formula>""</formula>
    </cfRule>
  </conditionalFormatting>
  <conditionalFormatting sqref="Y897">
    <cfRule type="cellIs" dxfId="43" priority="33" stopIfTrue="1" operator="notEqual">
      <formula>""</formula>
    </cfRule>
  </conditionalFormatting>
  <conditionalFormatting sqref="Y868">
    <cfRule type="cellIs" dxfId="42" priority="48" stopIfTrue="1" operator="notEqual">
      <formula>""</formula>
    </cfRule>
  </conditionalFormatting>
  <conditionalFormatting sqref="Y869:Y872">
    <cfRule type="cellIs" dxfId="41" priority="47" stopIfTrue="1" operator="notEqual">
      <formula>""</formula>
    </cfRule>
  </conditionalFormatting>
  <conditionalFormatting sqref="Y895">
    <cfRule type="cellIs" dxfId="40" priority="30" stopIfTrue="1" operator="notEqual">
      <formula>""</formula>
    </cfRule>
  </conditionalFormatting>
  <conditionalFormatting sqref="Y876">
    <cfRule type="cellIs" dxfId="39" priority="45" stopIfTrue="1" operator="notEqual">
      <formula>""</formula>
    </cfRule>
  </conditionalFormatting>
  <conditionalFormatting sqref="Y875">
    <cfRule type="cellIs" dxfId="38" priority="44" stopIfTrue="1" operator="notEqual">
      <formula>""</formula>
    </cfRule>
  </conditionalFormatting>
  <conditionalFormatting sqref="Y876:Y880 Y887 Y894 Y901:Y902 Y909 Y916 Y923 Y930 Y937 Y944">
    <cfRule type="cellIs" dxfId="37" priority="43" stopIfTrue="1" operator="notEqual">
      <formula>""</formula>
    </cfRule>
  </conditionalFormatting>
  <conditionalFormatting sqref="Y874">
    <cfRule type="cellIs" dxfId="36" priority="42" stopIfTrue="1" operator="notEqual">
      <formula>""</formula>
    </cfRule>
  </conditionalFormatting>
  <conditionalFormatting sqref="Y883">
    <cfRule type="cellIs" dxfId="35" priority="41" stopIfTrue="1" operator="notEqual">
      <formula>""</formula>
    </cfRule>
  </conditionalFormatting>
  <conditionalFormatting sqref="Y882">
    <cfRule type="cellIs" dxfId="34" priority="40" stopIfTrue="1" operator="notEqual">
      <formula>""</formula>
    </cfRule>
  </conditionalFormatting>
  <conditionalFormatting sqref="Y883:Y886">
    <cfRule type="cellIs" dxfId="33" priority="39" stopIfTrue="1" operator="notEqual">
      <formula>""</formula>
    </cfRule>
  </conditionalFormatting>
  <conditionalFormatting sqref="Y881">
    <cfRule type="cellIs" dxfId="32" priority="38" stopIfTrue="1" operator="notEqual">
      <formula>""</formula>
    </cfRule>
  </conditionalFormatting>
  <conditionalFormatting sqref="Y890">
    <cfRule type="cellIs" dxfId="31" priority="37" stopIfTrue="1" operator="notEqual">
      <formula>""</formula>
    </cfRule>
  </conditionalFormatting>
  <conditionalFormatting sqref="Y889">
    <cfRule type="cellIs" dxfId="30" priority="36" stopIfTrue="1" operator="notEqual">
      <formula>""</formula>
    </cfRule>
  </conditionalFormatting>
  <conditionalFormatting sqref="Y890:Y893">
    <cfRule type="cellIs" dxfId="29" priority="35" stopIfTrue="1" operator="notEqual">
      <formula>""</formula>
    </cfRule>
  </conditionalFormatting>
  <conditionalFormatting sqref="Y888">
    <cfRule type="cellIs" dxfId="28" priority="34" stopIfTrue="1" operator="notEqual">
      <formula>""</formula>
    </cfRule>
  </conditionalFormatting>
  <conditionalFormatting sqref="Y912">
    <cfRule type="cellIs" dxfId="27" priority="25" stopIfTrue="1" operator="notEqual">
      <formula>""</formula>
    </cfRule>
  </conditionalFormatting>
  <conditionalFormatting sqref="Y896">
    <cfRule type="cellIs" dxfId="26" priority="32" stopIfTrue="1" operator="notEqual">
      <formula>""</formula>
    </cfRule>
  </conditionalFormatting>
  <conditionalFormatting sqref="Y897:Y900">
    <cfRule type="cellIs" dxfId="25" priority="31" stopIfTrue="1" operator="notEqual">
      <formula>""</formula>
    </cfRule>
  </conditionalFormatting>
  <conditionalFormatting sqref="Y905">
    <cfRule type="cellIs" dxfId="24" priority="29" stopIfTrue="1" operator="notEqual">
      <formula>""</formula>
    </cfRule>
  </conditionalFormatting>
  <conditionalFormatting sqref="Y904">
    <cfRule type="cellIs" dxfId="23" priority="28" stopIfTrue="1" operator="notEqual">
      <formula>""</formula>
    </cfRule>
  </conditionalFormatting>
  <conditionalFormatting sqref="Y905:Y908">
    <cfRule type="cellIs" dxfId="22" priority="27" stopIfTrue="1" operator="notEqual">
      <formula>""</formula>
    </cfRule>
  </conditionalFormatting>
  <conditionalFormatting sqref="Y903">
    <cfRule type="cellIs" dxfId="21" priority="26" stopIfTrue="1" operator="notEqual">
      <formula>""</formula>
    </cfRule>
  </conditionalFormatting>
  <conditionalFormatting sqref="Y911">
    <cfRule type="cellIs" dxfId="20" priority="24" stopIfTrue="1" operator="notEqual">
      <formula>""</formula>
    </cfRule>
  </conditionalFormatting>
  <conditionalFormatting sqref="Y912:Y915">
    <cfRule type="cellIs" dxfId="19" priority="23" stopIfTrue="1" operator="notEqual">
      <formula>""</formula>
    </cfRule>
  </conditionalFormatting>
  <conditionalFormatting sqref="Y919">
    <cfRule type="cellIs" dxfId="18" priority="21" stopIfTrue="1" operator="notEqual">
      <formula>""</formula>
    </cfRule>
  </conditionalFormatting>
  <conditionalFormatting sqref="Y918">
    <cfRule type="cellIs" dxfId="17" priority="20" stopIfTrue="1" operator="notEqual">
      <formula>""</formula>
    </cfRule>
  </conditionalFormatting>
  <conditionalFormatting sqref="Y919:Y922">
    <cfRule type="cellIs" dxfId="16" priority="19" stopIfTrue="1" operator="notEqual">
      <formula>""</formula>
    </cfRule>
  </conditionalFormatting>
  <conditionalFormatting sqref="Y910">
    <cfRule type="cellIs" dxfId="15" priority="17" stopIfTrue="1" operator="notEqual">
      <formula>""</formula>
    </cfRule>
  </conditionalFormatting>
  <conditionalFormatting sqref="Y917">
    <cfRule type="cellIs" dxfId="14" priority="16" stopIfTrue="1" operator="notEqual">
      <formula>""</formula>
    </cfRule>
  </conditionalFormatting>
  <conditionalFormatting sqref="Y926">
    <cfRule type="cellIs" dxfId="13" priority="15" stopIfTrue="1" operator="notEqual">
      <formula>""</formula>
    </cfRule>
  </conditionalFormatting>
  <conditionalFormatting sqref="Y925">
    <cfRule type="cellIs" dxfId="12" priority="14" stopIfTrue="1" operator="notEqual">
      <formula>""</formula>
    </cfRule>
  </conditionalFormatting>
  <conditionalFormatting sqref="Y926:Y929">
    <cfRule type="cellIs" dxfId="11" priority="13" stopIfTrue="1" operator="notEqual">
      <formula>""</formula>
    </cfRule>
  </conditionalFormatting>
  <conditionalFormatting sqref="Y924">
    <cfRule type="cellIs" dxfId="10" priority="12" stopIfTrue="1" operator="notEqual">
      <formula>""</formula>
    </cfRule>
  </conditionalFormatting>
  <conditionalFormatting sqref="Y933">
    <cfRule type="cellIs" dxfId="9" priority="11" stopIfTrue="1" operator="notEqual">
      <formula>""</formula>
    </cfRule>
  </conditionalFormatting>
  <conditionalFormatting sqref="Y932">
    <cfRule type="cellIs" dxfId="8" priority="10" stopIfTrue="1" operator="notEqual">
      <formula>""</formula>
    </cfRule>
  </conditionalFormatting>
  <conditionalFormatting sqref="Y933:Y936">
    <cfRule type="cellIs" dxfId="7" priority="9" stopIfTrue="1" operator="notEqual">
      <formula>""</formula>
    </cfRule>
  </conditionalFormatting>
  <conditionalFormatting sqref="Y931">
    <cfRule type="cellIs" dxfId="6" priority="8" stopIfTrue="1" operator="notEqual">
      <formula>""</formula>
    </cfRule>
  </conditionalFormatting>
  <conditionalFormatting sqref="Y940">
    <cfRule type="cellIs" dxfId="5" priority="7" stopIfTrue="1" operator="notEqual">
      <formula>""</formula>
    </cfRule>
  </conditionalFormatting>
  <conditionalFormatting sqref="Y939">
    <cfRule type="cellIs" dxfId="4" priority="6" stopIfTrue="1" operator="notEqual">
      <formula>""</formula>
    </cfRule>
  </conditionalFormatting>
  <conditionalFormatting sqref="Y940:Y943">
    <cfRule type="cellIs" dxfId="3" priority="5" stopIfTrue="1" operator="notEqual">
      <formula>""</formula>
    </cfRule>
  </conditionalFormatting>
  <conditionalFormatting sqref="Y938">
    <cfRule type="cellIs" dxfId="2" priority="4" stopIfTrue="1" operator="notEqual">
      <formula>""</formula>
    </cfRule>
  </conditionalFormatting>
  <conditionalFormatting sqref="Y783">
    <cfRule type="cellIs" dxfId="1" priority="3" stopIfTrue="1" operator="notEqual">
      <formula>""</formula>
    </cfRule>
  </conditionalFormatting>
  <conditionalFormatting sqref="Y784">
    <cfRule type="cellIs" dxfId="0" priority="1" stopIfTrue="1" operator="notEqual">
      <formula>""</formula>
    </cfRule>
  </conditionalFormatting>
  <pageMargins left="0.5" right="0.25" top="1.8" bottom="0.5" header="0.74" footer="0.5"/>
  <pageSetup scale="50" pageOrder="overThenDown" orientation="landscape" r:id="rId1"/>
  <headerFooter alignWithMargins="0">
    <oddHeader>&amp;C&amp;"Times New Roman,Bold"&amp;12KENTUCKY UTILITIES COMPANY
Cost of Service Study
Class Allocation
12 Months Ended April 30, 2020
LOLP Methodology&amp;R&amp;"Times New Roman,Bold"&amp;12Exhibit WSS-28
Page &amp;P of &amp;N</oddHeader>
  </headerFooter>
  <rowBreaks count="17" manualBreakCount="17">
    <brk id="62" min="5" max="20" man="1"/>
    <brk id="119" min="5" max="20" man="1"/>
    <brk id="176" min="5" max="20" man="1"/>
    <brk id="233" min="5" max="20" man="1"/>
    <brk id="290" min="5" max="20" man="1"/>
    <brk id="347" min="5" max="20" man="1"/>
    <brk id="404" min="5" max="20" man="1"/>
    <brk id="461" min="5" max="20" man="1"/>
    <brk id="519" min="5" max="20" man="1"/>
    <brk id="581" min="5" max="20" man="1"/>
    <brk id="647" min="5" max="20" man="1"/>
    <brk id="711" min="5" max="20" man="1"/>
    <brk id="772" min="5" max="20" man="1"/>
    <brk id="808" min="5" max="20" man="1"/>
    <brk id="858" min="5" max="20" man="1"/>
    <brk id="901" min="5" max="20" man="1"/>
    <brk id="944" max="16383" man="1"/>
  </rowBreaks>
  <colBreaks count="1" manualBreakCount="1">
    <brk id="13" min="3" max="96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heetViews>
  <sheetFormatPr defaultRowHeight="13.8" x14ac:dyDescent="0.25"/>
  <cols>
    <col min="1" max="1" width="24.109375" customWidth="1"/>
    <col min="2" max="9" width="15.77734375" customWidth="1"/>
    <col min="10" max="11" width="20.77734375" customWidth="1"/>
    <col min="12" max="17" width="15.77734375" customWidth="1"/>
  </cols>
  <sheetData>
    <row r="1" spans="1:17" ht="27.6" x14ac:dyDescent="0.25">
      <c r="B1" s="211" t="s">
        <v>62</v>
      </c>
      <c r="C1" s="64" t="s">
        <v>1448</v>
      </c>
      <c r="D1" s="64" t="s">
        <v>2050</v>
      </c>
      <c r="E1" s="64" t="s">
        <v>2063</v>
      </c>
      <c r="F1" s="64" t="s">
        <v>1754</v>
      </c>
      <c r="G1" s="64" t="s">
        <v>1754</v>
      </c>
      <c r="H1" s="64" t="s">
        <v>1757</v>
      </c>
      <c r="I1" s="64" t="s">
        <v>1757</v>
      </c>
      <c r="J1" s="64" t="s">
        <v>1759</v>
      </c>
      <c r="K1" s="64" t="s">
        <v>2005</v>
      </c>
      <c r="L1" s="64" t="s">
        <v>2008</v>
      </c>
      <c r="M1" s="64" t="s">
        <v>2009</v>
      </c>
      <c r="N1" s="89" t="s">
        <v>2013</v>
      </c>
      <c r="O1" s="89" t="s">
        <v>2199</v>
      </c>
      <c r="P1" s="89" t="s">
        <v>2194</v>
      </c>
      <c r="Q1" s="89" t="s">
        <v>2195</v>
      </c>
    </row>
    <row r="2" spans="1:17" ht="14.4" thickBot="1" x14ac:dyDescent="0.3">
      <c r="B2" s="7" t="s">
        <v>102</v>
      </c>
      <c r="C2" s="189" t="s">
        <v>2342</v>
      </c>
      <c r="D2" s="7" t="s">
        <v>2061</v>
      </c>
      <c r="E2" s="7" t="s">
        <v>2064</v>
      </c>
      <c r="F2" s="7" t="s">
        <v>1755</v>
      </c>
      <c r="G2" s="7" t="s">
        <v>1756</v>
      </c>
      <c r="H2" s="7" t="s">
        <v>1758</v>
      </c>
      <c r="I2" s="88" t="s">
        <v>2012</v>
      </c>
      <c r="J2" s="217" t="s">
        <v>2196</v>
      </c>
      <c r="K2" s="218" t="s">
        <v>2007</v>
      </c>
      <c r="L2" s="189" t="s">
        <v>2197</v>
      </c>
      <c r="M2" s="7" t="s">
        <v>2006</v>
      </c>
      <c r="N2" s="88" t="s">
        <v>2014</v>
      </c>
      <c r="O2" s="7" t="s">
        <v>2198</v>
      </c>
      <c r="P2" s="189" t="s">
        <v>2200</v>
      </c>
      <c r="Q2" s="189" t="s">
        <v>2201</v>
      </c>
    </row>
    <row r="5" spans="1:17" x14ac:dyDescent="0.25">
      <c r="A5" s="216" t="s">
        <v>2336</v>
      </c>
    </row>
    <row r="6" spans="1:17" x14ac:dyDescent="0.25">
      <c r="A6" s="52" t="s">
        <v>181</v>
      </c>
      <c r="B6" s="214">
        <f>SUM(C6:Q6)</f>
        <v>4045218982.2825279</v>
      </c>
      <c r="C6" s="212">
        <f>'WSS-28'!G755</f>
        <v>1913829757.74629</v>
      </c>
      <c r="D6" s="212">
        <f>'WSS-28'!H755</f>
        <v>467548043.95758653</v>
      </c>
      <c r="E6" s="212">
        <f>'WSS-28'!I755</f>
        <v>28196993.42654264</v>
      </c>
      <c r="F6" s="212">
        <f>'WSS-28'!J755</f>
        <v>349060438.26951933</v>
      </c>
      <c r="G6" s="212">
        <f>'WSS-28'!K755</f>
        <v>23535963.346838195</v>
      </c>
      <c r="H6" s="212">
        <f>'WSS-28'!L755</f>
        <v>306358758.4514882</v>
      </c>
      <c r="I6" s="212">
        <f>'WSS-28'!M755</f>
        <v>598196354.09069657</v>
      </c>
      <c r="J6" s="212">
        <f>'WSS-28'!N755</f>
        <v>179279650.94574383</v>
      </c>
      <c r="K6" s="212">
        <f>'WSS-28'!O755</f>
        <v>81805214.326673463</v>
      </c>
      <c r="L6" s="212">
        <f>'WSS-28'!P755</f>
        <v>95549460.244665146</v>
      </c>
      <c r="M6" s="212">
        <f>'WSS-28'!Q755</f>
        <v>110709.73647517695</v>
      </c>
      <c r="N6" s="212">
        <f>'WSS-28'!R755</f>
        <v>291865.82501450198</v>
      </c>
      <c r="O6" s="212">
        <f>'WSS-28'!S755</f>
        <v>158532.87499419737</v>
      </c>
      <c r="P6" s="212">
        <f>'WSS-28'!T755</f>
        <v>124111.54000000001</v>
      </c>
      <c r="Q6" s="212">
        <f>'WSS-28'!U755</f>
        <v>1173127.4999999998</v>
      </c>
    </row>
    <row r="7" spans="1:17" x14ac:dyDescent="0.25">
      <c r="A7" s="52" t="s">
        <v>877</v>
      </c>
      <c r="B7" s="214">
        <f>SUM(C7:Q7)</f>
        <v>225740344.49124923</v>
      </c>
      <c r="C7" s="212">
        <f>'WSS-28'!G749</f>
        <v>58058381.858820617</v>
      </c>
      <c r="D7" s="212">
        <f>'WSS-28'!H749</f>
        <v>52900967.108657122</v>
      </c>
      <c r="E7" s="212">
        <f>'WSS-28'!I749</f>
        <v>1888554.6285784934</v>
      </c>
      <c r="F7" s="212">
        <f>'WSS-28'!J749</f>
        <v>39017869.506657377</v>
      </c>
      <c r="G7" s="212">
        <f>'WSS-28'!K749</f>
        <v>3581160.1888371222</v>
      </c>
      <c r="H7" s="212">
        <f>'WSS-28'!L749</f>
        <v>18854888.901616037</v>
      </c>
      <c r="I7" s="212">
        <f>'WSS-28'!M749</f>
        <v>26905899.257173657</v>
      </c>
      <c r="J7" s="212">
        <f>'WSS-28'!N749</f>
        <v>10349767.727182224</v>
      </c>
      <c r="K7" s="212">
        <f>'WSS-28'!O749</f>
        <v>4130189.7583680954</v>
      </c>
      <c r="L7" s="212">
        <f>'WSS-28'!P749</f>
        <v>10009740.353864189</v>
      </c>
      <c r="M7" s="212">
        <f>'WSS-28'!Q749</f>
        <v>23578.524032412664</v>
      </c>
      <c r="N7" s="212">
        <f>'WSS-28'!R749</f>
        <v>48238.557689318535</v>
      </c>
      <c r="O7" s="212">
        <f>'WSS-28'!S749</f>
        <v>15017.926068535104</v>
      </c>
      <c r="P7" s="212">
        <f>'WSS-28'!T749</f>
        <v>-11653.005026014058</v>
      </c>
      <c r="Q7" s="212">
        <f>'WSS-28'!U749</f>
        <v>-32256.801269985583</v>
      </c>
    </row>
    <row r="8" spans="1:17" x14ac:dyDescent="0.25">
      <c r="A8" s="52" t="s">
        <v>407</v>
      </c>
      <c r="B8" s="213">
        <f t="shared" ref="B8:Q8" si="0">B7/B6</f>
        <v>5.5804233461762928E-2</v>
      </c>
      <c r="C8" s="213">
        <f t="shared" si="0"/>
        <v>3.0336231121826471E-2</v>
      </c>
      <c r="D8" s="213">
        <f t="shared" si="0"/>
        <v>0.1131455211765489</v>
      </c>
      <c r="E8" s="213">
        <f t="shared" si="0"/>
        <v>6.6977163132603448E-2</v>
      </c>
      <c r="F8" s="213">
        <f t="shared" si="0"/>
        <v>0.11177969551659873</v>
      </c>
      <c r="G8" s="213">
        <f t="shared" si="0"/>
        <v>0.15215694110596975</v>
      </c>
      <c r="H8" s="213">
        <f t="shared" si="0"/>
        <v>6.1545127669662178E-2</v>
      </c>
      <c r="I8" s="213">
        <f t="shared" si="0"/>
        <v>4.4978373861994943E-2</v>
      </c>
      <c r="J8" s="213">
        <f t="shared" si="0"/>
        <v>5.7729740506436054E-2</v>
      </c>
      <c r="K8" s="213">
        <f t="shared" si="0"/>
        <v>5.0488098984436042E-2</v>
      </c>
      <c r="L8" s="213">
        <f t="shared" si="0"/>
        <v>0.10475977915765429</v>
      </c>
      <c r="M8" s="213">
        <f t="shared" si="0"/>
        <v>0.21297606500670679</v>
      </c>
      <c r="N8" s="213">
        <f t="shared" si="0"/>
        <v>0.16527648513463916</v>
      </c>
      <c r="O8" s="213">
        <f t="shared" si="0"/>
        <v>9.4730673805573706E-2</v>
      </c>
      <c r="P8" s="213">
        <f t="shared" si="0"/>
        <v>-9.3891390164154417E-2</v>
      </c>
      <c r="Q8" s="213">
        <f t="shared" si="0"/>
        <v>-2.7496415581414288E-2</v>
      </c>
    </row>
    <row r="9" spans="1:17" x14ac:dyDescent="0.25">
      <c r="A9" s="52" t="s">
        <v>2333</v>
      </c>
      <c r="B9" s="215">
        <f t="shared" ref="B9:Q9" si="1">B8/$B$8*100</f>
        <v>100</v>
      </c>
      <c r="C9" s="215">
        <f t="shared" si="1"/>
        <v>54.361881240807406</v>
      </c>
      <c r="D9" s="215">
        <f t="shared" si="1"/>
        <v>202.7543685445948</v>
      </c>
      <c r="E9" s="215">
        <f t="shared" si="1"/>
        <v>120.02165244057372</v>
      </c>
      <c r="F9" s="215">
        <f t="shared" si="1"/>
        <v>200.30683799857263</v>
      </c>
      <c r="G9" s="215">
        <f t="shared" si="1"/>
        <v>272.66200369946432</v>
      </c>
      <c r="H9" s="215">
        <f t="shared" si="1"/>
        <v>110.28756037269629</v>
      </c>
      <c r="I9" s="215">
        <f t="shared" si="1"/>
        <v>80.600289748293264</v>
      </c>
      <c r="J9" s="215">
        <f t="shared" si="1"/>
        <v>103.45046768896573</v>
      </c>
      <c r="K9" s="215">
        <f t="shared" si="1"/>
        <v>90.473600034360288</v>
      </c>
      <c r="L9" s="215">
        <f t="shared" si="1"/>
        <v>187.72729712242301</v>
      </c>
      <c r="M9" s="215">
        <f t="shared" si="1"/>
        <v>381.64858075263777</v>
      </c>
      <c r="N9" s="215">
        <f t="shared" si="1"/>
        <v>296.1719476854505</v>
      </c>
      <c r="O9" s="215">
        <f t="shared" si="1"/>
        <v>169.75535354406969</v>
      </c>
      <c r="P9" s="215">
        <f t="shared" si="1"/>
        <v>-168.2513751012973</v>
      </c>
      <c r="Q9" s="215">
        <f t="shared" si="1"/>
        <v>-49.27299216511026</v>
      </c>
    </row>
    <row r="10" spans="1:17" x14ac:dyDescent="0.25">
      <c r="A10" s="52" t="s">
        <v>2334</v>
      </c>
      <c r="B10" s="214">
        <f>SUM(C10:Q10)</f>
        <v>-1.1437805369496346E-8</v>
      </c>
      <c r="C10" s="219">
        <f t="shared" ref="C10:Q10" si="2">(C7-(C6*$B8))*Tax_Factor</f>
        <v>-65282114.328058146</v>
      </c>
      <c r="D10" s="212">
        <f t="shared" si="2"/>
        <v>35907875.742487438</v>
      </c>
      <c r="E10" s="212">
        <f t="shared" si="2"/>
        <v>421954.76510067622</v>
      </c>
      <c r="F10" s="212">
        <f t="shared" si="2"/>
        <v>26169434.8854075</v>
      </c>
      <c r="G10" s="212">
        <f t="shared" si="2"/>
        <v>3037329.6525024846</v>
      </c>
      <c r="H10" s="212">
        <f t="shared" si="2"/>
        <v>2355623.4674357688</v>
      </c>
      <c r="I10" s="212">
        <f t="shared" si="2"/>
        <v>-8673655.7175276745</v>
      </c>
      <c r="J10" s="212">
        <f t="shared" si="2"/>
        <v>462351.35783116706</v>
      </c>
      <c r="K10" s="212">
        <f t="shared" si="2"/>
        <v>-582469.20964849531</v>
      </c>
      <c r="L10" s="212">
        <f t="shared" si="2"/>
        <v>6265073.3727592239</v>
      </c>
      <c r="M10" s="212">
        <f t="shared" si="2"/>
        <v>23305.399858105327</v>
      </c>
      <c r="N10" s="212">
        <f t="shared" si="2"/>
        <v>42794.043549308306</v>
      </c>
      <c r="O10" s="212">
        <f t="shared" si="2"/>
        <v>8265.3272697299035</v>
      </c>
      <c r="P10" s="212">
        <f t="shared" si="2"/>
        <v>-24883.834021873423</v>
      </c>
      <c r="Q10" s="212">
        <f t="shared" si="2"/>
        <v>-130884.92494522451</v>
      </c>
    </row>
    <row r="13" spans="1:17" x14ac:dyDescent="0.25">
      <c r="A13" s="216" t="s">
        <v>2337</v>
      </c>
    </row>
    <row r="14" spans="1:17" x14ac:dyDescent="0.25">
      <c r="A14" s="52" t="s">
        <v>181</v>
      </c>
      <c r="B14" s="214">
        <f>SUM(C14:Q14)</f>
        <v>4045218982.2825279</v>
      </c>
      <c r="C14" s="212">
        <f>'WSS-28'!G805</f>
        <v>1913829757.74629</v>
      </c>
      <c r="D14" s="212">
        <f>'WSS-28'!H805</f>
        <v>467548043.95758653</v>
      </c>
      <c r="E14" s="212">
        <f>'WSS-28'!I805</f>
        <v>28196993.42654264</v>
      </c>
      <c r="F14" s="212">
        <f>'WSS-28'!J805</f>
        <v>349060438.26951933</v>
      </c>
      <c r="G14" s="212">
        <f>'WSS-28'!K805</f>
        <v>23535963.346838195</v>
      </c>
      <c r="H14" s="212">
        <f>'WSS-28'!L805</f>
        <v>306358758.4514882</v>
      </c>
      <c r="I14" s="212">
        <f>'WSS-28'!M805</f>
        <v>598196354.09069657</v>
      </c>
      <c r="J14" s="212">
        <f>'WSS-28'!N805</f>
        <v>179279650.94574383</v>
      </c>
      <c r="K14" s="212">
        <f>'WSS-28'!O805</f>
        <v>81805214.326673463</v>
      </c>
      <c r="L14" s="212">
        <f>'WSS-28'!P805</f>
        <v>95549460.244665146</v>
      </c>
      <c r="M14" s="212">
        <f>'WSS-28'!Q805</f>
        <v>110709.73647517695</v>
      </c>
      <c r="N14" s="212">
        <f>'WSS-28'!R805</f>
        <v>291865.82501450198</v>
      </c>
      <c r="O14" s="212">
        <f>'WSS-28'!S805</f>
        <v>158532.87499419737</v>
      </c>
      <c r="P14" s="212">
        <f>'WSS-28'!T805</f>
        <v>124111.54000000001</v>
      </c>
      <c r="Q14" s="212">
        <f>'WSS-28'!U805</f>
        <v>1173127.4999999998</v>
      </c>
    </row>
    <row r="15" spans="1:17" x14ac:dyDescent="0.25">
      <c r="A15" s="52" t="s">
        <v>877</v>
      </c>
      <c r="B15" s="214">
        <f>SUM(C15:Q15)</f>
        <v>309855109.64316672</v>
      </c>
      <c r="C15" s="212">
        <f>'WSS-28'!G803</f>
        <v>95459108.070736051</v>
      </c>
      <c r="D15" s="212">
        <f>'WSS-28'!H803</f>
        <v>64516316.961613774</v>
      </c>
      <c r="E15" s="212">
        <f>'WSS-28'!I803</f>
        <v>2521761.2151838653</v>
      </c>
      <c r="F15" s="212">
        <f>'WSS-28'!J803</f>
        <v>47423550.797696054</v>
      </c>
      <c r="G15" s="212">
        <f>'WSS-28'!K803</f>
        <v>4247839.6135518961</v>
      </c>
      <c r="H15" s="212">
        <f>'WSS-28'!L803</f>
        <v>25108891.099951997</v>
      </c>
      <c r="I15" s="212">
        <f>'WSS-28'!M803</f>
        <v>38794789.828213871</v>
      </c>
      <c r="J15" s="212">
        <f>'WSS-28'!N803</f>
        <v>14342284.305917561</v>
      </c>
      <c r="K15" s="212">
        <f>'WSS-28'!O803</f>
        <v>5681511.7089785933</v>
      </c>
      <c r="L15" s="212">
        <f>'WSS-28'!P803</f>
        <v>11570220.429647896</v>
      </c>
      <c r="M15" s="212">
        <f>'WSS-28'!Q803</f>
        <v>23578.524032412664</v>
      </c>
      <c r="N15" s="212">
        <f>'WSS-28'!R803</f>
        <v>47942.893230998525</v>
      </c>
      <c r="O15" s="212">
        <f>'WSS-28'!S803</f>
        <v>17945.452182355111</v>
      </c>
      <c r="P15" s="212">
        <f>'WSS-28'!T803</f>
        <v>9507.1626842059413</v>
      </c>
      <c r="Q15" s="212">
        <f>'WSS-28'!U803</f>
        <v>89861.579545214423</v>
      </c>
    </row>
    <row r="16" spans="1:17" x14ac:dyDescent="0.25">
      <c r="A16" s="52" t="s">
        <v>407</v>
      </c>
      <c r="B16" s="213">
        <f t="shared" ref="B16:Q16" si="3">B15/B14</f>
        <v>7.6597858113562484E-2</v>
      </c>
      <c r="C16" s="213">
        <f t="shared" si="3"/>
        <v>4.987857863760458E-2</v>
      </c>
      <c r="D16" s="213">
        <f t="shared" si="3"/>
        <v>0.13798863623834634</v>
      </c>
      <c r="E16" s="213">
        <f t="shared" si="3"/>
        <v>8.9433691636430251E-2</v>
      </c>
      <c r="F16" s="213">
        <f t="shared" si="3"/>
        <v>0.13586057197658993</v>
      </c>
      <c r="G16" s="213">
        <f t="shared" si="3"/>
        <v>0.18048292950467004</v>
      </c>
      <c r="H16" s="213">
        <f t="shared" si="3"/>
        <v>8.1959109727649526E-2</v>
      </c>
      <c r="I16" s="213">
        <f t="shared" si="3"/>
        <v>6.4852935934698014E-2</v>
      </c>
      <c r="J16" s="213">
        <f t="shared" si="3"/>
        <v>7.9999510431097542E-2</v>
      </c>
      <c r="K16" s="213">
        <f t="shared" si="3"/>
        <v>6.945170617475023E-2</v>
      </c>
      <c r="L16" s="213">
        <f t="shared" si="3"/>
        <v>0.12109142636725571</v>
      </c>
      <c r="M16" s="213">
        <f t="shared" si="3"/>
        <v>0.21297606500670679</v>
      </c>
      <c r="N16" s="213">
        <f t="shared" si="3"/>
        <v>0.16426347013603385</v>
      </c>
      <c r="O16" s="213">
        <f t="shared" si="3"/>
        <v>0.11319703993895243</v>
      </c>
      <c r="P16" s="213">
        <f t="shared" si="3"/>
        <v>7.660176228742259E-2</v>
      </c>
      <c r="Q16" s="213">
        <f t="shared" si="3"/>
        <v>7.6600011120031231E-2</v>
      </c>
    </row>
    <row r="17" spans="1:17" x14ac:dyDescent="0.25">
      <c r="A17" s="52" t="s">
        <v>2333</v>
      </c>
      <c r="B17" s="215">
        <f t="shared" ref="B17" si="4">B16/$B$8*100</f>
        <v>137.26173331642903</v>
      </c>
      <c r="C17" s="215">
        <f>C16/$B16*100</f>
        <v>65.117458720132333</v>
      </c>
      <c r="D17" s="215">
        <f t="shared" ref="D17:Q17" si="5">D16/$B16*100</f>
        <v>180.14686002546844</v>
      </c>
      <c r="E17" s="215">
        <f t="shared" si="5"/>
        <v>116.75743139427948</v>
      </c>
      <c r="F17" s="215">
        <f t="shared" si="5"/>
        <v>177.36863056296656</v>
      </c>
      <c r="G17" s="215">
        <f t="shared" si="5"/>
        <v>235.62398995163753</v>
      </c>
      <c r="H17" s="215">
        <f t="shared" si="5"/>
        <v>106.99921870679276</v>
      </c>
      <c r="I17" s="215">
        <f t="shared" si="5"/>
        <v>84.666774674754379</v>
      </c>
      <c r="J17" s="215">
        <f t="shared" si="5"/>
        <v>104.44092354709427</v>
      </c>
      <c r="K17" s="215">
        <f t="shared" si="5"/>
        <v>90.670559053730315</v>
      </c>
      <c r="L17" s="215">
        <f t="shared" si="5"/>
        <v>158.08722247523937</v>
      </c>
      <c r="M17" s="215">
        <f t="shared" si="5"/>
        <v>278.04441305780728</v>
      </c>
      <c r="N17" s="215">
        <f t="shared" si="5"/>
        <v>214.44916892127722</v>
      </c>
      <c r="O17" s="215">
        <f t="shared" si="5"/>
        <v>147.78094678721789</v>
      </c>
      <c r="P17" s="215">
        <f t="shared" si="5"/>
        <v>100.00509697523698</v>
      </c>
      <c r="Q17" s="215">
        <f t="shared" si="5"/>
        <v>100.00281079200093</v>
      </c>
    </row>
    <row r="18" spans="1:17" x14ac:dyDescent="0.25">
      <c r="A18" s="52" t="s">
        <v>2334</v>
      </c>
      <c r="B18" s="214">
        <f>SUM(C18:Q18)</f>
        <v>5.323852958483144E-8</v>
      </c>
      <c r="C18" s="212">
        <f t="shared" ref="C18:Q18" si="6">(C15-(C14*$B16))*Tax_Factor</f>
        <v>-68489512.221286133</v>
      </c>
      <c r="D18" s="212">
        <f t="shared" si="6"/>
        <v>38443720.406211376</v>
      </c>
      <c r="E18" s="212">
        <f t="shared" si="6"/>
        <v>484755.67989551398</v>
      </c>
      <c r="F18" s="212">
        <f t="shared" si="6"/>
        <v>27706278.334098194</v>
      </c>
      <c r="G18" s="212">
        <f t="shared" si="6"/>
        <v>3274772.6089202422</v>
      </c>
      <c r="H18" s="212">
        <f t="shared" si="6"/>
        <v>2199847.2118845526</v>
      </c>
      <c r="I18" s="212">
        <f t="shared" si="6"/>
        <v>-9410006.7038379759</v>
      </c>
      <c r="J18" s="212">
        <f t="shared" si="6"/>
        <v>816802.29227562447</v>
      </c>
      <c r="K18" s="212">
        <f t="shared" si="6"/>
        <v>-782977.46032960131</v>
      </c>
      <c r="L18" s="212">
        <f t="shared" si="6"/>
        <v>5694052.9568778416</v>
      </c>
      <c r="M18" s="212">
        <f t="shared" si="6"/>
        <v>20222.126397167318</v>
      </c>
      <c r="N18" s="212">
        <f t="shared" si="6"/>
        <v>34269.561111036543</v>
      </c>
      <c r="O18" s="212">
        <f t="shared" si="6"/>
        <v>7771.1759133222686</v>
      </c>
      <c r="P18" s="212">
        <f t="shared" si="6"/>
        <v>0.64898900832508388</v>
      </c>
      <c r="Q18" s="212">
        <f t="shared" si="6"/>
        <v>3.3828798851583426</v>
      </c>
    </row>
    <row r="21" spans="1:17" x14ac:dyDescent="0.25">
      <c r="A21" s="52" t="s">
        <v>2335</v>
      </c>
      <c r="B21" s="220">
        <v>1.339356</v>
      </c>
      <c r="C21" s="52" t="s">
        <v>2350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30"/>
  <sheetViews>
    <sheetView tabSelected="1" view="pageLayout" zoomScaleNormal="100" workbookViewId="0">
      <selection sqref="A1:H1"/>
    </sheetView>
  </sheetViews>
  <sheetFormatPr defaultRowHeight="13.8" x14ac:dyDescent="0.25"/>
  <cols>
    <col min="1" max="1" width="5.77734375" customWidth="1"/>
    <col min="2" max="2" width="43.77734375" customWidth="1"/>
    <col min="3" max="3" width="9.77734375" customWidth="1"/>
    <col min="4" max="4" width="7.77734375" customWidth="1"/>
    <col min="5" max="5" width="10.77734375" customWidth="1"/>
    <col min="6" max="6" width="9.77734375" customWidth="1"/>
    <col min="7" max="7" width="7.77734375" customWidth="1"/>
    <col min="8" max="8" width="10.77734375" customWidth="1"/>
  </cols>
  <sheetData>
    <row r="1" spans="1:8" ht="17.399999999999999" x14ac:dyDescent="0.3">
      <c r="A1" s="229" t="s">
        <v>2345</v>
      </c>
      <c r="B1" s="229"/>
      <c r="C1" s="229"/>
      <c r="D1" s="229"/>
      <c r="E1" s="229"/>
      <c r="F1" s="229"/>
      <c r="G1" s="229"/>
      <c r="H1" s="229"/>
    </row>
    <row r="2" spans="1:8" x14ac:dyDescent="0.25">
      <c r="A2" s="52"/>
      <c r="B2" s="52"/>
      <c r="C2" s="52"/>
      <c r="D2" s="52"/>
      <c r="E2" s="52"/>
      <c r="F2" s="52"/>
      <c r="G2" s="52"/>
      <c r="H2" s="52"/>
    </row>
    <row r="3" spans="1:8" ht="15.6" x14ac:dyDescent="0.3">
      <c r="A3" s="230" t="s">
        <v>2346</v>
      </c>
      <c r="B3" s="230"/>
      <c r="C3" s="230"/>
      <c r="D3" s="230"/>
      <c r="E3" s="230"/>
      <c r="F3" s="230"/>
      <c r="G3" s="230"/>
      <c r="H3" s="230"/>
    </row>
    <row r="4" spans="1:8" ht="15.6" x14ac:dyDescent="0.3">
      <c r="A4" s="230" t="s">
        <v>2366</v>
      </c>
      <c r="B4" s="230"/>
      <c r="C4" s="230"/>
      <c r="D4" s="230"/>
      <c r="E4" s="230"/>
      <c r="F4" s="230"/>
      <c r="G4" s="230"/>
      <c r="H4" s="230"/>
    </row>
    <row r="5" spans="1:8" ht="15.6" x14ac:dyDescent="0.3">
      <c r="A5" s="231" t="s">
        <v>2347</v>
      </c>
      <c r="B5" s="231"/>
      <c r="C5" s="231"/>
      <c r="D5" s="231"/>
      <c r="E5" s="231"/>
      <c r="F5" s="231"/>
      <c r="G5" s="231"/>
      <c r="H5" s="231"/>
    </row>
    <row r="9" spans="1:8" x14ac:dyDescent="0.25">
      <c r="A9" s="52"/>
      <c r="B9" s="52"/>
      <c r="C9" s="232" t="s">
        <v>2343</v>
      </c>
      <c r="D9" s="232"/>
      <c r="E9" s="232"/>
      <c r="F9" s="232" t="s">
        <v>2344</v>
      </c>
      <c r="G9" s="232"/>
      <c r="H9" s="232"/>
    </row>
    <row r="10" spans="1:8" x14ac:dyDescent="0.25">
      <c r="A10" s="233"/>
      <c r="B10" s="233"/>
      <c r="C10" s="233" t="s">
        <v>2339</v>
      </c>
      <c r="D10" s="233"/>
      <c r="E10" s="233" t="s">
        <v>2334</v>
      </c>
      <c r="F10" s="233" t="s">
        <v>2339</v>
      </c>
      <c r="G10" s="233"/>
      <c r="H10" s="233" t="s">
        <v>2334</v>
      </c>
    </row>
    <row r="11" spans="1:8" x14ac:dyDescent="0.25">
      <c r="A11" s="234" t="s">
        <v>2338</v>
      </c>
      <c r="B11" s="242" t="s">
        <v>2349</v>
      </c>
      <c r="C11" s="234" t="s">
        <v>2340</v>
      </c>
      <c r="D11" s="234" t="s">
        <v>2333</v>
      </c>
      <c r="E11" s="235" t="s">
        <v>2348</v>
      </c>
      <c r="F11" s="234" t="s">
        <v>2340</v>
      </c>
      <c r="G11" s="234" t="s">
        <v>2333</v>
      </c>
      <c r="H11" s="235" t="s">
        <v>2348</v>
      </c>
    </row>
    <row r="12" spans="1:8" x14ac:dyDescent="0.25">
      <c r="A12" s="234"/>
      <c r="B12" s="234"/>
      <c r="C12" s="236">
        <v>-1</v>
      </c>
      <c r="D12" s="236">
        <v>-2</v>
      </c>
      <c r="E12" s="236">
        <v>-3</v>
      </c>
      <c r="F12" s="236">
        <v>-4</v>
      </c>
      <c r="G12" s="236">
        <v>-5</v>
      </c>
      <c r="H12" s="236">
        <v>-6</v>
      </c>
    </row>
    <row r="13" spans="1:8" x14ac:dyDescent="0.25">
      <c r="A13" s="52"/>
      <c r="B13" s="52"/>
      <c r="C13" s="52"/>
      <c r="D13" s="52"/>
      <c r="E13" s="52"/>
      <c r="F13" s="52"/>
      <c r="G13" s="52"/>
      <c r="H13" s="52"/>
    </row>
    <row r="14" spans="1:8" x14ac:dyDescent="0.25">
      <c r="A14" s="233">
        <v>1</v>
      </c>
      <c r="B14" s="52" t="s">
        <v>2364</v>
      </c>
      <c r="C14" s="237">
        <f ca="1">OFFSET('Subsidy Calcs'!$B$8,0,$A14)</f>
        <v>3.0336231121826471E-2</v>
      </c>
      <c r="D14" s="238">
        <f ca="1">C14/C$30*100</f>
        <v>54.361881240807406</v>
      </c>
      <c r="E14" s="239">
        <f ca="1">OFFSET('Subsidy Calcs'!$B$10,0,$A14)/1000</f>
        <v>-65282.114328058145</v>
      </c>
      <c r="F14" s="237">
        <f ca="1">OFFSET('Subsidy Calcs'!$B$16,0,$A14)</f>
        <v>4.987857863760458E-2</v>
      </c>
      <c r="G14" s="238">
        <f ca="1">F14/F$30*100</f>
        <v>65.117458720132333</v>
      </c>
      <c r="H14" s="239">
        <f ca="1">OFFSET('Subsidy Calcs'!$B$18,0,$A14)/1000</f>
        <v>-68489.512221286132</v>
      </c>
    </row>
    <row r="15" spans="1:8" x14ac:dyDescent="0.25">
      <c r="A15" s="233">
        <f t="shared" ref="A15:A28" si="0">A14+1</f>
        <v>2</v>
      </c>
      <c r="B15" s="52" t="s">
        <v>2351</v>
      </c>
      <c r="C15" s="237">
        <f ca="1">OFFSET('Subsidy Calcs'!$B$8,0,$A15)</f>
        <v>0.1131455211765489</v>
      </c>
      <c r="D15" s="238">
        <f t="shared" ref="D15:D30" ca="1" si="1">C15/C$30*100</f>
        <v>202.7543685445948</v>
      </c>
      <c r="E15" s="240">
        <f ca="1">OFFSET('Subsidy Calcs'!$B$10,0,$A15)/1000</f>
        <v>35907.875742487435</v>
      </c>
      <c r="F15" s="237">
        <f ca="1">OFFSET('Subsidy Calcs'!$B$16,0,$A15)</f>
        <v>0.13798863623834634</v>
      </c>
      <c r="G15" s="238">
        <f t="shared" ref="G15:G30" ca="1" si="2">F15/F$30*100</f>
        <v>180.14686002546844</v>
      </c>
      <c r="H15" s="240">
        <f ca="1">OFFSET('Subsidy Calcs'!$B$18,0,$A15)/1000</f>
        <v>38443.720406211374</v>
      </c>
    </row>
    <row r="16" spans="1:8" x14ac:dyDescent="0.25">
      <c r="A16" s="233">
        <f t="shared" si="0"/>
        <v>3</v>
      </c>
      <c r="B16" s="52" t="s">
        <v>2352</v>
      </c>
      <c r="C16" s="237">
        <f ca="1">OFFSET('Subsidy Calcs'!$B$8,0,$A16)</f>
        <v>6.6977163132603448E-2</v>
      </c>
      <c r="D16" s="238">
        <f t="shared" ca="1" si="1"/>
        <v>120.02165244057372</v>
      </c>
      <c r="E16" s="240">
        <f ca="1">OFFSET('Subsidy Calcs'!$B$10,0,$A16)/1000</f>
        <v>421.95476510067624</v>
      </c>
      <c r="F16" s="237">
        <f ca="1">OFFSET('Subsidy Calcs'!$B$16,0,$A16)</f>
        <v>8.9433691636430251E-2</v>
      </c>
      <c r="G16" s="238">
        <f t="shared" ca="1" si="2"/>
        <v>116.75743139427948</v>
      </c>
      <c r="H16" s="240">
        <f ca="1">OFFSET('Subsidy Calcs'!$B$18,0,$A16)/1000</f>
        <v>484.75567989551399</v>
      </c>
    </row>
    <row r="17" spans="1:8" x14ac:dyDescent="0.25">
      <c r="A17" s="233">
        <f t="shared" si="0"/>
        <v>4</v>
      </c>
      <c r="B17" s="52" t="s">
        <v>2353</v>
      </c>
      <c r="C17" s="237">
        <f ca="1">OFFSET('Subsidy Calcs'!$B$8,0,$A17)</f>
        <v>0.11177969551659873</v>
      </c>
      <c r="D17" s="238">
        <f t="shared" ca="1" si="1"/>
        <v>200.30683799857263</v>
      </c>
      <c r="E17" s="240">
        <f ca="1">OFFSET('Subsidy Calcs'!$B$10,0,$A17)/1000</f>
        <v>26169.4348854075</v>
      </c>
      <c r="F17" s="237">
        <f ca="1">OFFSET('Subsidy Calcs'!$B$16,0,$A17)</f>
        <v>0.13586057197658993</v>
      </c>
      <c r="G17" s="238">
        <f t="shared" ca="1" si="2"/>
        <v>177.36863056296656</v>
      </c>
      <c r="H17" s="240">
        <f ca="1">OFFSET('Subsidy Calcs'!$B$18,0,$A17)/1000</f>
        <v>27706.278334098195</v>
      </c>
    </row>
    <row r="18" spans="1:8" x14ac:dyDescent="0.25">
      <c r="A18" s="233">
        <f t="shared" si="0"/>
        <v>5</v>
      </c>
      <c r="B18" s="52" t="s">
        <v>2354</v>
      </c>
      <c r="C18" s="237">
        <f ca="1">OFFSET('Subsidy Calcs'!$B$8,0,$A18)</f>
        <v>0.15215694110596975</v>
      </c>
      <c r="D18" s="238">
        <f t="shared" ca="1" si="1"/>
        <v>272.66200369946432</v>
      </c>
      <c r="E18" s="240">
        <f ca="1">OFFSET('Subsidy Calcs'!$B$10,0,$A18)/1000</f>
        <v>3037.3296525024848</v>
      </c>
      <c r="F18" s="237">
        <f ca="1">OFFSET('Subsidy Calcs'!$B$16,0,$A18)</f>
        <v>0.18048292950467004</v>
      </c>
      <c r="G18" s="238">
        <f t="shared" ca="1" si="2"/>
        <v>235.62398995163753</v>
      </c>
      <c r="H18" s="240">
        <f ca="1">OFFSET('Subsidy Calcs'!$B$18,0,$A18)/1000</f>
        <v>3274.772608920242</v>
      </c>
    </row>
    <row r="19" spans="1:8" x14ac:dyDescent="0.25">
      <c r="A19" s="233">
        <f t="shared" si="0"/>
        <v>6</v>
      </c>
      <c r="B19" s="52" t="s">
        <v>2355</v>
      </c>
      <c r="C19" s="237">
        <f ca="1">OFFSET('Subsidy Calcs'!$B$8,0,$A19)</f>
        <v>6.1545127669662178E-2</v>
      </c>
      <c r="D19" s="238">
        <f t="shared" ca="1" si="1"/>
        <v>110.28756037269629</v>
      </c>
      <c r="E19" s="240">
        <f ca="1">OFFSET('Subsidy Calcs'!$B$10,0,$A19)/1000</f>
        <v>2355.6234674357688</v>
      </c>
      <c r="F19" s="237">
        <f ca="1">OFFSET('Subsidy Calcs'!$B$16,0,$A19)</f>
        <v>8.1959109727649526E-2</v>
      </c>
      <c r="G19" s="238">
        <f t="shared" ca="1" si="2"/>
        <v>106.99921870679276</v>
      </c>
      <c r="H19" s="240">
        <f ca="1">OFFSET('Subsidy Calcs'!$B$18,0,$A19)/1000</f>
        <v>2199.8472118845525</v>
      </c>
    </row>
    <row r="20" spans="1:8" x14ac:dyDescent="0.25">
      <c r="A20" s="233">
        <f t="shared" si="0"/>
        <v>7</v>
      </c>
      <c r="B20" s="52" t="s">
        <v>2356</v>
      </c>
      <c r="C20" s="237">
        <f ca="1">OFFSET('Subsidy Calcs'!$B$8,0,$A20)</f>
        <v>4.4978373861994943E-2</v>
      </c>
      <c r="D20" s="238">
        <f t="shared" ca="1" si="1"/>
        <v>80.600289748293264</v>
      </c>
      <c r="E20" s="240">
        <f ca="1">OFFSET('Subsidy Calcs'!$B$10,0,$A20)/1000</f>
        <v>-8673.6557175276739</v>
      </c>
      <c r="F20" s="237">
        <f ca="1">OFFSET('Subsidy Calcs'!$B$16,0,$A20)</f>
        <v>6.4852935934698014E-2</v>
      </c>
      <c r="G20" s="238">
        <f t="shared" ca="1" si="2"/>
        <v>84.666774674754379</v>
      </c>
      <c r="H20" s="240">
        <f ca="1">OFFSET('Subsidy Calcs'!$B$18,0,$A20)/1000</f>
        <v>-9410.0067038379766</v>
      </c>
    </row>
    <row r="21" spans="1:8" x14ac:dyDescent="0.25">
      <c r="A21" s="233">
        <f t="shared" si="0"/>
        <v>8</v>
      </c>
      <c r="B21" s="52" t="s">
        <v>2357</v>
      </c>
      <c r="C21" s="237">
        <f ca="1">OFFSET('Subsidy Calcs'!$B$8,0,$A21)</f>
        <v>5.7729740506436054E-2</v>
      </c>
      <c r="D21" s="238">
        <f t="shared" ca="1" si="1"/>
        <v>103.45046768896573</v>
      </c>
      <c r="E21" s="240">
        <f ca="1">OFFSET('Subsidy Calcs'!$B$10,0,$A21)/1000</f>
        <v>462.35135783116704</v>
      </c>
      <c r="F21" s="237">
        <f ca="1">OFFSET('Subsidy Calcs'!$B$16,0,$A21)</f>
        <v>7.9999510431097542E-2</v>
      </c>
      <c r="G21" s="238">
        <f t="shared" ca="1" si="2"/>
        <v>104.44092354709427</v>
      </c>
      <c r="H21" s="240">
        <f ca="1">OFFSET('Subsidy Calcs'!$B$18,0,$A21)/1000</f>
        <v>816.8022922756245</v>
      </c>
    </row>
    <row r="22" spans="1:8" x14ac:dyDescent="0.25">
      <c r="A22" s="233">
        <f t="shared" si="0"/>
        <v>9</v>
      </c>
      <c r="B22" s="52" t="s">
        <v>2358</v>
      </c>
      <c r="C22" s="237">
        <f ca="1">OFFSET('Subsidy Calcs'!$B$8,0,$A22)</f>
        <v>5.0488098984436042E-2</v>
      </c>
      <c r="D22" s="238">
        <f t="shared" ca="1" si="1"/>
        <v>90.473600034360288</v>
      </c>
      <c r="E22" s="240">
        <f ca="1">OFFSET('Subsidy Calcs'!$B$10,0,$A22)/1000</f>
        <v>-582.46920964849528</v>
      </c>
      <c r="F22" s="237">
        <f ca="1">OFFSET('Subsidy Calcs'!$B$16,0,$A22)</f>
        <v>6.945170617475023E-2</v>
      </c>
      <c r="G22" s="238">
        <f t="shared" ca="1" si="2"/>
        <v>90.670559053730315</v>
      </c>
      <c r="H22" s="240">
        <f ca="1">OFFSET('Subsidy Calcs'!$B$18,0,$A22)/1000</f>
        <v>-782.97746032960129</v>
      </c>
    </row>
    <row r="23" spans="1:8" x14ac:dyDescent="0.25">
      <c r="A23" s="233">
        <f t="shared" si="0"/>
        <v>10</v>
      </c>
      <c r="B23" s="52" t="s">
        <v>2365</v>
      </c>
      <c r="C23" s="237">
        <f ca="1">OFFSET('Subsidy Calcs'!$B$8,0,$A23)</f>
        <v>0.10475977915765429</v>
      </c>
      <c r="D23" s="238">
        <f t="shared" ca="1" si="1"/>
        <v>187.72729712242301</v>
      </c>
      <c r="E23" s="240">
        <f ca="1">OFFSET('Subsidy Calcs'!$B$10,0,$A23)/1000</f>
        <v>6265.0733727592242</v>
      </c>
      <c r="F23" s="237">
        <f ca="1">OFFSET('Subsidy Calcs'!$B$16,0,$A23)</f>
        <v>0.12109142636725571</v>
      </c>
      <c r="G23" s="238">
        <f t="shared" ca="1" si="2"/>
        <v>158.08722247523937</v>
      </c>
      <c r="H23" s="240">
        <f ca="1">OFFSET('Subsidy Calcs'!$B$18,0,$A23)/1000</f>
        <v>5694.052956877842</v>
      </c>
    </row>
    <row r="24" spans="1:8" x14ac:dyDescent="0.25">
      <c r="A24" s="233">
        <f t="shared" si="0"/>
        <v>11</v>
      </c>
      <c r="B24" s="52" t="s">
        <v>2359</v>
      </c>
      <c r="C24" s="237">
        <f ca="1">OFFSET('Subsidy Calcs'!$B$8,0,$A24)</f>
        <v>0.21297606500670679</v>
      </c>
      <c r="D24" s="238">
        <f t="shared" ca="1" si="1"/>
        <v>381.64858075263777</v>
      </c>
      <c r="E24" s="240">
        <f ca="1">OFFSET('Subsidy Calcs'!$B$10,0,$A24)/1000</f>
        <v>23.305399858105329</v>
      </c>
      <c r="F24" s="237">
        <f ca="1">OFFSET('Subsidy Calcs'!$B$16,0,$A24)</f>
        <v>0.21297606500670679</v>
      </c>
      <c r="G24" s="238">
        <f t="shared" ca="1" si="2"/>
        <v>278.04441305780728</v>
      </c>
      <c r="H24" s="240">
        <f ca="1">OFFSET('Subsidy Calcs'!$B$18,0,$A24)/1000</f>
        <v>20.222126397167319</v>
      </c>
    </row>
    <row r="25" spans="1:8" x14ac:dyDescent="0.25">
      <c r="A25" s="233">
        <f t="shared" si="0"/>
        <v>12</v>
      </c>
      <c r="B25" s="52" t="s">
        <v>2360</v>
      </c>
      <c r="C25" s="237">
        <f ca="1">OFFSET('Subsidy Calcs'!$B$8,0,$A25)</f>
        <v>0.16527648513463916</v>
      </c>
      <c r="D25" s="238">
        <f t="shared" ca="1" si="1"/>
        <v>296.1719476854505</v>
      </c>
      <c r="E25" s="240">
        <f ca="1">OFFSET('Subsidy Calcs'!$B$10,0,$A25)/1000</f>
        <v>42.794043549308306</v>
      </c>
      <c r="F25" s="237">
        <f ca="1">OFFSET('Subsidy Calcs'!$B$16,0,$A25)</f>
        <v>0.16426347013603385</v>
      </c>
      <c r="G25" s="238">
        <f t="shared" ca="1" si="2"/>
        <v>214.44916892127722</v>
      </c>
      <c r="H25" s="240">
        <f ca="1">OFFSET('Subsidy Calcs'!$B$18,0,$A25)/1000</f>
        <v>34.269561111036545</v>
      </c>
    </row>
    <row r="26" spans="1:8" x14ac:dyDescent="0.25">
      <c r="A26" s="233">
        <f t="shared" si="0"/>
        <v>13</v>
      </c>
      <c r="B26" s="52" t="s">
        <v>2363</v>
      </c>
      <c r="C26" s="237">
        <f ca="1">OFFSET('Subsidy Calcs'!$B$8,0,$A26)</f>
        <v>9.4730673805573706E-2</v>
      </c>
      <c r="D26" s="238">
        <f t="shared" ca="1" si="1"/>
        <v>169.75535354406969</v>
      </c>
      <c r="E26" s="240">
        <f ca="1">OFFSET('Subsidy Calcs'!$B$10,0,$A26)/1000</f>
        <v>8.2653272697299034</v>
      </c>
      <c r="F26" s="237">
        <f ca="1">OFFSET('Subsidy Calcs'!$B$16,0,$A26)</f>
        <v>0.11319703993895243</v>
      </c>
      <c r="G26" s="238">
        <f t="shared" ca="1" si="2"/>
        <v>147.78094678721789</v>
      </c>
      <c r="H26" s="240">
        <f ca="1">OFFSET('Subsidy Calcs'!$B$18,0,$A26)/1000</f>
        <v>7.7711759133222689</v>
      </c>
    </row>
    <row r="27" spans="1:8" x14ac:dyDescent="0.25">
      <c r="A27" s="233">
        <f t="shared" si="0"/>
        <v>14</v>
      </c>
      <c r="B27" s="52" t="s">
        <v>2361</v>
      </c>
      <c r="C27" s="237">
        <f ca="1">OFFSET('Subsidy Calcs'!$B$8,0,$A27)</f>
        <v>-9.3891390164154417E-2</v>
      </c>
      <c r="D27" s="238">
        <f t="shared" ca="1" si="1"/>
        <v>-168.2513751012973</v>
      </c>
      <c r="E27" s="240">
        <f ca="1">OFFSET('Subsidy Calcs'!$B$10,0,$A27)/1000</f>
        <v>-24.883834021873422</v>
      </c>
      <c r="F27" s="237">
        <f ca="1">OFFSET('Subsidy Calcs'!$B$16,0,$A27)</f>
        <v>7.660176228742259E-2</v>
      </c>
      <c r="G27" s="238">
        <f t="shared" ca="1" si="2"/>
        <v>100.00509697523698</v>
      </c>
      <c r="H27" s="240">
        <f ca="1">OFFSET('Subsidy Calcs'!$B$18,0,$A27)/1000</f>
        <v>6.4898900832508388E-4</v>
      </c>
    </row>
    <row r="28" spans="1:8" ht="15.6" x14ac:dyDescent="0.4">
      <c r="A28" s="233">
        <f t="shared" si="0"/>
        <v>15</v>
      </c>
      <c r="B28" s="52" t="s">
        <v>2362</v>
      </c>
      <c r="C28" s="237">
        <f ca="1">OFFSET('Subsidy Calcs'!$B$8,0,$A28)</f>
        <v>-2.7496415581414288E-2</v>
      </c>
      <c r="D28" s="238">
        <f t="shared" ca="1" si="1"/>
        <v>-49.27299216511026</v>
      </c>
      <c r="E28" s="241">
        <f ca="1">OFFSET('Subsidy Calcs'!$B$10,0,$A28)/1000</f>
        <v>-130.88492494522453</v>
      </c>
      <c r="F28" s="237">
        <f ca="1">OFFSET('Subsidy Calcs'!$B$16,0,$A28)</f>
        <v>7.6600011120031231E-2</v>
      </c>
      <c r="G28" s="238">
        <f t="shared" ca="1" si="2"/>
        <v>100.00281079200093</v>
      </c>
      <c r="H28" s="241">
        <f ca="1">OFFSET('Subsidy Calcs'!$B$18,0,$A28)/1000</f>
        <v>3.3828798851583426E-3</v>
      </c>
    </row>
    <row r="29" spans="1:8" x14ac:dyDescent="0.25">
      <c r="A29" s="52"/>
      <c r="B29" s="52"/>
      <c r="C29" s="52"/>
      <c r="D29" s="52"/>
      <c r="E29" s="52"/>
      <c r="F29" s="52"/>
      <c r="G29" s="52"/>
      <c r="H29" s="52"/>
    </row>
    <row r="30" spans="1:8" x14ac:dyDescent="0.25">
      <c r="A30" s="233">
        <v>16</v>
      </c>
      <c r="B30" s="52" t="s">
        <v>2341</v>
      </c>
      <c r="C30" s="237">
        <f ca="1">OFFSET('Subsidy Calcs'!$B$8,0,0)</f>
        <v>5.5804233461762928E-2</v>
      </c>
      <c r="D30" s="238">
        <f t="shared" ca="1" si="1"/>
        <v>100</v>
      </c>
      <c r="E30" s="239">
        <f ca="1">SUM(E14:E29)</f>
        <v>-1.3812950783176348E-11</v>
      </c>
      <c r="F30" s="237">
        <f ca="1">OFFSET('Subsidy Calcs'!$B$16,0,0)</f>
        <v>7.6597858113562484E-2</v>
      </c>
      <c r="G30" s="238">
        <f t="shared" ca="1" si="2"/>
        <v>100</v>
      </c>
      <c r="H30" s="239">
        <f ca="1">SUM(H14:H29)</f>
        <v>5.6403471303256847E-11</v>
      </c>
    </row>
  </sheetData>
  <mergeCells count="6">
    <mergeCell ref="C9:E9"/>
    <mergeCell ref="F9:H9"/>
    <mergeCell ref="A1:H1"/>
    <mergeCell ref="A3:H3"/>
    <mergeCell ref="A5:H5"/>
    <mergeCell ref="A4:H4"/>
  </mergeCells>
  <printOptions horizontalCentered="1"/>
  <pageMargins left="0.5" right="0.5" top="1.25" bottom="0.75" header="0.5" footer="0.3"/>
  <pageSetup scale="91" orientation="portrait" r:id="rId1"/>
  <headerFooter scaleWithDoc="0">
    <oddHeader>&amp;R&amp;"Times New Roman,Bold"&amp;A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Jurisdictional Study</vt:lpstr>
      <vt:lpstr>WSS-26</vt:lpstr>
      <vt:lpstr>WSS-28</vt:lpstr>
      <vt:lpstr>Subsidy Calcs</vt:lpstr>
      <vt:lpstr>Exhibit JTS-1</vt:lpstr>
      <vt:lpstr>'Jurisdictional Study'!Print_Area</vt:lpstr>
      <vt:lpstr>'WSS-26'!Print_Area</vt:lpstr>
      <vt:lpstr>'WSS-28'!Print_Area</vt:lpstr>
      <vt:lpstr>'Jurisdictional Study'!Print_Titles</vt:lpstr>
      <vt:lpstr>'WSS-26'!Print_Titles</vt:lpstr>
      <vt:lpstr>'WSS-28'!Print_Titles</vt:lpstr>
      <vt:lpstr>Tax_Factor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2018-09-28T17:25:12Z</dcterms:created>
  <dcterms:modified xsi:type="dcterms:W3CDTF">2019-01-09T20:03:58Z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{F22494B9-737B-4B5D-9EAF-ECCC958593B0}</vt:lpwstr>
  </property>
</Properties>
</file>