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C-1'!$A$1:$G$39</definedName>
    <definedName name="_xlnm.Print_Area" localSheetId="5">'SCH H-1'!$A$1:$F$36</definedName>
    <definedName name="_xlnm.Print_Area" localSheetId="6">'SCH J-1 G'!$A$1:$M$44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36" i="23" l="1"/>
  <c r="G32" i="23"/>
  <c r="D32" i="23"/>
  <c r="G26" i="23"/>
  <c r="D26" i="23"/>
  <c r="G25" i="23"/>
  <c r="D25" i="23"/>
  <c r="D24" i="23"/>
  <c r="D23" i="23"/>
  <c r="D22" i="23"/>
  <c r="E28" i="23"/>
  <c r="C28" i="23"/>
  <c r="F18" i="23"/>
  <c r="G16" i="23"/>
  <c r="C18" i="23"/>
  <c r="E18" i="23"/>
  <c r="E30" i="23" s="1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G21" i="23" l="1"/>
  <c r="E34" i="23"/>
  <c r="E38" i="23"/>
  <c r="C30" i="23"/>
  <c r="G23" i="23"/>
  <c r="G24" i="23"/>
  <c r="D16" i="23"/>
  <c r="D18" i="23" s="1"/>
  <c r="D30" i="23" s="1"/>
  <c r="D21" i="23"/>
  <c r="D28" i="23" s="1"/>
  <c r="G22" i="23"/>
  <c r="G36" i="23"/>
  <c r="G15" i="23"/>
  <c r="G18" i="23" s="1"/>
  <c r="F28" i="23"/>
  <c r="F40" i="23" s="1"/>
  <c r="D43" i="24"/>
  <c r="O41" i="24"/>
  <c r="R41" i="24" s="1"/>
  <c r="E41" i="24"/>
  <c r="F41" i="24" s="1"/>
  <c r="R39" i="24"/>
  <c r="P39" i="24"/>
  <c r="O39" i="24"/>
  <c r="Q39" i="24" s="1"/>
  <c r="F39" i="24"/>
  <c r="F43" i="24" s="1"/>
  <c r="E39" i="24"/>
  <c r="O37" i="24"/>
  <c r="O43" i="24" s="1"/>
  <c r="F37" i="24"/>
  <c r="K31" i="24"/>
  <c r="L21" i="24"/>
  <c r="D21" i="24"/>
  <c r="O19" i="24" s="1"/>
  <c r="F19" i="24"/>
  <c r="E19" i="24"/>
  <c r="O17" i="24"/>
  <c r="R17" i="24" s="1"/>
  <c r="E17" i="24"/>
  <c r="F17" i="24" s="1"/>
  <c r="F15" i="24"/>
  <c r="G28" i="23" l="1"/>
  <c r="C38" i="23"/>
  <c r="C34" i="23"/>
  <c r="G40" i="23"/>
  <c r="G30" i="23"/>
  <c r="H17" i="24"/>
  <c r="S19" i="24"/>
  <c r="R19" i="24"/>
  <c r="P19" i="24"/>
  <c r="Q19" i="24"/>
  <c r="S17" i="24"/>
  <c r="Q37" i="24"/>
  <c r="S41" i="24"/>
  <c r="O15" i="24"/>
  <c r="P17" i="24"/>
  <c r="G17" i="24" s="1"/>
  <c r="F21" i="24"/>
  <c r="R37" i="24"/>
  <c r="R44" i="24" s="1"/>
  <c r="S39" i="24"/>
  <c r="G39" i="24" s="1"/>
  <c r="H39" i="24" s="1"/>
  <c r="P41" i="24"/>
  <c r="Q17" i="24"/>
  <c r="S37" i="24"/>
  <c r="S44" i="24" s="1"/>
  <c r="Q41" i="24"/>
  <c r="P37" i="24"/>
  <c r="F30" i="23" l="1"/>
  <c r="G38" i="23"/>
  <c r="G34" i="23"/>
  <c r="G37" i="24"/>
  <c r="P44" i="24"/>
  <c r="Q44" i="24"/>
  <c r="G19" i="24"/>
  <c r="H19" i="24" s="1"/>
  <c r="G41" i="24"/>
  <c r="H41" i="24" s="1"/>
  <c r="O21" i="24"/>
  <c r="Q15" i="24"/>
  <c r="Q22" i="24" s="1"/>
  <c r="P15" i="24"/>
  <c r="R15" i="24"/>
  <c r="R22" i="24" s="1"/>
  <c r="S15" i="24"/>
  <c r="S22" i="24" s="1"/>
  <c r="G15" i="24" l="1"/>
  <c r="P22" i="24"/>
  <c r="G43" i="24"/>
  <c r="H37" i="24"/>
  <c r="G21" i="24" l="1"/>
  <c r="H15" i="24"/>
  <c r="H43" i="24"/>
  <c r="I37" i="24"/>
  <c r="E30" i="22"/>
  <c r="H21" i="24" l="1"/>
  <c r="I15" i="24"/>
  <c r="I43" i="24"/>
  <c r="K37" i="24"/>
  <c r="K43" i="24" s="1"/>
  <c r="I39" i="24"/>
  <c r="K39" i="24" s="1"/>
  <c r="I41" i="24"/>
  <c r="K41" i="24" s="1"/>
  <c r="E14" i="22"/>
  <c r="K15" i="24" l="1"/>
  <c r="I17" i="24"/>
  <c r="K17" i="24" s="1"/>
  <c r="I19" i="24"/>
  <c r="K19" i="24" s="1"/>
  <c r="D20" i="18"/>
  <c r="D22" i="18" s="1"/>
  <c r="E22" i="18" s="1"/>
  <c r="E18" i="18"/>
  <c r="E16" i="18"/>
  <c r="K21" i="24" l="1"/>
  <c r="I21" i="24"/>
  <c r="E20" i="18"/>
  <c r="E24" i="18"/>
  <c r="E26" i="18" s="1"/>
  <c r="E28" i="18" s="1"/>
  <c r="E30" i="18" s="1"/>
  <c r="D26" i="22" s="1"/>
  <c r="D14" i="22" l="1"/>
  <c r="D16" i="22" l="1"/>
  <c r="E16" i="22"/>
  <c r="E32" i="22"/>
  <c r="E20" i="22" l="1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<sst xmlns="http://schemas.openxmlformats.org/spreadsheetml/2006/main" count="236" uniqueCount="147">
  <si>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</si>
  <si>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</si>
  <si>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</si>
  <si>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</si>
  <si>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</si>
  <si>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</si>
  <si>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</si>
  <si>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</si>
  <si>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</si>
  <si>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</si>
  <si>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</si>
  <si>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</si>
  <si>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</si>
  <si>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</si>
  <si>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</si>
  <si>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</si>
  <si>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</si>
  <si>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</si>
  <si>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</si>
  <si>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</si>
  <si>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</si>
  <si>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</si>
  <si>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</si>
  <si>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</si>
  <si>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</si>
  <si>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</si>
  <si>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</si>
  <si>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</si>
  <si>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</si>
  <si>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</si>
  <si>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</si>
  <si>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</si>
  <si>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</si>
  <si>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</si>
  <si>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</si>
  <si>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</si>
  <si>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</si>
  <si>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</si>
  <si>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</si>
  <si>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</si>
  <si>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</si>
  <si>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</si>
  <si>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</si>
  <si>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</si>
  <si>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</si>
  <si>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</si>
  <si>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</si>
  <si>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</si>
  <si>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</si>
  <si>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</si>
  <si>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</si>
  <si>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</si>
  <si>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</si>
  <si>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</si>
  <si>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</si>
  <si>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</si>
  <si>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</si>
  <si>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</si>
  <si>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</si>
  <si>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</si>
  <si>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</si>
  <si>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</si>
  <si>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</si>
  <si>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</si>
  <si>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</si>
  <si>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</si>
  <si>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</si>
  <si>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</si>
  <si>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</si>
  <si>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</si>
  <si>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</si>
  <si>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</si>
  <si>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</si>
  <si>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</si>
  <si>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</si>
  <si>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</si>
  <si>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</si>
  <si>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</si>
  <si>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</si>
  <si>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</si>
  <si>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</si>
  <si>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</si>
  <si>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</si>
  <si>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</si>
  <si>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</si>
  <si>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</si>
  <si>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</si>
  <si>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</si>
  <si>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</si>
  <si>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</si>
  <si>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</si>
  <si>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</si>
  <si>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</si>
  <si>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</si>
  <si>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</si>
  <si>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</si>
  <si>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</si>
  <si>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</si>
  <si>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</si>
  <si>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</si>
  <si>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</si>
  <si>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</si>
  <si>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</si>
  <si>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</si>
  <si>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</si>
  <si>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</si>
  <si>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</si>
  <si>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</si>
  <si>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</si>
  <si>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</si>
  <si>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</si>
  <si>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</si>
  <si>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</si>
  <si>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</si>
  <si>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</si>
  <si>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</si>
  <si>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</si>
  <si>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</si>
  <si>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</si>
  <si>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</si>
  <si>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</si>
  <si>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</si>
  <si>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</si>
  <si>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</si>
  <si>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</si>
  <si>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</si>
  <si>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</si>
  <si>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</si>
  <si>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</si>
  <si>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</si>
  <si>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</si>
  <si>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</si>
  <si>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</si>
  <si>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</si>
  <si>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</si>
  <si>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</si>
  <si>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</si>
  <si>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</si>
  <si>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</si>
  <si>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</si>
  <si>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</si>
  <si>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</si>
  <si>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</si>
  <si>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</si>
  <si>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CASE NO. 2018-00295</t>
  </si>
  <si>
    <t>CASE NO. 2018-00295 - GAS OPERATIONS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</si>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</sst>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10" fontId="76" fillId="0" borderId="27" xfId="1" applyNumberFormat="1" applyFont="1" applyFill="1" applyBorder="1" applyAlignment="1">
      <alignment horizontal="right" wrapText="1"/>
    </xf>
    <xf numFmtId="0" fontId="7" fillId="0" borderId="0" xfId="11565" applyFont="1"/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8" sqref="C38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7" t="s">
        <v>103</v>
      </c>
      <c r="B1" s="67"/>
      <c r="C1" s="67"/>
    </row>
    <row r="2" spans="1:3" ht="15.75" x14ac:dyDescent="0.25">
      <c r="A2" s="67" t="s">
        <v>3</v>
      </c>
      <c r="B2" s="67"/>
      <c r="C2" s="67"/>
    </row>
    <row r="3" spans="1:3" ht="15.75" x14ac:dyDescent="0.25">
      <c r="A3" s="67" t="s">
        <v>128</v>
      </c>
      <c r="B3" s="67"/>
      <c r="C3" s="67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1" t="s">
        <v>145</v>
      </c>
    </row>
    <row r="11" spans="1:3" x14ac:dyDescent="0.2">
      <c r="A11" s="2" t="s">
        <v>7</v>
      </c>
      <c r="C11" s="61" t="s">
        <v>129</v>
      </c>
    </row>
    <row r="12" spans="1:3" x14ac:dyDescent="0.2">
      <c r="C12" s="61" t="s">
        <v>130</v>
      </c>
    </row>
    <row r="13" spans="1:3" x14ac:dyDescent="0.2">
      <c r="C13" s="61" t="s">
        <v>131</v>
      </c>
    </row>
    <row r="14" spans="1:3" x14ac:dyDescent="0.2">
      <c r="C14" s="61" t="s">
        <v>132</v>
      </c>
    </row>
    <row r="15" spans="1:3" x14ac:dyDescent="0.2">
      <c r="C15" s="61" t="s">
        <v>133</v>
      </c>
    </row>
    <row r="16" spans="1:3" x14ac:dyDescent="0.2">
      <c r="C16" s="61" t="s">
        <v>134</v>
      </c>
    </row>
    <row r="17" spans="1:3" x14ac:dyDescent="0.2">
      <c r="A17" s="2" t="s">
        <v>8</v>
      </c>
      <c r="C17" s="62" t="s">
        <v>135</v>
      </c>
    </row>
    <row r="18" spans="1:3" x14ac:dyDescent="0.2">
      <c r="C18" s="61" t="s">
        <v>136</v>
      </c>
    </row>
    <row r="19" spans="1:3" x14ac:dyDescent="0.2">
      <c r="C19" s="61" t="s">
        <v>137</v>
      </c>
    </row>
    <row r="20" spans="1:3" x14ac:dyDescent="0.2">
      <c r="C20" s="61" t="s">
        <v>138</v>
      </c>
    </row>
    <row r="21" spans="1:3" x14ac:dyDescent="0.2">
      <c r="C21" s="61" t="s">
        <v>139</v>
      </c>
    </row>
    <row r="22" spans="1:3" x14ac:dyDescent="0.2">
      <c r="C22" s="61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65" t="s">
        <v>14</v>
      </c>
      <c r="B29" s="65"/>
      <c r="C29" s="65" t="s">
        <v>15</v>
      </c>
    </row>
    <row r="30" spans="1:3" x14ac:dyDescent="0.2">
      <c r="A30" s="65" t="s">
        <v>12</v>
      </c>
      <c r="B30" s="65"/>
      <c r="C30" s="65" t="s">
        <v>13</v>
      </c>
    </row>
    <row r="31" spans="1:3" x14ac:dyDescent="0.2">
      <c r="A31" s="65" t="s">
        <v>10</v>
      </c>
      <c r="B31" s="65"/>
      <c r="C31" s="65" t="s">
        <v>11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/>
  </sheetViews>
  <sheetFormatPr defaultRowHeight="12.75" x14ac:dyDescent="0.2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x14ac:dyDescent="0.2">
      <c r="A6" s="68" t="s">
        <v>71</v>
      </c>
      <c r="B6" s="68"/>
      <c r="C6" s="68"/>
    </row>
    <row r="7" spans="1:3" x14ac:dyDescent="0.2">
      <c r="A7" s="37"/>
      <c r="B7" s="37"/>
      <c r="C7" s="37"/>
    </row>
    <row r="8" spans="1:3" x14ac:dyDescent="0.2">
      <c r="A8" s="68" t="s">
        <v>72</v>
      </c>
      <c r="B8" s="68"/>
      <c r="C8" s="68"/>
    </row>
    <row r="9" spans="1:3" x14ac:dyDescent="0.2">
      <c r="A9" s="37"/>
      <c r="B9" s="37"/>
      <c r="C9" s="37"/>
    </row>
    <row r="10" spans="1:3" x14ac:dyDescent="0.2">
      <c r="A10" s="69" t="str">
        <f>'Rate Case Constants'!C9</f>
        <v>LOUISVILLE GAS AND ELECTRIC COMPANY</v>
      </c>
      <c r="B10" s="68"/>
      <c r="C10" s="68"/>
    </row>
    <row r="11" spans="1:3" x14ac:dyDescent="0.2">
      <c r="A11" s="37"/>
      <c r="B11" s="37"/>
      <c r="C11" s="37"/>
    </row>
    <row r="12" spans="1:3" x14ac:dyDescent="0.2">
      <c r="A12" s="69" t="str">
        <f>'Rate Case Constants'!C10</f>
        <v>CASE NO. 2018-00295 - GAS OPERATIONS</v>
      </c>
      <c r="B12" s="68"/>
      <c r="C12" s="68"/>
    </row>
    <row r="13" spans="1:3" x14ac:dyDescent="0.2">
      <c r="A13" s="37"/>
      <c r="B13" s="37"/>
      <c r="C13" s="37"/>
    </row>
    <row r="14" spans="1:3" x14ac:dyDescent="0.2">
      <c r="A14" s="37"/>
      <c r="B14" s="37"/>
      <c r="C14" s="37"/>
    </row>
    <row r="15" spans="1:3" x14ac:dyDescent="0.2">
      <c r="A15" s="37"/>
      <c r="B15" s="37"/>
      <c r="C15" s="37"/>
    </row>
    <row r="16" spans="1:3" x14ac:dyDescent="0.2">
      <c r="A16" s="38" t="s">
        <v>73</v>
      </c>
      <c r="B16" s="37"/>
      <c r="C16" s="55" t="str">
        <f>'Rate Case Constants'!C16</f>
        <v>FOR THE 12 MONTHS ENDED DECEMBER 31, 2018</v>
      </c>
    </row>
    <row r="17" spans="1:3" x14ac:dyDescent="0.2">
      <c r="A17" s="37"/>
      <c r="B17" s="37"/>
      <c r="C17" s="37"/>
    </row>
    <row r="18" spans="1:3" x14ac:dyDescent="0.2">
      <c r="A18" s="38" t="s">
        <v>74</v>
      </c>
      <c r="B18" s="37"/>
      <c r="C18" s="55" t="str">
        <f>'Rate Case Constants'!C22</f>
        <v>FOR THE 12 MONTHS ENDED APRIL 30, 2020</v>
      </c>
    </row>
    <row r="19" spans="1:3" x14ac:dyDescent="0.2">
      <c r="A19" s="37"/>
      <c r="B19" s="37"/>
      <c r="C19" s="37"/>
    </row>
    <row r="20" spans="1:3" x14ac:dyDescent="0.2">
      <c r="A20" s="37"/>
      <c r="B20" s="37"/>
      <c r="C20" s="37"/>
    </row>
    <row r="21" spans="1:3" x14ac:dyDescent="0.2">
      <c r="A21" s="39" t="s">
        <v>17</v>
      </c>
      <c r="B21" s="40"/>
      <c r="C21" s="39" t="s">
        <v>18</v>
      </c>
    </row>
    <row r="22" spans="1:3" x14ac:dyDescent="0.2">
      <c r="A22" s="37"/>
      <c r="B22" s="37"/>
      <c r="C22" s="37"/>
    </row>
    <row r="23" spans="1:3" x14ac:dyDescent="0.2">
      <c r="A23" s="37"/>
      <c r="B23" s="37"/>
      <c r="C23" s="37"/>
    </row>
    <row r="24" spans="1:3" x14ac:dyDescent="0.2">
      <c r="A24" s="41" t="s">
        <v>42</v>
      </c>
      <c r="B24" s="42"/>
      <c r="C24" s="41" t="s">
        <v>41</v>
      </c>
    </row>
    <row r="25" spans="1:3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tr">
        <f>'Rate Case Constants'!C9</f>
        <v>LOUISVILLE GAS AND ELECTRIC COMPANY</v>
      </c>
      <c r="B1" s="71"/>
      <c r="C1" s="71"/>
      <c r="D1" s="71"/>
      <c r="E1" s="71"/>
    </row>
    <row r="2" spans="1:5" s="7" customFormat="1" ht="20.100000000000001" customHeight="1" x14ac:dyDescent="0.2">
      <c r="A2" s="70" t="str">
        <f>'Rate Case Constants'!C10</f>
        <v>CASE NO. 2018-00295 - GAS OPERATIONS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41</v>
      </c>
      <c r="B3" s="71"/>
      <c r="C3" s="71"/>
      <c r="D3" s="71"/>
      <c r="E3" s="71"/>
    </row>
    <row r="4" spans="1:5" s="7" customFormat="1" ht="20.100000000000001" customHeight="1" x14ac:dyDescent="0.2">
      <c r="A4" s="71" t="str">
        <f>'Rate Case Constants'!C15</f>
        <v>BASE YEAR FOR THE 12 MONTHS ENDED DECEMBER 31, 2018</v>
      </c>
      <c r="B4" s="71"/>
      <c r="C4" s="71"/>
      <c r="D4" s="71"/>
      <c r="E4" s="71"/>
    </row>
    <row r="5" spans="1:5" s="7" customFormat="1" ht="20.100000000000001" customHeight="1" x14ac:dyDescent="0.2">
      <c r="A5" s="71" t="str">
        <f>'Rate Case Constants'!C21</f>
        <v>FORECAST PERIOD FOR THE 12 MONTHS ENDED APRIL 30, 2020</v>
      </c>
      <c r="B5" s="71"/>
      <c r="C5" s="71"/>
      <c r="D5" s="71"/>
      <c r="E5" s="71"/>
    </row>
    <row r="6" spans="1:5" s="7" customFormat="1" ht="20.100000000000001" customHeight="1" x14ac:dyDescent="0.2">
      <c r="A6" s="56"/>
      <c r="B6" s="56"/>
      <c r="C6" s="56"/>
      <c r="D6" s="56"/>
      <c r="E6" s="56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C-1'!C32</f>
        <v>752823239.02501488</v>
      </c>
      <c r="E14" s="14">
        <f>'SCH C-1'!E32</f>
        <v>783383775.29721665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43576924.205612898</v>
      </c>
      <c r="E16" s="14">
        <f>'SCH C-1'!E30</f>
        <v>41388079.908194333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6">
        <f>D16/D14</f>
        <v>5.7884669264526942E-2</v>
      </c>
      <c r="E18" s="26">
        <f>E16/E14</f>
        <v>5.2832444599062126E-2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6">
        <f>'SCH J-1 G'!K43</f>
        <v>7.3661030848869741E-2</v>
      </c>
      <c r="E20" s="26">
        <f>'SCH J-1 G'!L21</f>
        <v>7.6413703574585615E-2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5" t="s">
        <v>51</v>
      </c>
      <c r="C22" s="16"/>
      <c r="D22" s="14">
        <f>D14*D20</f>
        <v>55453735.833567657</v>
      </c>
      <c r="E22" s="14">
        <f>E14*E20</f>
        <v>59861255.590701297</v>
      </c>
    </row>
    <row r="23" spans="1:5" ht="18.95" customHeight="1" x14ac:dyDescent="0.2">
      <c r="A23" s="15"/>
      <c r="B23" s="25"/>
      <c r="C23" s="16"/>
      <c r="D23" s="14"/>
      <c r="E23" s="14"/>
    </row>
    <row r="24" spans="1:5" ht="18.95" customHeight="1" x14ac:dyDescent="0.2">
      <c r="A24" s="15">
        <v>6</v>
      </c>
      <c r="B24" s="25" t="s">
        <v>52</v>
      </c>
      <c r="C24" s="16"/>
      <c r="D24" s="14">
        <f>D22-D16</f>
        <v>11876811.627954759</v>
      </c>
      <c r="E24" s="14">
        <f>E22-E16</f>
        <v>18473175.682506964</v>
      </c>
    </row>
    <row r="25" spans="1:5" ht="18.95" customHeight="1" x14ac:dyDescent="0.2">
      <c r="A25" s="15"/>
      <c r="B25" s="25"/>
      <c r="C25" s="16"/>
      <c r="D25" s="14"/>
      <c r="E25" s="14"/>
    </row>
    <row r="26" spans="1:5" ht="18.95" customHeight="1" x14ac:dyDescent="0.2">
      <c r="A26" s="15">
        <v>7</v>
      </c>
      <c r="B26" s="25" t="s">
        <v>53</v>
      </c>
      <c r="C26" s="16" t="s">
        <v>54</v>
      </c>
      <c r="D26" s="27">
        <f>'SCH H-1'!E30</f>
        <v>1.3375544948124221</v>
      </c>
      <c r="E26" s="27">
        <f>D26</f>
        <v>1.3375544948124221</v>
      </c>
    </row>
    <row r="27" spans="1:5" ht="18.95" customHeight="1" x14ac:dyDescent="0.2">
      <c r="B27" s="25"/>
      <c r="C27" s="16"/>
    </row>
    <row r="28" spans="1:5" ht="18.95" customHeight="1" x14ac:dyDescent="0.2">
      <c r="A28" s="15">
        <v>8</v>
      </c>
      <c r="B28" s="25" t="s">
        <v>55</v>
      </c>
      <c r="C28" s="16"/>
      <c r="D28" s="14">
        <f>D24*D26</f>
        <v>15885882.777011327</v>
      </c>
      <c r="E28" s="14">
        <f>E24*E26</f>
        <v>24708879.16759672</v>
      </c>
    </row>
    <row r="29" spans="1:5" ht="18.95" customHeight="1" x14ac:dyDescent="0.2">
      <c r="B29" s="25"/>
      <c r="C29" s="16"/>
    </row>
    <row r="30" spans="1:5" ht="18.95" customHeight="1" x14ac:dyDescent="0.2">
      <c r="A30" s="15">
        <v>9</v>
      </c>
      <c r="B30" s="25" t="s">
        <v>56</v>
      </c>
      <c r="C30" s="16" t="s">
        <v>19</v>
      </c>
      <c r="D30" s="14"/>
      <c r="E30" s="14">
        <f>'SCH C-1'!F18</f>
        <v>24924873.969999999</v>
      </c>
    </row>
    <row r="31" spans="1:5" ht="18.95" customHeight="1" x14ac:dyDescent="0.2">
      <c r="B31" s="25"/>
      <c r="C31" s="16"/>
    </row>
    <row r="32" spans="1:5" ht="18.95" customHeight="1" x14ac:dyDescent="0.2">
      <c r="A32" s="15">
        <v>10</v>
      </c>
      <c r="B32" s="25" t="s">
        <v>57</v>
      </c>
      <c r="C32" s="16" t="s">
        <v>19</v>
      </c>
      <c r="D32" s="14"/>
      <c r="E32" s="14">
        <f>'SCH C-1'!E18</f>
        <v>190548382.81521854</v>
      </c>
    </row>
    <row r="33" spans="1:5" ht="18.95" customHeight="1" x14ac:dyDescent="0.2">
      <c r="B33" s="25"/>
      <c r="C33" s="16"/>
    </row>
    <row r="34" spans="1:5" ht="18.95" customHeight="1" thickBot="1" x14ac:dyDescent="0.25">
      <c r="A34" s="15">
        <v>11</v>
      </c>
      <c r="B34" s="25" t="s">
        <v>58</v>
      </c>
      <c r="C34" s="16"/>
      <c r="D34" s="26"/>
      <c r="E34" s="28">
        <f>E30+E32</f>
        <v>215473256.78521854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5"/>
      <c r="D38" s="14"/>
      <c r="E38" s="14"/>
    </row>
    <row r="39" spans="1:5" ht="18.95" customHeight="1" x14ac:dyDescent="0.2">
      <c r="C39" s="25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topLeftCell="A13" zoomScaleNormal="100" workbookViewId="0">
      <selection activeCell="F35" sqref="F35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70" t="s">
        <v>103</v>
      </c>
      <c r="B1" s="71"/>
      <c r="C1" s="71"/>
      <c r="D1" s="71"/>
      <c r="E1" s="71"/>
      <c r="F1" s="71"/>
      <c r="G1" s="71"/>
    </row>
    <row r="2" spans="1:10" s="7" customFormat="1" ht="20.100000000000001" customHeight="1" x14ac:dyDescent="0.2">
      <c r="A2" s="70" t="s">
        <v>145</v>
      </c>
      <c r="B2" s="71"/>
      <c r="C2" s="71"/>
      <c r="D2" s="71"/>
      <c r="E2" s="71"/>
      <c r="F2" s="71"/>
      <c r="G2" s="71"/>
    </row>
    <row r="3" spans="1:10" s="7" customFormat="1" ht="20.100000000000001" customHeight="1" x14ac:dyDescent="0.2">
      <c r="A3" s="71" t="s">
        <v>40</v>
      </c>
      <c r="B3" s="71"/>
      <c r="C3" s="71"/>
      <c r="D3" s="71"/>
      <c r="E3" s="71"/>
      <c r="F3" s="71"/>
      <c r="G3" s="71"/>
    </row>
    <row r="4" spans="1:10" s="7" customFormat="1" ht="20.100000000000001" customHeight="1" x14ac:dyDescent="0.2">
      <c r="A4" s="70" t="s">
        <v>134</v>
      </c>
      <c r="B4" s="71"/>
      <c r="C4" s="71"/>
      <c r="D4" s="71"/>
      <c r="E4" s="71"/>
      <c r="F4" s="71"/>
      <c r="G4" s="71"/>
    </row>
    <row r="5" spans="1:10" s="7" customFormat="1" ht="20.100000000000001" customHeight="1" x14ac:dyDescent="0.2">
      <c r="A5" s="70" t="s">
        <v>140</v>
      </c>
      <c r="B5" s="71"/>
      <c r="C5" s="71"/>
      <c r="D5" s="71"/>
      <c r="E5" s="71"/>
      <c r="F5" s="71"/>
      <c r="G5" s="71"/>
    </row>
    <row r="6" spans="1:10" s="7" customFormat="1" ht="20.100000000000001" customHeight="1" x14ac:dyDescent="0.2">
      <c r="A6" s="66"/>
      <c r="B6" s="66"/>
      <c r="C6" s="66"/>
      <c r="D6" s="66"/>
      <c r="E6" s="66"/>
      <c r="F6" s="66"/>
      <c r="G6" s="66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146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8">
        <v>-1</v>
      </c>
      <c r="D12" s="58">
        <v>-2</v>
      </c>
      <c r="E12" s="58">
        <v>-3</v>
      </c>
      <c r="F12" s="58">
        <v>-4</v>
      </c>
      <c r="G12" s="58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172862411.42078435</v>
      </c>
      <c r="D15" s="14">
        <f t="shared" ref="D15:D16" si="0">E15-C15</f>
        <v>8864846.7488854229</v>
      </c>
      <c r="E15" s="14">
        <v>181727258.16966978</v>
      </c>
      <c r="F15" s="14">
        <v>25042771.379999999</v>
      </c>
      <c r="G15" s="14">
        <f>SUM(E15:F15)</f>
        <v>206770029.54966977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7454802.7000847217</v>
      </c>
      <c r="D16" s="14">
        <f t="shared" si="0"/>
        <v>1366321.9454640429</v>
      </c>
      <c r="E16" s="14">
        <v>8821124.6455487646</v>
      </c>
      <c r="F16" s="14">
        <v>-117897.41</v>
      </c>
      <c r="G16" s="14">
        <f t="shared" ref="G16" si="1">SUM(E16:F16)</f>
        <v>8703227.2355487645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180317214.12086907</v>
      </c>
      <c r="D18" s="20">
        <f>SUM(D15:D16)</f>
        <v>10231168.694349466</v>
      </c>
      <c r="E18" s="20">
        <f>SUM(E15:E16)</f>
        <v>190548382.81521854</v>
      </c>
      <c r="F18" s="20">
        <f>SUM(F15:F16)</f>
        <v>24924873.969999999</v>
      </c>
      <c r="G18" s="20">
        <f>SUM(G15:G16)</f>
        <v>215473256.78521854</v>
      </c>
      <c r="J18" s="14"/>
      <c r="K18" s="7"/>
    </row>
    <row r="19" spans="1:11" ht="18.95" customHeight="1" x14ac:dyDescent="0.2">
      <c r="B19" s="13"/>
      <c r="J19" s="59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80701945.074753374</v>
      </c>
      <c r="D21" s="14">
        <f t="shared" ref="D21:D26" si="2">E21-C21</f>
        <v>12914659.372151852</v>
      </c>
      <c r="E21" s="14">
        <v>93616604.446905226</v>
      </c>
      <c r="F21" s="14">
        <v>45363.2706254</v>
      </c>
      <c r="G21" s="14">
        <f t="shared" ref="G21:G26" si="3">SUM(E21:F21)</f>
        <v>93661967.717530623</v>
      </c>
    </row>
    <row r="22" spans="1:11" ht="18.95" customHeight="1" x14ac:dyDescent="0.2">
      <c r="A22" s="15">
        <f>A21+1</f>
        <v>7</v>
      </c>
      <c r="B22" s="1" t="s">
        <v>28</v>
      </c>
      <c r="C22" s="14">
        <v>37074436.631871574</v>
      </c>
      <c r="D22" s="14">
        <f t="shared" si="2"/>
        <v>1343611.7262649611</v>
      </c>
      <c r="E22" s="14">
        <v>38418048.358136535</v>
      </c>
      <c r="F22" s="14"/>
      <c r="G22" s="14">
        <f t="shared" si="3"/>
        <v>38418048.358136535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11180072.686730986</v>
      </c>
      <c r="D23" s="14">
        <f t="shared" si="2"/>
        <v>588566.82896102592</v>
      </c>
      <c r="E23" s="14">
        <v>11768639.515692012</v>
      </c>
      <c r="F23" s="14">
        <v>49849.747940000001</v>
      </c>
      <c r="G23" s="14">
        <f t="shared" si="3"/>
        <v>11818489.263632013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7809056.8682153299</v>
      </c>
      <c r="D24" s="14">
        <f t="shared" si="2"/>
        <v>-2447392.9485915788</v>
      </c>
      <c r="E24" s="14">
        <v>5361663.9196237512</v>
      </c>
      <c r="F24" s="14">
        <v>6195000.4073829316</v>
      </c>
      <c r="G24" s="14">
        <f t="shared" si="3"/>
        <v>11556664.327006683</v>
      </c>
    </row>
    <row r="25" spans="1:11" ht="18.95" customHeight="1" x14ac:dyDescent="0.2">
      <c r="A25" s="15">
        <f>A24+1</f>
        <v>10</v>
      </c>
      <c r="B25" s="1" t="s">
        <v>29</v>
      </c>
      <c r="C25" s="14">
        <v>-25221.346315095434</v>
      </c>
      <c r="D25" s="14">
        <f t="shared" si="2"/>
        <v>20568.012981762062</v>
      </c>
      <c r="E25" s="14">
        <v>-4653.3333333333721</v>
      </c>
      <c r="F25" s="14"/>
      <c r="G25" s="14">
        <f t="shared" si="3"/>
        <v>-4653.3333333333721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136740289.91525617</v>
      </c>
      <c r="D28" s="21">
        <f t="shared" ref="D28:G28" si="5">SUM(D21:D26)</f>
        <v>12420012.991768021</v>
      </c>
      <c r="E28" s="21">
        <f t="shared" si="5"/>
        <v>149160302.9070242</v>
      </c>
      <c r="F28" s="21">
        <f t="shared" si="5"/>
        <v>6290213.4259483311</v>
      </c>
      <c r="G28" s="21">
        <f t="shared" si="5"/>
        <v>155450516.3329725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43576924.205612898</v>
      </c>
      <c r="D30" s="21">
        <f>D18-D28</f>
        <v>-2188844.2974185552</v>
      </c>
      <c r="E30" s="21">
        <f>E18-E28</f>
        <v>41388079.908194333</v>
      </c>
      <c r="F30" s="21">
        <f>G30-E30</f>
        <v>18634660.544051707</v>
      </c>
      <c r="G30" s="21">
        <f>G18-G28</f>
        <v>60022740.45224604</v>
      </c>
    </row>
    <row r="31" spans="1:11" ht="18.95" customHeight="1" thickTop="1" x14ac:dyDescent="0.2">
      <c r="B31" s="1"/>
      <c r="F31" s="43"/>
    </row>
    <row r="32" spans="1:11" ht="18.95" customHeight="1" thickBot="1" x14ac:dyDescent="0.25">
      <c r="A32" s="15">
        <f>A30+1</f>
        <v>14</v>
      </c>
      <c r="B32" s="24" t="s">
        <v>120</v>
      </c>
      <c r="C32" s="21">
        <v>752823239.02501488</v>
      </c>
      <c r="D32" s="21">
        <f t="shared" ref="D32" si="6">E32-C32</f>
        <v>30560536.272201777</v>
      </c>
      <c r="E32" s="21">
        <v>783383775.29721665</v>
      </c>
      <c r="F32" s="14"/>
      <c r="G32" s="21">
        <f>E32</f>
        <v>783383775.29721665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121</v>
      </c>
      <c r="C34" s="64">
        <f>C30/C32</f>
        <v>5.7884669264526942E-2</v>
      </c>
      <c r="D34" s="14"/>
      <c r="E34" s="64">
        <f>E30/E32</f>
        <v>5.2832444599062126E-2</v>
      </c>
      <c r="F34" s="14"/>
      <c r="G34" s="64">
        <f>G30/G32</f>
        <v>7.6619841187639287E-2</v>
      </c>
    </row>
    <row r="35" spans="1:7" ht="18.95" customHeight="1" thickTop="1" x14ac:dyDescent="0.2">
      <c r="B35" s="1"/>
      <c r="F35" s="43"/>
    </row>
    <row r="36" spans="1:7" ht="18.95" customHeight="1" thickBot="1" x14ac:dyDescent="0.25">
      <c r="A36" s="15">
        <f>A34+1</f>
        <v>16</v>
      </c>
      <c r="B36" s="24" t="s">
        <v>118</v>
      </c>
      <c r="C36" s="21">
        <v>729550634.98207426</v>
      </c>
      <c r="D36" s="21">
        <f t="shared" ref="D36" si="7">E36-C36</f>
        <v>43864539.612286091</v>
      </c>
      <c r="E36" s="21">
        <v>773415174.59436035</v>
      </c>
      <c r="F36" s="14"/>
      <c r="G36" s="21">
        <f>E36</f>
        <v>773415174.59436035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122</v>
      </c>
      <c r="C38" s="64">
        <f>C30/C36</f>
        <v>5.9731185357248882E-2</v>
      </c>
      <c r="D38" s="14"/>
      <c r="E38" s="64">
        <f>E30/E36</f>
        <v>5.3513405565001351E-2</v>
      </c>
      <c r="F38" s="14"/>
      <c r="G38" s="64">
        <f>G30/G36</f>
        <v>7.7607399523453469E-2</v>
      </c>
    </row>
    <row r="39" spans="1:7" ht="18.95" customHeight="1" thickTop="1" x14ac:dyDescent="0.2"/>
    <row r="40" spans="1:7" ht="18.95" customHeight="1" x14ac:dyDescent="0.2">
      <c r="E40" s="9" t="s">
        <v>119</v>
      </c>
      <c r="F40" s="14">
        <f>F18-F28</f>
        <v>18634660.54405167</v>
      </c>
      <c r="G40" s="14">
        <f>G18-G28</f>
        <v>60022740.45224604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3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">
        <v>103</v>
      </c>
      <c r="B1" s="71"/>
      <c r="C1" s="71"/>
      <c r="D1" s="71"/>
      <c r="E1" s="71"/>
    </row>
    <row r="2" spans="1:5" s="7" customFormat="1" ht="20.100000000000001" customHeight="1" x14ac:dyDescent="0.2">
      <c r="A2" s="70" t="s">
        <v>144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60</v>
      </c>
      <c r="B3" s="71"/>
      <c r="C3" s="71"/>
      <c r="D3" s="71"/>
      <c r="E3" s="71"/>
    </row>
    <row r="4" spans="1:5" s="7" customFormat="1" ht="20.100000000000001" customHeight="1" x14ac:dyDescent="0.2">
      <c r="A4" s="70" t="s">
        <v>134</v>
      </c>
      <c r="B4" s="71"/>
      <c r="C4" s="71"/>
      <c r="D4" s="71"/>
      <c r="E4" s="71"/>
    </row>
    <row r="5" spans="1:5" s="7" customFormat="1" ht="20.100000000000001" customHeight="1" x14ac:dyDescent="0.2">
      <c r="A5" s="70" t="s">
        <v>140</v>
      </c>
      <c r="B5" s="71"/>
      <c r="C5" s="71"/>
      <c r="D5" s="71"/>
      <c r="E5" s="71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141</v>
      </c>
      <c r="D9" s="8"/>
      <c r="E9" s="10" t="s">
        <v>126</v>
      </c>
    </row>
    <row r="10" spans="1:5" s="7" customFormat="1" ht="18.95" customHeight="1" x14ac:dyDescent="0.2"/>
    <row r="11" spans="1:5" s="7" customFormat="1" ht="30" customHeight="1" x14ac:dyDescent="0.2">
      <c r="A11" s="29"/>
      <c r="B11" s="29"/>
      <c r="C11" s="29"/>
      <c r="D11" s="72" t="s">
        <v>62</v>
      </c>
      <c r="E11" s="72"/>
    </row>
    <row r="12" spans="1:5" ht="24" customHeight="1" x14ac:dyDescent="0.2">
      <c r="A12" s="30" t="s">
        <v>26</v>
      </c>
      <c r="B12" s="30" t="s">
        <v>18</v>
      </c>
      <c r="C12" s="30"/>
      <c r="D12" s="30" t="s">
        <v>20</v>
      </c>
      <c r="E12" s="30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1">
        <v>1</v>
      </c>
      <c r="E14" s="31">
        <v>1</v>
      </c>
    </row>
    <row r="15" spans="1:5" ht="18.95" customHeight="1" x14ac:dyDescent="0.2">
      <c r="A15" s="15"/>
      <c r="B15" s="13"/>
      <c r="C15" s="14"/>
      <c r="D15" s="31"/>
      <c r="E15" s="31"/>
    </row>
    <row r="16" spans="1:5" ht="18.95" customHeight="1" x14ac:dyDescent="0.2">
      <c r="A16" s="15">
        <v>2</v>
      </c>
      <c r="B16" s="13" t="s">
        <v>65</v>
      </c>
      <c r="C16" s="14"/>
      <c r="D16" s="31">
        <v>1.82E-3</v>
      </c>
      <c r="E16" s="31">
        <f>D16</f>
        <v>1.82E-3</v>
      </c>
    </row>
    <row r="17" spans="1:5" ht="18.95" customHeight="1" x14ac:dyDescent="0.2">
      <c r="A17" s="15"/>
      <c r="B17" s="13"/>
      <c r="C17" s="14"/>
      <c r="D17" s="31"/>
      <c r="E17" s="31"/>
    </row>
    <row r="18" spans="1:5" ht="18.95" customHeight="1" x14ac:dyDescent="0.2">
      <c r="A18" s="15">
        <v>3</v>
      </c>
      <c r="B18" s="13" t="s">
        <v>66</v>
      </c>
      <c r="D18" s="32">
        <v>2E-3</v>
      </c>
      <c r="E18" s="32">
        <f>D18</f>
        <v>2E-3</v>
      </c>
    </row>
    <row r="19" spans="1:5" ht="18.95" customHeight="1" x14ac:dyDescent="0.2">
      <c r="A19" s="15"/>
      <c r="B19" s="22"/>
      <c r="D19" s="31"/>
      <c r="E19" s="31"/>
    </row>
    <row r="20" spans="1:5" ht="18.95" customHeight="1" x14ac:dyDescent="0.2">
      <c r="A20" s="15">
        <v>4</v>
      </c>
      <c r="B20" s="13" t="s">
        <v>67</v>
      </c>
      <c r="C20" s="14"/>
      <c r="D20" s="31">
        <f>D14-D16-D18</f>
        <v>0.99617999999999995</v>
      </c>
      <c r="E20" s="31">
        <f>E14-E16-E18</f>
        <v>0.99617999999999995</v>
      </c>
    </row>
    <row r="21" spans="1:5" ht="18.95" customHeight="1" x14ac:dyDescent="0.2">
      <c r="A21" s="15"/>
      <c r="B21" s="1"/>
      <c r="C21" s="14"/>
      <c r="D21" s="31"/>
      <c r="E21" s="31"/>
    </row>
    <row r="22" spans="1:5" ht="18.95" customHeight="1" x14ac:dyDescent="0.2">
      <c r="A22" s="15">
        <v>5</v>
      </c>
      <c r="B22" s="1" t="s">
        <v>68</v>
      </c>
      <c r="C22" s="26">
        <v>0.05</v>
      </c>
      <c r="D22" s="31">
        <f>D20*C22</f>
        <v>4.9808999999999999E-2</v>
      </c>
      <c r="E22" s="32">
        <f>D22</f>
        <v>4.9808999999999999E-2</v>
      </c>
    </row>
    <row r="23" spans="1:5" ht="18.95" customHeight="1" x14ac:dyDescent="0.2">
      <c r="A23" s="15"/>
      <c r="B23" s="1"/>
      <c r="C23" s="14"/>
      <c r="D23" s="31"/>
      <c r="E23" s="31"/>
    </row>
    <row r="24" spans="1:5" ht="18.95" customHeight="1" x14ac:dyDescent="0.2">
      <c r="A24" s="15">
        <v>6</v>
      </c>
      <c r="B24" s="13" t="s">
        <v>69</v>
      </c>
      <c r="D24" s="31"/>
      <c r="E24" s="31">
        <f>E20-E22</f>
        <v>0.94637099999999996</v>
      </c>
    </row>
    <row r="25" spans="1:5" ht="18.95" customHeight="1" x14ac:dyDescent="0.2">
      <c r="A25" s="15"/>
      <c r="B25" s="24"/>
      <c r="C25" s="14"/>
      <c r="D25" s="31"/>
      <c r="E25" s="31"/>
    </row>
    <row r="26" spans="1:5" ht="18.95" customHeight="1" x14ac:dyDescent="0.2">
      <c r="A26" s="15">
        <v>7</v>
      </c>
      <c r="B26" s="1" t="s">
        <v>70</v>
      </c>
      <c r="C26" s="26">
        <v>0.21</v>
      </c>
      <c r="D26" s="33"/>
      <c r="E26" s="32">
        <f>E24*C26</f>
        <v>0.19873790999999999</v>
      </c>
    </row>
    <row r="27" spans="1:5" ht="18.95" customHeight="1" x14ac:dyDescent="0.2">
      <c r="A27" s="15"/>
      <c r="B27" s="24"/>
      <c r="C27" s="14"/>
      <c r="D27" s="31"/>
      <c r="E27" s="31"/>
    </row>
    <row r="28" spans="1:5" ht="18.95" customHeight="1" thickBot="1" x14ac:dyDescent="0.25">
      <c r="A28" s="15">
        <v>8</v>
      </c>
      <c r="B28" s="1" t="s">
        <v>142</v>
      </c>
      <c r="E28" s="34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143</v>
      </c>
      <c r="E30" s="35">
        <f>E14/E28</f>
        <v>1.3375544948124221</v>
      </c>
    </row>
    <row r="31" spans="1:5" ht="18.95" customHeight="1" thickTop="1" x14ac:dyDescent="0.2">
      <c r="A31" s="15"/>
      <c r="B31" s="24"/>
      <c r="C31" s="26"/>
      <c r="D31" s="14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G15" sqref="G15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70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9" s="7" customFormat="1" ht="20.100000000000001" customHeight="1" x14ac:dyDescent="0.2">
      <c r="A2" s="70" t="s">
        <v>144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9" s="7" customFormat="1" ht="20.100000000000001" customHeight="1" x14ac:dyDescent="0.2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9" s="7" customFormat="1" ht="20.100000000000001" customHeight="1" x14ac:dyDescent="0.2">
      <c r="A4" s="70" t="s">
        <v>136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9" s="7" customFormat="1" ht="20.100000000000001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9" s="7" customFormat="1" ht="20.100000000000001" customHeight="1" x14ac:dyDescent="0.2">
      <c r="A6" s="8" t="s">
        <v>77</v>
      </c>
      <c r="L6" s="9"/>
    </row>
    <row r="7" spans="1:19" s="7" customFormat="1" ht="20.100000000000001" customHeight="1" x14ac:dyDescent="0.2">
      <c r="A7" s="8" t="s">
        <v>96</v>
      </c>
      <c r="L7" s="9" t="s">
        <v>97</v>
      </c>
    </row>
    <row r="8" spans="1:19" s="7" customFormat="1" ht="20.100000000000001" customHeight="1" x14ac:dyDescent="0.2">
      <c r="A8" s="7" t="s">
        <v>146</v>
      </c>
      <c r="L8" s="9" t="s">
        <v>105</v>
      </c>
    </row>
    <row r="9" spans="1:19" s="7" customFormat="1" ht="20.100000000000001" customHeight="1" x14ac:dyDescent="0.2">
      <c r="A9" s="8" t="s">
        <v>25</v>
      </c>
      <c r="L9" s="10" t="s">
        <v>127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19" ht="18.95" customHeight="1" x14ac:dyDescent="0.2">
      <c r="A12" s="12"/>
      <c r="B12" s="45" t="s">
        <v>84</v>
      </c>
      <c r="C12" s="45" t="s">
        <v>85</v>
      </c>
      <c r="D12" s="45" t="s">
        <v>86</v>
      </c>
      <c r="E12" s="45" t="s">
        <v>87</v>
      </c>
      <c r="F12" s="45" t="s">
        <v>109</v>
      </c>
      <c r="G12" s="45" t="s">
        <v>88</v>
      </c>
      <c r="H12" s="45" t="s">
        <v>110</v>
      </c>
      <c r="I12" s="45" t="s">
        <v>111</v>
      </c>
      <c r="J12" s="45" t="s">
        <v>112</v>
      </c>
      <c r="K12" s="45" t="s">
        <v>113</v>
      </c>
      <c r="L12" s="45" t="s">
        <v>100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19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115</v>
      </c>
      <c r="Q14" s="57" t="s">
        <v>116</v>
      </c>
      <c r="R14" s="57" t="s">
        <v>123</v>
      </c>
      <c r="S14" s="57" t="s">
        <v>124</v>
      </c>
    </row>
    <row r="15" spans="1:19" ht="18.95" customHeight="1" x14ac:dyDescent="0.2">
      <c r="A15" s="15">
        <v>1</v>
      </c>
      <c r="B15" s="13" t="s">
        <v>90</v>
      </c>
      <c r="C15" s="16" t="s">
        <v>91</v>
      </c>
      <c r="D15" s="14">
        <v>97017186.120886698</v>
      </c>
      <c r="E15" s="46">
        <v>0.1966</v>
      </c>
      <c r="F15" s="14">
        <f>D15*E15</f>
        <v>19073578.791366324</v>
      </c>
      <c r="G15" s="14">
        <f>SUM(P15:S15)</f>
        <v>-2480361.1405786197</v>
      </c>
      <c r="H15" s="14">
        <f>SUM(F15:G15)</f>
        <v>16593217.650787704</v>
      </c>
      <c r="I15" s="46">
        <f>H15/H$21</f>
        <v>2.0821885087921307E-2</v>
      </c>
      <c r="J15" s="46">
        <v>3.4922000000000002E-2</v>
      </c>
      <c r="K15" s="46">
        <f>I15*J15</f>
        <v>7.2714187104038798E-4</v>
      </c>
      <c r="L15" s="46">
        <v>4.7055333394994459E-4</v>
      </c>
      <c r="O15" s="46">
        <f>D15/D$21</f>
        <v>2.0821885087921311E-2</v>
      </c>
      <c r="P15" s="14">
        <f>O15*P$21</f>
        <v>0</v>
      </c>
      <c r="Q15" s="14">
        <f>$O15*Q$21</f>
        <v>69.485823227439312</v>
      </c>
      <c r="R15" s="14">
        <f>$O15*R$21</f>
        <v>-2480430.6264018472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92</v>
      </c>
      <c r="C17" s="16" t="s">
        <v>93</v>
      </c>
      <c r="D17" s="14">
        <v>2089483476.9936311</v>
      </c>
      <c r="E17" s="47">
        <f>E$15</f>
        <v>0.1966</v>
      </c>
      <c r="F17" s="14">
        <f>D17*E17</f>
        <v>410792451.57694787</v>
      </c>
      <c r="G17" s="14">
        <f>SUM(P17:S17)</f>
        <v>-53420160.153463081</v>
      </c>
      <c r="H17" s="14">
        <f>SUM(F17:G17)</f>
        <v>357372291.4234848</v>
      </c>
      <c r="I17" s="46">
        <f>H17/H$21</f>
        <v>0.44844616289798878</v>
      </c>
      <c r="J17" s="47">
        <v>4.5318070693350046E-2</v>
      </c>
      <c r="K17" s="46">
        <f>I17*J17</f>
        <v>2.0322714912372628E-2</v>
      </c>
      <c r="L17" s="46">
        <v>2.0610351047787596E-2</v>
      </c>
      <c r="O17" s="46">
        <f>D17/D$21</f>
        <v>0.44844616289798883</v>
      </c>
      <c r="P17" s="14">
        <f>O17*P$21</f>
        <v>0</v>
      </c>
      <c r="Q17" s="14">
        <f>$O17*Q$21</f>
        <v>1496.5336073355465</v>
      </c>
      <c r="R17" s="14">
        <f>$O17*R$21</f>
        <v>-53421656.687070414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8"/>
      <c r="E18" s="49"/>
      <c r="F18" s="48"/>
      <c r="G18" s="48"/>
      <c r="H18" s="48"/>
      <c r="I18" s="49"/>
      <c r="J18" s="49"/>
      <c r="K18" s="49"/>
      <c r="L18" s="49"/>
      <c r="O18" s="49"/>
      <c r="P18" s="48"/>
      <c r="Q18" s="48"/>
      <c r="R18" s="48"/>
      <c r="S18" s="48"/>
    </row>
    <row r="19" spans="1:19" ht="18.95" customHeight="1" x14ac:dyDescent="0.2">
      <c r="A19" s="15">
        <v>3</v>
      </c>
      <c r="B19" s="13" t="s">
        <v>94</v>
      </c>
      <c r="C19" s="16"/>
      <c r="D19" s="20">
        <v>2472884676.4562001</v>
      </c>
      <c r="E19" s="47">
        <f>E$15</f>
        <v>0.1966</v>
      </c>
      <c r="F19" s="20">
        <f>D19*E19</f>
        <v>486169127.39128894</v>
      </c>
      <c r="G19" s="20">
        <f>SUM(P19:S19)</f>
        <v>-63222273.30909761</v>
      </c>
      <c r="H19" s="20">
        <f>SUM(F19:G19)</f>
        <v>422946854.08219135</v>
      </c>
      <c r="I19" s="50">
        <f>H19/H$21</f>
        <v>0.53073195201408985</v>
      </c>
      <c r="J19" s="46">
        <v>0.1042</v>
      </c>
      <c r="K19" s="50">
        <f>I19*J19</f>
        <v>5.5302269399868161E-2</v>
      </c>
      <c r="L19" s="50">
        <v>5.5332799192848073E-2</v>
      </c>
      <c r="O19" s="50">
        <f>D19/D$21</f>
        <v>0.53073195201408985</v>
      </c>
      <c r="P19" s="20">
        <f>O19*P$21</f>
        <v>0</v>
      </c>
      <c r="Q19" s="20">
        <f>$O19*Q$21</f>
        <v>1771.1339027703032</v>
      </c>
      <c r="R19" s="20">
        <f>$O19*R$21</f>
        <v>-63224044.443000384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95</v>
      </c>
      <c r="C21" s="16"/>
      <c r="D21" s="21">
        <f>SUM(D15:D19)</f>
        <v>4659385339.5707178</v>
      </c>
      <c r="E21" s="46"/>
      <c r="F21" s="21">
        <f>SUM(F15:F19)</f>
        <v>916035157.75960314</v>
      </c>
      <c r="G21" s="21">
        <f>SUM(G15:G19)</f>
        <v>-119122794.60313931</v>
      </c>
      <c r="H21" s="21">
        <f>SUM(H15:H19)</f>
        <v>796912363.15646386</v>
      </c>
      <c r="I21" s="51">
        <f>SUM(I15:I19)</f>
        <v>1</v>
      </c>
      <c r="J21" s="46"/>
      <c r="K21" s="51">
        <f>SUM(K15:K19)</f>
        <v>7.6352126183281174E-2</v>
      </c>
      <c r="L21" s="51">
        <f>SUM(L15:L19)</f>
        <v>7.6413703574585615E-2</v>
      </c>
      <c r="O21" s="51">
        <f>SUM(O15:O19)</f>
        <v>1</v>
      </c>
      <c r="P21" s="21">
        <v>0</v>
      </c>
      <c r="Q21" s="21">
        <v>3337.1533333332891</v>
      </c>
      <c r="R21" s="21">
        <v>-119126131.75647265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3337.1533333332891</v>
      </c>
      <c r="R22" s="21">
        <f>SUM(R15:R19)</f>
        <v>-119126131.75647265</v>
      </c>
      <c r="S22" s="21">
        <f>SUM(S15:S19)</f>
        <v>0</v>
      </c>
    </row>
    <row r="23" spans="1:19" s="7" customFormat="1" ht="20.100000000000001" customHeight="1" thickTop="1" x14ac:dyDescent="0.2">
      <c r="A23" s="71" t="s">
        <v>103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44"/>
    </row>
    <row r="24" spans="1:19" s="7" customFormat="1" ht="20.100000000000001" customHeight="1" x14ac:dyDescent="0.2">
      <c r="A24" s="71" t="s">
        <v>144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44"/>
    </row>
    <row r="25" spans="1:19" s="7" customFormat="1" ht="20.100000000000001" customHeight="1" x14ac:dyDescent="0.2">
      <c r="A25" s="71" t="s">
        <v>76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44"/>
    </row>
    <row r="26" spans="1:19" s="7" customFormat="1" ht="20.100000000000001" customHeight="1" x14ac:dyDescent="0.2">
      <c r="A26" s="71" t="s">
        <v>130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44"/>
    </row>
    <row r="27" spans="1:19" s="7" customFormat="1" ht="20.100000000000001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9" s="7" customFormat="1" ht="20.100000000000001" customHeight="1" x14ac:dyDescent="0.2">
      <c r="A28" s="8" t="s">
        <v>101</v>
      </c>
      <c r="K28" s="9"/>
    </row>
    <row r="29" spans="1:19" s="7" customFormat="1" ht="20.100000000000001" customHeight="1" x14ac:dyDescent="0.2">
      <c r="A29" s="8" t="s">
        <v>102</v>
      </c>
      <c r="K29" s="9" t="s">
        <v>97</v>
      </c>
    </row>
    <row r="30" spans="1:19" s="7" customFormat="1" ht="20.100000000000001" customHeight="1" x14ac:dyDescent="0.2">
      <c r="A30" s="7" t="s">
        <v>146</v>
      </c>
      <c r="K30" s="9" t="s">
        <v>117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5" t="s">
        <v>84</v>
      </c>
      <c r="C34" s="45" t="s">
        <v>85</v>
      </c>
      <c r="D34" s="45" t="s">
        <v>86</v>
      </c>
      <c r="E34" s="45" t="s">
        <v>87</v>
      </c>
      <c r="F34" s="45" t="s">
        <v>109</v>
      </c>
      <c r="G34" s="45" t="s">
        <v>88</v>
      </c>
      <c r="H34" s="45" t="s">
        <v>110</v>
      </c>
      <c r="I34" s="45" t="s">
        <v>111</v>
      </c>
      <c r="J34" s="45" t="s">
        <v>112</v>
      </c>
      <c r="K34" s="45" t="s">
        <v>113</v>
      </c>
      <c r="L34" s="45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7" t="s">
        <v>116</v>
      </c>
      <c r="R36" s="57" t="s">
        <v>123</v>
      </c>
      <c r="S36" s="57" t="s">
        <v>124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279108101.36840302</v>
      </c>
      <c r="E37" s="46">
        <v>0.185</v>
      </c>
      <c r="F37" s="14">
        <f>D37*E37</f>
        <v>51634998.753154561</v>
      </c>
      <c r="G37" s="14">
        <f>SUM(P37:S37)</f>
        <v>-3965489.6092768661</v>
      </c>
      <c r="H37" s="14">
        <f>SUM(F37:G37)</f>
        <v>47669509.143877693</v>
      </c>
      <c r="I37" s="46">
        <f>H37/H$43</f>
        <v>6.3320985156641432E-2</v>
      </c>
      <c r="J37" s="46">
        <v>2.5936299999999999E-2</v>
      </c>
      <c r="K37" s="46">
        <f>I37*J37</f>
        <v>1.6423120673181991E-3</v>
      </c>
      <c r="L37" s="14"/>
      <c r="O37" s="46">
        <f>D37/D$43</f>
        <v>6.3320985156641432E-2</v>
      </c>
      <c r="P37" s="14">
        <f>O37*P$43</f>
        <v>0</v>
      </c>
      <c r="Q37" s="14">
        <f>$O37*Q$43</f>
        <v>643.59449313210348</v>
      </c>
      <c r="R37" s="14">
        <f>$O37*R$43</f>
        <v>-3966133.2037699982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1792461732.2299998</v>
      </c>
      <c r="E39" s="47">
        <f>E$37</f>
        <v>0.185</v>
      </c>
      <c r="F39" s="14">
        <f>D39*E39</f>
        <v>331605420.46254998</v>
      </c>
      <c r="G39" s="14">
        <f>SUM(P39:S39)</f>
        <v>-25466793.472979248</v>
      </c>
      <c r="H39" s="14">
        <f>SUM(F39:G39)</f>
        <v>306138626.98957074</v>
      </c>
      <c r="I39" s="46">
        <f>H39/H$43</f>
        <v>0.40665406050170871</v>
      </c>
      <c r="J39" s="47">
        <v>4.1288456626836223E-2</v>
      </c>
      <c r="K39" s="46">
        <f>I39*J39</f>
        <v>1.6790118539151633E-2</v>
      </c>
      <c r="O39" s="46">
        <f>D39/D$43</f>
        <v>0.40665406050170866</v>
      </c>
      <c r="P39" s="14">
        <f>O39*P$43</f>
        <v>0</v>
      </c>
      <c r="Q39" s="14">
        <f>$O39*Q$43</f>
        <v>4133.2318709393667</v>
      </c>
      <c r="R39" s="14">
        <f>$O39*R$43</f>
        <v>-25470926.704850186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8"/>
      <c r="E40" s="49"/>
      <c r="F40" s="48"/>
      <c r="G40" s="48"/>
      <c r="H40" s="48"/>
      <c r="I40" s="46"/>
      <c r="J40" s="49"/>
      <c r="K40" s="49"/>
      <c r="L40" s="48"/>
      <c r="O40" s="49"/>
      <c r="P40" s="48"/>
      <c r="Q40" s="48"/>
      <c r="R40" s="48"/>
      <c r="S40" s="48"/>
    </row>
    <row r="41" spans="1:19" ht="18.95" customHeight="1" x14ac:dyDescent="0.2">
      <c r="A41" s="15">
        <v>3</v>
      </c>
      <c r="B41" s="13" t="s">
        <v>94</v>
      </c>
      <c r="C41" s="16"/>
      <c r="D41" s="20">
        <v>2336259587.8478098</v>
      </c>
      <c r="E41" s="47">
        <f>E$37</f>
        <v>0.185</v>
      </c>
      <c r="F41" s="20">
        <f>D41*E41</f>
        <v>432208023.75184482</v>
      </c>
      <c r="G41" s="20">
        <f>SUM(P41:S41)</f>
        <v>-33192920.860278331</v>
      </c>
      <c r="H41" s="20">
        <f>SUM(F41:G41)</f>
        <v>399015102.89156651</v>
      </c>
      <c r="I41" s="50">
        <f>H41/H$43</f>
        <v>0.53002495434164987</v>
      </c>
      <c r="J41" s="46">
        <v>0.1042</v>
      </c>
      <c r="K41" s="50">
        <f>I41*J41</f>
        <v>5.5228600242399915E-2</v>
      </c>
      <c r="L41" s="14"/>
      <c r="O41" s="50">
        <f>D41/D$43</f>
        <v>0.53002495434164987</v>
      </c>
      <c r="P41" s="20">
        <f>O41*P$43</f>
        <v>0</v>
      </c>
      <c r="Q41" s="20">
        <f>$O41*Q$43</f>
        <v>5387.1736359285296</v>
      </c>
      <c r="R41" s="20">
        <f>$O41*R$43</f>
        <v>-33198308.033914261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4407829421.4462128</v>
      </c>
      <c r="E43" s="46"/>
      <c r="F43" s="21">
        <f>SUM(F37:F41)</f>
        <v>815448442.96754932</v>
      </c>
      <c r="G43" s="21">
        <f>SUM(G37:G41)</f>
        <v>-62625203.942534447</v>
      </c>
      <c r="H43" s="21">
        <f>SUM(H37:H41)</f>
        <v>752823239.02501488</v>
      </c>
      <c r="I43" s="51">
        <f>SUM(I37:I41)</f>
        <v>1</v>
      </c>
      <c r="J43" s="46"/>
      <c r="K43" s="51">
        <f>SUM(K37:K41)</f>
        <v>7.3661030848869741E-2</v>
      </c>
      <c r="L43" s="14"/>
      <c r="O43" s="51">
        <f>SUM(O37:O41)</f>
        <v>1</v>
      </c>
      <c r="P43" s="21">
        <v>0</v>
      </c>
      <c r="Q43" s="21">
        <v>10164</v>
      </c>
      <c r="R43" s="21">
        <v>-62635367.942534447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7"/>
      <c r="E44" s="27"/>
      <c r="F44" s="27"/>
      <c r="G44" s="27"/>
      <c r="H44" s="27"/>
      <c r="I44" s="27"/>
      <c r="J44" s="27"/>
      <c r="K44" s="27"/>
      <c r="L44" s="27"/>
      <c r="P44" s="21">
        <f>SUM(P37:P41)</f>
        <v>0</v>
      </c>
      <c r="Q44" s="21">
        <f>SUM(Q37:Q41)</f>
        <v>10164</v>
      </c>
      <c r="R44" s="21">
        <f>SUM(R37:R41)</f>
        <v>-62635367.942534447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2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2"/>
      <c r="C49" s="16"/>
    </row>
    <row r="50" spans="1:12" ht="18.95" customHeight="1" x14ac:dyDescent="0.2">
      <c r="A50" s="15"/>
      <c r="B50" s="52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2"/>
      <c r="C51" s="16"/>
    </row>
    <row r="52" spans="1:12" ht="18.95" customHeight="1" x14ac:dyDescent="0.2">
      <c r="A52" s="15"/>
      <c r="B52" s="52"/>
      <c r="C52" s="16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b368e7c8-2de1-4fdc-90a9-bf3507435312">Financial Planning &amp; Analysis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746C1247F443A3BDE2867B3A7FD6" ma:contentTypeVersion="1" ma:contentTypeDescription="Create a new document." ma:contentTypeScope="" ma:versionID="f45bbdbe6fdc33b39267535df7d990d8">
  <xsd:schema xmlns:xsd="http://www.w3.org/2001/XMLSchema" xmlns:xs="http://www.w3.org/2001/XMLSchema" xmlns:p="http://schemas.microsoft.com/office/2006/metadata/properties" xmlns:ns2="b368e7c8-2de1-4fdc-90a9-bf3507435312" targetNamespace="http://schemas.microsoft.com/office/2006/metadata/properties" ma:root="true" ma:fieldsID="1abb375d68dc91abea5a2dc6eda2f65a" ns2:_="">
    <xsd:import namespace="b368e7c8-2de1-4fdc-90a9-bf3507435312"/>
    <xsd:element name="properties">
      <xsd:complexType>
        <xsd:sequence>
          <xsd:element name="documentManagement">
            <xsd:complexType>
              <xsd:all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8e7c8-2de1-4fdc-90a9-bf3507435312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format="Dropdown" ma:internalName="Department">
      <xsd:simpleType>
        <xsd:restriction base="dms:Choice">
          <xsd:enumeration value="Financial Planning &amp; Analysis"/>
          <xsd:enumeration value="Sales Analysis &amp; Forecasting"/>
          <xsd:enumeration value="State Regulation &amp; Rates"/>
          <xsd:enumeration value="Tax Accounting &amp; Compliance"/>
          <xsd:enumeration value="Cost of Service"/>
          <xsd:enumeration value="Lead/Lag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69AB2-2D32-46ED-BB5A-A3AF7881231D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368e7c8-2de1-4fdc-90a9-bf3507435312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1B5EF0-2198-4E40-821B-4F2980FD9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121047-024F-47D3-A191-21898D137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C-1'!Print_Area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2018-09-27T17:03:49Z</dcterms:created>
  <dcterms:modified xsi:type="dcterms:W3CDTF">2019-02-13T21:02:22Z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0x0101008D3B746C1247F443A3BDE2867B3A7FD6</vt:lpwstr>
  </property>
</Properties>
</file>