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onnamullinax/ownCloud/Projects/KYOAG /To OAG 190115/Workpapers/"/>
    </mc:Choice>
  </mc:AlternateContent>
  <xr:revisionPtr revIDLastSave="0" documentId="13_ncr:1_{FEB5578C-9F44-B84A-A97A-10101B4D945C}" xr6:coauthVersionLast="40" xr6:coauthVersionMax="40" xr10:uidLastSave="{00000000-0000-0000-0000-000000000000}"/>
  <bookViews>
    <workbookView xWindow="0" yWindow="460" windowWidth="33600" windowHeight="20540" tabRatio="800" activeTab="7" xr2:uid="{00000000-000D-0000-FFFF-FFFF00000000}"/>
  </bookViews>
  <sheets>
    <sheet name="Tables" sheetId="215" r:id="rId1"/>
    <sheet name="Index" sheetId="121" r:id="rId2"/>
    <sheet name="Sch 1" sheetId="181" r:id="rId3"/>
    <sheet name="Sch 1.1" sheetId="8" r:id="rId4"/>
    <sheet name="Sch 1.2" sheetId="182" r:id="rId5"/>
    <sheet name="Sch 1.2.1" sheetId="282" r:id="rId6"/>
    <sheet name="Sch 2" sheetId="76" r:id="rId7"/>
    <sheet name="Sch 2.1" sheetId="146" r:id="rId8"/>
    <sheet name="Sch 3" sheetId="187" r:id="rId9"/>
    <sheet name="3.1 Slippage" sheetId="278" r:id="rId10"/>
    <sheet name="3.2" sheetId="289" r:id="rId11"/>
    <sheet name="3.3" sheetId="290" r:id="rId12"/>
    <sheet name="3.4" sheetId="291" r:id="rId13"/>
    <sheet name="3.5 CWC" sheetId="198" r:id="rId14"/>
    <sheet name="3.5.1 CWC WP" sheetId="287" r:id="rId15"/>
    <sheet name="3.5.1 WP Other O&amp;M Lead" sheetId="295" r:id="rId16"/>
    <sheet name="3.6 Late Pymt" sheetId="279" r:id="rId17"/>
    <sheet name="3.7 401(k)" sheetId="276" r:id="rId18"/>
    <sheet name="3.8 D&amp;O" sheetId="280" r:id="rId19"/>
    <sheet name="3.9 Dues" sheetId="285" r:id="rId20"/>
    <sheet name="3.10 Legal" sheetId="284" r:id="rId21"/>
    <sheet name="3.11 Rebate" sheetId="277" r:id="rId22"/>
    <sheet name="3.12 Econ Dev" sheetId="286" r:id="rId23"/>
    <sheet name="3.13 Ed" sheetId="283" r:id="rId24"/>
    <sheet name="3.14" sheetId="292" r:id="rId25"/>
    <sheet name="3.15 MMD" sheetId="281" r:id="rId26"/>
    <sheet name="3.16 Storm" sheetId="288" r:id="rId27"/>
    <sheet name="3.17 EDIT" sheetId="294" r:id="rId28"/>
    <sheet name="3.18 Int Sychn" sheetId="25" r:id="rId29"/>
    <sheet name="Template Exp" sheetId="161" state="hidden" r:id="rId30"/>
    <sheet name="Template RB-Exp" sheetId="243" state="hidden" r:id="rId31"/>
  </sheets>
  <externalReferences>
    <externalReference r:id="rId32"/>
  </externalReferences>
  <definedNames>
    <definedName name="A_Other_Benefits">#REF!</definedName>
    <definedName name="A_Payroll">#REF!</definedName>
    <definedName name="A_Public_Liability">#REF!</definedName>
    <definedName name="ColOff1">[1]Global!$B$24</definedName>
    <definedName name="DebtCost">[1]Global!$B$27</definedName>
    <definedName name="Debtpct">[1]Global!$B$28</definedName>
    <definedName name="EN">[1]Global!$B$6</definedName>
    <definedName name="_xlnm.Print_Area" localSheetId="9">'3.1 Slippage'!$A$1:$K$37</definedName>
    <definedName name="_xlnm.Print_Area" localSheetId="28">'3.18 Int Sychn'!$A$1:$K$36</definedName>
    <definedName name="_xlnm.Print_Area" localSheetId="13">'3.5 CWC'!$A$1:$Q$48</definedName>
    <definedName name="_xlnm.Print_Area" localSheetId="2">'Sch 1'!$A$1:$K$25</definedName>
    <definedName name="_xlnm.Print_Area" localSheetId="3">'Sch 1.1'!$A$1:$K$64</definedName>
    <definedName name="_xlnm.Print_Area" localSheetId="0">Tables!$B$8:$J$44</definedName>
    <definedName name="_xlnm.Print_Titles" localSheetId="1">Index!$8:$8</definedName>
    <definedName name="TargetROE">[1]Global!$B$32</definedName>
    <definedName name="TaxRate">[1]Global!$B$31</definedName>
    <definedName name="tblIndex">'[1]RR-Index'!$B$5:$H$61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3" i="198" l="1"/>
  <c r="J23" i="187" s="1"/>
  <c r="P33" i="198" l="1"/>
  <c r="H37" i="277"/>
  <c r="F37" i="277"/>
  <c r="J36" i="277"/>
  <c r="J35" i="277"/>
  <c r="AI13" i="187"/>
  <c r="J37" i="277" l="1"/>
  <c r="F38" i="277" s="1"/>
  <c r="F14" i="277" s="1"/>
  <c r="F15" i="277" s="1"/>
  <c r="H38" i="277" l="1"/>
  <c r="H15" i="285" l="1"/>
  <c r="H16" i="285"/>
  <c r="H17" i="285"/>
  <c r="H18" i="285"/>
  <c r="H19" i="285"/>
  <c r="F20" i="285"/>
  <c r="J27" i="198"/>
  <c r="J37" i="294"/>
  <c r="F37" i="294"/>
  <c r="F29" i="294"/>
  <c r="J29" i="294" s="1"/>
  <c r="J28" i="294"/>
  <c r="F30" i="294" l="1"/>
  <c r="H37" i="294"/>
  <c r="J30" i="294"/>
  <c r="F33" i="294"/>
  <c r="F39" i="294" s="1"/>
  <c r="H30" i="294" l="1"/>
  <c r="J33" i="294"/>
  <c r="H33" i="294" l="1"/>
  <c r="J39" i="294"/>
  <c r="H39" i="294" l="1"/>
  <c r="C32" i="215" l="1"/>
  <c r="C31" i="215"/>
  <c r="C30" i="215"/>
  <c r="C29" i="215"/>
  <c r="C27" i="215"/>
  <c r="C26" i="215"/>
  <c r="C25" i="215"/>
  <c r="C24" i="215"/>
  <c r="C23" i="215"/>
  <c r="C22" i="215"/>
  <c r="C21" i="215"/>
  <c r="C20" i="215"/>
  <c r="C19" i="215"/>
  <c r="C15" i="215"/>
  <c r="AO61" i="187"/>
  <c r="AO60" i="187"/>
  <c r="AO59" i="187"/>
  <c r="AG61" i="187"/>
  <c r="AG60" i="187"/>
  <c r="AG59" i="187"/>
  <c r="AQ13" i="187"/>
  <c r="AO13" i="187"/>
  <c r="AM13" i="187"/>
  <c r="AK13" i="187"/>
  <c r="AG13" i="187"/>
  <c r="L39" i="187"/>
  <c r="R62" i="187"/>
  <c r="R61" i="187"/>
  <c r="R60" i="187"/>
  <c r="R59" i="187"/>
  <c r="H62" i="187"/>
  <c r="H61" i="187"/>
  <c r="H60" i="187"/>
  <c r="V13" i="187"/>
  <c r="T13" i="187"/>
  <c r="R13" i="187"/>
  <c r="P13" i="187"/>
  <c r="N13" i="187"/>
  <c r="L13" i="187"/>
  <c r="J13" i="187"/>
  <c r="H13" i="187"/>
  <c r="AH72" i="287" l="1"/>
  <c r="Z72" i="287"/>
  <c r="AB72" i="287" s="1"/>
  <c r="AJ72" i="287" s="1"/>
  <c r="AH70" i="287"/>
  <c r="Z70" i="287"/>
  <c r="AB70" i="287" s="1"/>
  <c r="AH68" i="287"/>
  <c r="Z68" i="287"/>
  <c r="AB68" i="287" s="1"/>
  <c r="AH64" i="287"/>
  <c r="AB64" i="287"/>
  <c r="AH62" i="287"/>
  <c r="Z62" i="287"/>
  <c r="AB62" i="287" s="1"/>
  <c r="AH60" i="287"/>
  <c r="Z60" i="287"/>
  <c r="AB60" i="287" s="1"/>
  <c r="AJ60" i="287" s="1"/>
  <c r="AH58" i="287"/>
  <c r="Z58" i="287"/>
  <c r="AB58" i="287" s="1"/>
  <c r="AH56" i="287"/>
  <c r="Z56" i="287"/>
  <c r="AB56" i="287" s="1"/>
  <c r="AH54" i="287"/>
  <c r="Z54" i="287"/>
  <c r="AB54" i="287" s="1"/>
  <c r="AH52" i="287"/>
  <c r="AB52" i="287"/>
  <c r="X52" i="287"/>
  <c r="AH50" i="287"/>
  <c r="X50" i="287"/>
  <c r="Z50" i="287" s="1"/>
  <c r="AB50" i="287" s="1"/>
  <c r="AH48" i="287"/>
  <c r="Z48" i="287"/>
  <c r="AB48" i="287" s="1"/>
  <c r="V46" i="287"/>
  <c r="AH45" i="287"/>
  <c r="Z45" i="287"/>
  <c r="AB45" i="287" s="1"/>
  <c r="AH44" i="287"/>
  <c r="Z44" i="287"/>
  <c r="AB44" i="287" s="1"/>
  <c r="AH43" i="287"/>
  <c r="L24" i="198" s="1"/>
  <c r="Z43" i="287"/>
  <c r="V40" i="287"/>
  <c r="AH39" i="287"/>
  <c r="Z39" i="287"/>
  <c r="AB39" i="287" s="1"/>
  <c r="AH38" i="287"/>
  <c r="Z38" i="287"/>
  <c r="AB38" i="287" s="1"/>
  <c r="AJ38" i="287" s="1"/>
  <c r="AH37" i="287"/>
  <c r="Z37" i="287"/>
  <c r="AB37" i="287" s="1"/>
  <c r="V34" i="287"/>
  <c r="AH33" i="287"/>
  <c r="Z33" i="287"/>
  <c r="AB33" i="287" s="1"/>
  <c r="AH32" i="287"/>
  <c r="Z32" i="287"/>
  <c r="AB32" i="287" s="1"/>
  <c r="AJ32" i="287" s="1"/>
  <c r="AH31" i="287"/>
  <c r="Z31" i="287"/>
  <c r="AB31" i="287" s="1"/>
  <c r="AH30" i="287"/>
  <c r="L22" i="198" s="1"/>
  <c r="Z30" i="287"/>
  <c r="V27" i="287"/>
  <c r="Z26" i="287"/>
  <c r="AB26" i="287" s="1"/>
  <c r="AH25" i="287"/>
  <c r="Z25" i="287"/>
  <c r="AB25" i="287" s="1"/>
  <c r="AJ25" i="287" s="1"/>
  <c r="AH24" i="287"/>
  <c r="Z24" i="287"/>
  <c r="AB24" i="287" s="1"/>
  <c r="AH23" i="287"/>
  <c r="Z23" i="287"/>
  <c r="AB23" i="287" s="1"/>
  <c r="AH22" i="287"/>
  <c r="Z22" i="287"/>
  <c r="AB22" i="287" s="1"/>
  <c r="AH21" i="287"/>
  <c r="L17" i="198" s="1"/>
  <c r="Z21" i="287"/>
  <c r="AB21" i="287" s="1"/>
  <c r="AJ21" i="287" s="1"/>
  <c r="AH20" i="287"/>
  <c r="Z20" i="287"/>
  <c r="AB20" i="287" s="1"/>
  <c r="AH19" i="287"/>
  <c r="Z19" i="287"/>
  <c r="AB19" i="287" s="1"/>
  <c r="AH18" i="287"/>
  <c r="Z18" i="287"/>
  <c r="AB18" i="287" s="1"/>
  <c r="AH17" i="287"/>
  <c r="Z17" i="287"/>
  <c r="AB17" i="287" s="1"/>
  <c r="AJ17" i="287" s="1"/>
  <c r="AH16" i="287"/>
  <c r="Z16" i="287"/>
  <c r="AB16" i="287" s="1"/>
  <c r="AH15" i="287"/>
  <c r="Z15" i="287"/>
  <c r="AB15" i="287" s="1"/>
  <c r="AH14" i="287"/>
  <c r="Z14" i="287"/>
  <c r="AB14" i="287" s="1"/>
  <c r="AH13" i="287"/>
  <c r="Z13" i="287"/>
  <c r="AB13" i="287" s="1"/>
  <c r="AJ13" i="287" s="1"/>
  <c r="AH12" i="287"/>
  <c r="Z12" i="287"/>
  <c r="F51" i="198"/>
  <c r="J62" i="287"/>
  <c r="B5" i="295"/>
  <c r="L3" i="295"/>
  <c r="B3" i="295"/>
  <c r="B1" i="295"/>
  <c r="E393" i="295"/>
  <c r="J391" i="295"/>
  <c r="H391" i="295"/>
  <c r="K391" i="295" s="1"/>
  <c r="L391" i="295" s="1"/>
  <c r="N390" i="295"/>
  <c r="J390" i="295"/>
  <c r="O390" i="295" s="1"/>
  <c r="H390" i="295"/>
  <c r="J389" i="295"/>
  <c r="O389" i="295" s="1"/>
  <c r="H389" i="295"/>
  <c r="K389" i="295" s="1"/>
  <c r="L389" i="295" s="1"/>
  <c r="J388" i="295"/>
  <c r="O388" i="295" s="1"/>
  <c r="H388" i="295"/>
  <c r="N387" i="295"/>
  <c r="J387" i="295"/>
  <c r="O387" i="295" s="1"/>
  <c r="H387" i="295"/>
  <c r="J386" i="295"/>
  <c r="O386" i="295" s="1"/>
  <c r="H386" i="295"/>
  <c r="N385" i="295"/>
  <c r="K385" i="295"/>
  <c r="L385" i="295" s="1"/>
  <c r="J385" i="295"/>
  <c r="O385" i="295" s="1"/>
  <c r="H385" i="295"/>
  <c r="N384" i="295"/>
  <c r="P384" i="295" s="1"/>
  <c r="Q384" i="295" s="1"/>
  <c r="J384" i="295"/>
  <c r="O384" i="295" s="1"/>
  <c r="H384" i="295"/>
  <c r="K384" i="295" s="1"/>
  <c r="L384" i="295" s="1"/>
  <c r="N383" i="295"/>
  <c r="L383" i="295"/>
  <c r="K383" i="295"/>
  <c r="J383" i="295"/>
  <c r="O383" i="295" s="1"/>
  <c r="H383" i="295"/>
  <c r="J382" i="295"/>
  <c r="O382" i="295" s="1"/>
  <c r="H382" i="295"/>
  <c r="P381" i="295"/>
  <c r="Q381" i="295" s="1"/>
  <c r="O381" i="295"/>
  <c r="N381" i="295"/>
  <c r="J381" i="295"/>
  <c r="H381" i="295"/>
  <c r="N380" i="295"/>
  <c r="J380" i="295"/>
  <c r="O380" i="295" s="1"/>
  <c r="H380" i="295"/>
  <c r="N379" i="295"/>
  <c r="J379" i="295"/>
  <c r="O379" i="295" s="1"/>
  <c r="P379" i="295" s="1"/>
  <c r="Q379" i="295" s="1"/>
  <c r="H379" i="295"/>
  <c r="N378" i="295"/>
  <c r="J378" i="295"/>
  <c r="O378" i="295" s="1"/>
  <c r="H378" i="295"/>
  <c r="N377" i="295"/>
  <c r="J377" i="295"/>
  <c r="O377" i="295" s="1"/>
  <c r="H377" i="295"/>
  <c r="N376" i="295"/>
  <c r="J376" i="295"/>
  <c r="O376" i="295" s="1"/>
  <c r="H376" i="295"/>
  <c r="K376" i="295" s="1"/>
  <c r="L376" i="295" s="1"/>
  <c r="O375" i="295"/>
  <c r="N375" i="295"/>
  <c r="J375" i="295"/>
  <c r="H375" i="295"/>
  <c r="K375" i="295" s="1"/>
  <c r="L375" i="295" s="1"/>
  <c r="N374" i="295"/>
  <c r="J374" i="295"/>
  <c r="O374" i="295" s="1"/>
  <c r="H374" i="295"/>
  <c r="N373" i="295"/>
  <c r="P373" i="295" s="1"/>
  <c r="Q373" i="295" s="1"/>
  <c r="J373" i="295"/>
  <c r="O373" i="295" s="1"/>
  <c r="H373" i="295"/>
  <c r="P372" i="295"/>
  <c r="Q372" i="295" s="1"/>
  <c r="O372" i="295"/>
  <c r="N372" i="295"/>
  <c r="J372" i="295"/>
  <c r="H372" i="295"/>
  <c r="K372" i="295" s="1"/>
  <c r="L372" i="295" s="1"/>
  <c r="N371" i="295"/>
  <c r="J371" i="295"/>
  <c r="O371" i="295" s="1"/>
  <c r="H371" i="295"/>
  <c r="K371" i="295" s="1"/>
  <c r="L371" i="295" s="1"/>
  <c r="J370" i="295"/>
  <c r="O370" i="295" s="1"/>
  <c r="H370" i="295"/>
  <c r="N369" i="295"/>
  <c r="J369" i="295"/>
  <c r="O369" i="295" s="1"/>
  <c r="H369" i="295"/>
  <c r="N368" i="295"/>
  <c r="J368" i="295"/>
  <c r="O368" i="295" s="1"/>
  <c r="H368" i="295"/>
  <c r="K368" i="295" s="1"/>
  <c r="L368" i="295" s="1"/>
  <c r="J367" i="295"/>
  <c r="O367" i="295" s="1"/>
  <c r="H367" i="295"/>
  <c r="N367" i="295" s="1"/>
  <c r="O366" i="295"/>
  <c r="P366" i="295" s="1"/>
  <c r="Q366" i="295" s="1"/>
  <c r="N366" i="295"/>
  <c r="J366" i="295"/>
  <c r="H366" i="295"/>
  <c r="K366" i="295" s="1"/>
  <c r="L366" i="295" s="1"/>
  <c r="N365" i="295"/>
  <c r="J365" i="295"/>
  <c r="O365" i="295" s="1"/>
  <c r="P365" i="295" s="1"/>
  <c r="Q365" i="295" s="1"/>
  <c r="H365" i="295"/>
  <c r="K365" i="295" s="1"/>
  <c r="L365" i="295" s="1"/>
  <c r="N364" i="295"/>
  <c r="J364" i="295"/>
  <c r="O364" i="295" s="1"/>
  <c r="P364" i="295" s="1"/>
  <c r="Q364" i="295" s="1"/>
  <c r="H364" i="295"/>
  <c r="N363" i="295"/>
  <c r="J363" i="295"/>
  <c r="O363" i="295" s="1"/>
  <c r="H363" i="295"/>
  <c r="K363" i="295" s="1"/>
  <c r="L363" i="295" s="1"/>
  <c r="N362" i="295"/>
  <c r="P362" i="295" s="1"/>
  <c r="Q362" i="295" s="1"/>
  <c r="J362" i="295"/>
  <c r="O362" i="295" s="1"/>
  <c r="H362" i="295"/>
  <c r="N361" i="295"/>
  <c r="J361" i="295"/>
  <c r="H361" i="295"/>
  <c r="J360" i="295"/>
  <c r="O360" i="295" s="1"/>
  <c r="H360" i="295"/>
  <c r="N360" i="295" s="1"/>
  <c r="J359" i="295"/>
  <c r="O359" i="295" s="1"/>
  <c r="H359" i="295"/>
  <c r="O358" i="295"/>
  <c r="N358" i="295"/>
  <c r="J358" i="295"/>
  <c r="H358" i="295"/>
  <c r="K358" i="295" s="1"/>
  <c r="L358" i="295" s="1"/>
  <c r="N357" i="295"/>
  <c r="J357" i="295"/>
  <c r="O357" i="295" s="1"/>
  <c r="P357" i="295" s="1"/>
  <c r="Q357" i="295" s="1"/>
  <c r="H357" i="295"/>
  <c r="K357" i="295" s="1"/>
  <c r="L357" i="295" s="1"/>
  <c r="O356" i="295"/>
  <c r="N356" i="295"/>
  <c r="P356" i="295" s="1"/>
  <c r="Q356" i="295" s="1"/>
  <c r="J356" i="295"/>
  <c r="H356" i="295"/>
  <c r="K356" i="295" s="1"/>
  <c r="L356" i="295" s="1"/>
  <c r="N355" i="295"/>
  <c r="J355" i="295"/>
  <c r="O355" i="295" s="1"/>
  <c r="H355" i="295"/>
  <c r="N354" i="295"/>
  <c r="J354" i="295"/>
  <c r="O354" i="295" s="1"/>
  <c r="H354" i="295"/>
  <c r="J353" i="295"/>
  <c r="O353" i="295" s="1"/>
  <c r="H353" i="295"/>
  <c r="N353" i="295" s="1"/>
  <c r="N352" i="295"/>
  <c r="K352" i="295"/>
  <c r="L352" i="295" s="1"/>
  <c r="J352" i="295"/>
  <c r="O352" i="295" s="1"/>
  <c r="H352" i="295"/>
  <c r="N351" i="295"/>
  <c r="J351" i="295"/>
  <c r="O351" i="295" s="1"/>
  <c r="H351" i="295"/>
  <c r="O350" i="295"/>
  <c r="N350" i="295"/>
  <c r="P350" i="295" s="1"/>
  <c r="Q350" i="295" s="1"/>
  <c r="J350" i="295"/>
  <c r="H350" i="295"/>
  <c r="K350" i="295" s="1"/>
  <c r="L350" i="295" s="1"/>
  <c r="N349" i="295"/>
  <c r="J349" i="295"/>
  <c r="O349" i="295" s="1"/>
  <c r="P349" i="295" s="1"/>
  <c r="Q349" i="295" s="1"/>
  <c r="H349" i="295"/>
  <c r="N348" i="295"/>
  <c r="J348" i="295"/>
  <c r="O348" i="295" s="1"/>
  <c r="H348" i="295"/>
  <c r="K348" i="295" s="1"/>
  <c r="L348" i="295" s="1"/>
  <c r="J347" i="295"/>
  <c r="O347" i="295" s="1"/>
  <c r="H347" i="295"/>
  <c r="J346" i="295"/>
  <c r="O346" i="295" s="1"/>
  <c r="H346" i="295"/>
  <c r="N345" i="295"/>
  <c r="J345" i="295"/>
  <c r="O345" i="295" s="1"/>
  <c r="H345" i="295"/>
  <c r="K345" i="295" s="1"/>
  <c r="L345" i="295" s="1"/>
  <c r="N344" i="295"/>
  <c r="P344" i="295" s="1"/>
  <c r="Q344" i="295" s="1"/>
  <c r="J344" i="295"/>
  <c r="O344" i="295" s="1"/>
  <c r="H344" i="295"/>
  <c r="K344" i="295" s="1"/>
  <c r="L344" i="295" s="1"/>
  <c r="O343" i="295"/>
  <c r="N343" i="295"/>
  <c r="L343" i="295"/>
  <c r="K343" i="295"/>
  <c r="J343" i="295"/>
  <c r="H343" i="295"/>
  <c r="N342" i="295"/>
  <c r="J342" i="295"/>
  <c r="O342" i="295" s="1"/>
  <c r="H342" i="295"/>
  <c r="O341" i="295"/>
  <c r="N341" i="295"/>
  <c r="J341" i="295"/>
  <c r="H341" i="295"/>
  <c r="N340" i="295"/>
  <c r="P340" i="295" s="1"/>
  <c r="Q340" i="295" s="1"/>
  <c r="J340" i="295"/>
  <c r="O340" i="295" s="1"/>
  <c r="H340" i="295"/>
  <c r="K340" i="295" s="1"/>
  <c r="L340" i="295" s="1"/>
  <c r="N339" i="295"/>
  <c r="J339" i="295"/>
  <c r="O339" i="295" s="1"/>
  <c r="H339" i="295"/>
  <c r="N338" i="295"/>
  <c r="J338" i="295"/>
  <c r="O338" i="295" s="1"/>
  <c r="H338" i="295"/>
  <c r="N337" i="295"/>
  <c r="J337" i="295"/>
  <c r="O337" i="295" s="1"/>
  <c r="H337" i="295"/>
  <c r="N336" i="295"/>
  <c r="J336" i="295"/>
  <c r="O336" i="295" s="1"/>
  <c r="H336" i="295"/>
  <c r="K336" i="295" s="1"/>
  <c r="L336" i="295" s="1"/>
  <c r="O335" i="295"/>
  <c r="N335" i="295"/>
  <c r="J335" i="295"/>
  <c r="K335" i="295" s="1"/>
  <c r="L335" i="295" s="1"/>
  <c r="H335" i="295"/>
  <c r="N334" i="295"/>
  <c r="J334" i="295"/>
  <c r="O334" i="295" s="1"/>
  <c r="H334" i="295"/>
  <c r="N333" i="295"/>
  <c r="J333" i="295"/>
  <c r="O333" i="295" s="1"/>
  <c r="H333" i="295"/>
  <c r="K333" i="295" s="1"/>
  <c r="L333" i="295" s="1"/>
  <c r="O332" i="295"/>
  <c r="N332" i="295"/>
  <c r="P332" i="295" s="1"/>
  <c r="Q332" i="295" s="1"/>
  <c r="J332" i="295"/>
  <c r="H332" i="295"/>
  <c r="J331" i="295"/>
  <c r="O331" i="295" s="1"/>
  <c r="H331" i="295"/>
  <c r="N330" i="295"/>
  <c r="J330" i="295"/>
  <c r="O330" i="295" s="1"/>
  <c r="H330" i="295"/>
  <c r="K330" i="295" s="1"/>
  <c r="L330" i="295" s="1"/>
  <c r="N329" i="295"/>
  <c r="P329" i="295" s="1"/>
  <c r="Q329" i="295" s="1"/>
  <c r="J329" i="295"/>
  <c r="O329" i="295" s="1"/>
  <c r="H329" i="295"/>
  <c r="N328" i="295"/>
  <c r="J328" i="295"/>
  <c r="O328" i="295" s="1"/>
  <c r="H328" i="295"/>
  <c r="K328" i="295" s="1"/>
  <c r="L328" i="295" s="1"/>
  <c r="O327" i="295"/>
  <c r="N327" i="295"/>
  <c r="P327" i="295" s="1"/>
  <c r="Q327" i="295" s="1"/>
  <c r="J327" i="295"/>
  <c r="H327" i="295"/>
  <c r="K327" i="295" s="1"/>
  <c r="L327" i="295" s="1"/>
  <c r="N326" i="295"/>
  <c r="P326" i="295" s="1"/>
  <c r="Q326" i="295" s="1"/>
  <c r="J326" i="295"/>
  <c r="O326" i="295" s="1"/>
  <c r="H326" i="295"/>
  <c r="N325" i="295"/>
  <c r="J325" i="295"/>
  <c r="H325" i="295"/>
  <c r="O324" i="295"/>
  <c r="N324" i="295"/>
  <c r="P324" i="295" s="1"/>
  <c r="Q324" i="295" s="1"/>
  <c r="J324" i="295"/>
  <c r="H324" i="295"/>
  <c r="J323" i="295"/>
  <c r="O323" i="295" s="1"/>
  <c r="H323" i="295"/>
  <c r="J322" i="295"/>
  <c r="O322" i="295" s="1"/>
  <c r="H322" i="295"/>
  <c r="N322" i="295" s="1"/>
  <c r="J321" i="295"/>
  <c r="O321" i="295" s="1"/>
  <c r="H321" i="295"/>
  <c r="N321" i="295" s="1"/>
  <c r="J320" i="295"/>
  <c r="O320" i="295" s="1"/>
  <c r="H320" i="295"/>
  <c r="N320" i="295" s="1"/>
  <c r="P320" i="295" s="1"/>
  <c r="Q320" i="295" s="1"/>
  <c r="O319" i="295"/>
  <c r="N319" i="295"/>
  <c r="J319" i="295"/>
  <c r="K319" i="295" s="1"/>
  <c r="L319" i="295" s="1"/>
  <c r="H319" i="295"/>
  <c r="J318" i="295"/>
  <c r="O318" i="295" s="1"/>
  <c r="H318" i="295"/>
  <c r="N317" i="295"/>
  <c r="J317" i="295"/>
  <c r="K317" i="295" s="1"/>
  <c r="L317" i="295" s="1"/>
  <c r="H317" i="295"/>
  <c r="O316" i="295"/>
  <c r="J316" i="295"/>
  <c r="H316" i="295"/>
  <c r="J315" i="295"/>
  <c r="O315" i="295" s="1"/>
  <c r="H315" i="295"/>
  <c r="J314" i="295"/>
  <c r="O314" i="295" s="1"/>
  <c r="H314" i="295"/>
  <c r="N314" i="295" s="1"/>
  <c r="J313" i="295"/>
  <c r="O313" i="295" s="1"/>
  <c r="H313" i="295"/>
  <c r="N312" i="295"/>
  <c r="P312" i="295" s="1"/>
  <c r="Q312" i="295" s="1"/>
  <c r="J312" i="295"/>
  <c r="O312" i="295" s="1"/>
  <c r="H312" i="295"/>
  <c r="K312" i="295" s="1"/>
  <c r="L312" i="295" s="1"/>
  <c r="N311" i="295"/>
  <c r="J311" i="295"/>
  <c r="O311" i="295" s="1"/>
  <c r="H311" i="295"/>
  <c r="J310" i="295"/>
  <c r="O310" i="295" s="1"/>
  <c r="H310" i="295"/>
  <c r="K310" i="295" s="1"/>
  <c r="L310" i="295" s="1"/>
  <c r="O309" i="295"/>
  <c r="N309" i="295"/>
  <c r="P309" i="295" s="1"/>
  <c r="Q309" i="295" s="1"/>
  <c r="J309" i="295"/>
  <c r="K309" i="295" s="1"/>
  <c r="L309" i="295" s="1"/>
  <c r="H309" i="295"/>
  <c r="O308" i="295"/>
  <c r="J308" i="295"/>
  <c r="H308" i="295"/>
  <c r="J307" i="295"/>
  <c r="O307" i="295" s="1"/>
  <c r="H307" i="295"/>
  <c r="J306" i="295"/>
  <c r="O306" i="295" s="1"/>
  <c r="H306" i="295"/>
  <c r="N306" i="295" s="1"/>
  <c r="J305" i="295"/>
  <c r="O305" i="295" s="1"/>
  <c r="H305" i="295"/>
  <c r="N305" i="295" s="1"/>
  <c r="J304" i="295"/>
  <c r="O304" i="295" s="1"/>
  <c r="H304" i="295"/>
  <c r="N303" i="295"/>
  <c r="J303" i="295"/>
  <c r="O303" i="295" s="1"/>
  <c r="H303" i="295"/>
  <c r="O302" i="295"/>
  <c r="N302" i="295"/>
  <c r="J302" i="295"/>
  <c r="H302" i="295"/>
  <c r="J301" i="295"/>
  <c r="H301" i="295"/>
  <c r="N301" i="295" s="1"/>
  <c r="O300" i="295"/>
  <c r="J300" i="295"/>
  <c r="H300" i="295"/>
  <c r="J299" i="295"/>
  <c r="O299" i="295" s="1"/>
  <c r="H299" i="295"/>
  <c r="J298" i="295"/>
  <c r="O298" i="295" s="1"/>
  <c r="H298" i="295"/>
  <c r="N298" i="295" s="1"/>
  <c r="O297" i="295"/>
  <c r="J297" i="295"/>
  <c r="H297" i="295"/>
  <c r="N297" i="295" s="1"/>
  <c r="J296" i="295"/>
  <c r="H296" i="295"/>
  <c r="N296" i="295" s="1"/>
  <c r="O295" i="295"/>
  <c r="N295" i="295"/>
  <c r="J295" i="295"/>
  <c r="H295" i="295"/>
  <c r="K295" i="295" s="1"/>
  <c r="L295" i="295" s="1"/>
  <c r="N294" i="295"/>
  <c r="J294" i="295"/>
  <c r="O294" i="295" s="1"/>
  <c r="H294" i="295"/>
  <c r="K294" i="295" s="1"/>
  <c r="L294" i="295" s="1"/>
  <c r="N293" i="295"/>
  <c r="J293" i="295"/>
  <c r="O293" i="295" s="1"/>
  <c r="H293" i="295"/>
  <c r="K293" i="295" s="1"/>
  <c r="L293" i="295" s="1"/>
  <c r="P292" i="295"/>
  <c r="Q292" i="295" s="1"/>
  <c r="O292" i="295"/>
  <c r="J292" i="295"/>
  <c r="H292" i="295"/>
  <c r="N292" i="295" s="1"/>
  <c r="O291" i="295"/>
  <c r="J291" i="295"/>
  <c r="H291" i="295"/>
  <c r="K291" i="295" s="1"/>
  <c r="L291" i="295" s="1"/>
  <c r="J290" i="295"/>
  <c r="O290" i="295" s="1"/>
  <c r="H290" i="295"/>
  <c r="N290" i="295" s="1"/>
  <c r="P290" i="295" s="1"/>
  <c r="Q290" i="295" s="1"/>
  <c r="J289" i="295"/>
  <c r="O289" i="295" s="1"/>
  <c r="P289" i="295" s="1"/>
  <c r="Q289" i="295" s="1"/>
  <c r="H289" i="295"/>
  <c r="N289" i="295" s="1"/>
  <c r="J288" i="295"/>
  <c r="O288" i="295" s="1"/>
  <c r="H288" i="295"/>
  <c r="N288" i="295" s="1"/>
  <c r="J287" i="295"/>
  <c r="O287" i="295" s="1"/>
  <c r="H287" i="295"/>
  <c r="N287" i="295" s="1"/>
  <c r="J286" i="295"/>
  <c r="O286" i="295" s="1"/>
  <c r="H286" i="295"/>
  <c r="N286" i="295" s="1"/>
  <c r="P286" i="295" s="1"/>
  <c r="Q286" i="295" s="1"/>
  <c r="J285" i="295"/>
  <c r="O285" i="295" s="1"/>
  <c r="H285" i="295"/>
  <c r="N284" i="295"/>
  <c r="J284" i="295"/>
  <c r="O284" i="295" s="1"/>
  <c r="P284" i="295" s="1"/>
  <c r="Q284" i="295" s="1"/>
  <c r="H284" i="295"/>
  <c r="K284" i="295" s="1"/>
  <c r="L284" i="295" s="1"/>
  <c r="N283" i="295"/>
  <c r="J283" i="295"/>
  <c r="O283" i="295" s="1"/>
  <c r="H283" i="295"/>
  <c r="K283" i="295" s="1"/>
  <c r="L283" i="295" s="1"/>
  <c r="N282" i="295"/>
  <c r="K282" i="295"/>
  <c r="L282" i="295" s="1"/>
  <c r="J282" i="295"/>
  <c r="O282" i="295" s="1"/>
  <c r="H282" i="295"/>
  <c r="N281" i="295"/>
  <c r="J281" i="295"/>
  <c r="O281" i="295" s="1"/>
  <c r="H281" i="295"/>
  <c r="K281" i="295" s="1"/>
  <c r="L281" i="295" s="1"/>
  <c r="N280" i="295"/>
  <c r="J280" i="295"/>
  <c r="H280" i="295"/>
  <c r="J279" i="295"/>
  <c r="O279" i="295" s="1"/>
  <c r="H279" i="295"/>
  <c r="N279" i="295" s="1"/>
  <c r="J278" i="295"/>
  <c r="O278" i="295" s="1"/>
  <c r="H278" i="295"/>
  <c r="N278" i="295" s="1"/>
  <c r="P278" i="295" s="1"/>
  <c r="Q278" i="295" s="1"/>
  <c r="J277" i="295"/>
  <c r="O277" i="295" s="1"/>
  <c r="H277" i="295"/>
  <c r="J276" i="295"/>
  <c r="O276" i="295" s="1"/>
  <c r="H276" i="295"/>
  <c r="J275" i="295"/>
  <c r="O275" i="295" s="1"/>
  <c r="H275" i="295"/>
  <c r="N275" i="295" s="1"/>
  <c r="O274" i="295"/>
  <c r="N274" i="295"/>
  <c r="J274" i="295"/>
  <c r="H274" i="295"/>
  <c r="K274" i="295" s="1"/>
  <c r="L274" i="295" s="1"/>
  <c r="J273" i="295"/>
  <c r="O273" i="295" s="1"/>
  <c r="H273" i="295"/>
  <c r="O272" i="295"/>
  <c r="J272" i="295"/>
  <c r="H272" i="295"/>
  <c r="N272" i="295" s="1"/>
  <c r="J271" i="295"/>
  <c r="O271" i="295" s="1"/>
  <c r="H271" i="295"/>
  <c r="N271" i="295" s="1"/>
  <c r="J270" i="295"/>
  <c r="O270" i="295" s="1"/>
  <c r="H270" i="295"/>
  <c r="N270" i="295" s="1"/>
  <c r="P270" i="295" s="1"/>
  <c r="Q270" i="295" s="1"/>
  <c r="J269" i="295"/>
  <c r="O269" i="295" s="1"/>
  <c r="H269" i="295"/>
  <c r="J268" i="295"/>
  <c r="O268" i="295" s="1"/>
  <c r="H268" i="295"/>
  <c r="N268" i="295" s="1"/>
  <c r="J267" i="295"/>
  <c r="O267" i="295" s="1"/>
  <c r="H267" i="295"/>
  <c r="N267" i="295" s="1"/>
  <c r="O266" i="295"/>
  <c r="J266" i="295"/>
  <c r="H266" i="295"/>
  <c r="N266" i="295" s="1"/>
  <c r="P266" i="295" s="1"/>
  <c r="Q266" i="295" s="1"/>
  <c r="N265" i="295"/>
  <c r="J265" i="295"/>
  <c r="O265" i="295" s="1"/>
  <c r="H265" i="295"/>
  <c r="N264" i="295"/>
  <c r="J264" i="295"/>
  <c r="O264" i="295" s="1"/>
  <c r="H264" i="295"/>
  <c r="O263" i="295"/>
  <c r="J263" i="295"/>
  <c r="H263" i="295"/>
  <c r="N263" i="295" s="1"/>
  <c r="J262" i="295"/>
  <c r="O262" i="295" s="1"/>
  <c r="H262" i="295"/>
  <c r="J261" i="295"/>
  <c r="O261" i="295" s="1"/>
  <c r="H261" i="295"/>
  <c r="J260" i="295"/>
  <c r="O260" i="295" s="1"/>
  <c r="H260" i="295"/>
  <c r="N260" i="295" s="1"/>
  <c r="J259" i="295"/>
  <c r="O259" i="295" s="1"/>
  <c r="H259" i="295"/>
  <c r="N259" i="295" s="1"/>
  <c r="N258" i="295"/>
  <c r="P258" i="295" s="1"/>
  <c r="Q258" i="295" s="1"/>
  <c r="K258" i="295"/>
  <c r="L258" i="295" s="1"/>
  <c r="J258" i="295"/>
  <c r="O258" i="295" s="1"/>
  <c r="H258" i="295"/>
  <c r="N257" i="295"/>
  <c r="J257" i="295"/>
  <c r="O257" i="295" s="1"/>
  <c r="H257" i="295"/>
  <c r="O256" i="295"/>
  <c r="N256" i="295"/>
  <c r="P256" i="295" s="1"/>
  <c r="Q256" i="295" s="1"/>
  <c r="J256" i="295"/>
  <c r="H256" i="295"/>
  <c r="K256" i="295" s="1"/>
  <c r="L256" i="295" s="1"/>
  <c r="J255" i="295"/>
  <c r="O255" i="295" s="1"/>
  <c r="H255" i="295"/>
  <c r="J254" i="295"/>
  <c r="O254" i="295" s="1"/>
  <c r="H254" i="295"/>
  <c r="J253" i="295"/>
  <c r="O253" i="295" s="1"/>
  <c r="H253" i="295"/>
  <c r="N252" i="295"/>
  <c r="J252" i="295"/>
  <c r="O252" i="295" s="1"/>
  <c r="P252" i="295" s="1"/>
  <c r="Q252" i="295" s="1"/>
  <c r="H252" i="295"/>
  <c r="K252" i="295" s="1"/>
  <c r="L252" i="295" s="1"/>
  <c r="J251" i="295"/>
  <c r="O251" i="295" s="1"/>
  <c r="H251" i="295"/>
  <c r="N251" i="295" s="1"/>
  <c r="O250" i="295"/>
  <c r="K250" i="295"/>
  <c r="L250" i="295" s="1"/>
  <c r="J250" i="295"/>
  <c r="H250" i="295"/>
  <c r="N250" i="295" s="1"/>
  <c r="P250" i="295" s="1"/>
  <c r="Q250" i="295" s="1"/>
  <c r="N249" i="295"/>
  <c r="J249" i="295"/>
  <c r="O249" i="295" s="1"/>
  <c r="H249" i="295"/>
  <c r="O248" i="295"/>
  <c r="N248" i="295"/>
  <c r="P248" i="295" s="1"/>
  <c r="Q248" i="295" s="1"/>
  <c r="J248" i="295"/>
  <c r="H248" i="295"/>
  <c r="K248" i="295" s="1"/>
  <c r="L248" i="295" s="1"/>
  <c r="K247" i="295"/>
  <c r="L247" i="295" s="1"/>
  <c r="J247" i="295"/>
  <c r="O247" i="295" s="1"/>
  <c r="P247" i="295" s="1"/>
  <c r="Q247" i="295" s="1"/>
  <c r="H247" i="295"/>
  <c r="N247" i="295" s="1"/>
  <c r="J246" i="295"/>
  <c r="O246" i="295" s="1"/>
  <c r="H246" i="295"/>
  <c r="K246" i="295" s="1"/>
  <c r="L246" i="295" s="1"/>
  <c r="N245" i="295"/>
  <c r="P245" i="295" s="1"/>
  <c r="Q245" i="295" s="1"/>
  <c r="J245" i="295"/>
  <c r="O245" i="295" s="1"/>
  <c r="H245" i="295"/>
  <c r="J244" i="295"/>
  <c r="O244" i="295" s="1"/>
  <c r="H244" i="295"/>
  <c r="N244" i="295" s="1"/>
  <c r="J243" i="295"/>
  <c r="H243" i="295"/>
  <c r="N243" i="295" s="1"/>
  <c r="O242" i="295"/>
  <c r="J242" i="295"/>
  <c r="H242" i="295"/>
  <c r="J241" i="295"/>
  <c r="O241" i="295" s="1"/>
  <c r="H241" i="295"/>
  <c r="J240" i="295"/>
  <c r="H240" i="295"/>
  <c r="N240" i="295" s="1"/>
  <c r="J239" i="295"/>
  <c r="O239" i="295" s="1"/>
  <c r="P239" i="295" s="1"/>
  <c r="Q239" i="295" s="1"/>
  <c r="H239" i="295"/>
  <c r="N239" i="295" s="1"/>
  <c r="J238" i="295"/>
  <c r="O238" i="295" s="1"/>
  <c r="H238" i="295"/>
  <c r="J237" i="295"/>
  <c r="O237" i="295" s="1"/>
  <c r="H237" i="295"/>
  <c r="J236" i="295"/>
  <c r="O236" i="295" s="1"/>
  <c r="H236" i="295"/>
  <c r="N235" i="295"/>
  <c r="P235" i="295" s="1"/>
  <c r="Q235" i="295" s="1"/>
  <c r="L235" i="295"/>
  <c r="J235" i="295"/>
  <c r="O235" i="295" s="1"/>
  <c r="H235" i="295"/>
  <c r="K235" i="295" s="1"/>
  <c r="J234" i="295"/>
  <c r="O234" i="295" s="1"/>
  <c r="H234" i="295"/>
  <c r="N234" i="295" s="1"/>
  <c r="O233" i="295"/>
  <c r="J233" i="295"/>
  <c r="H233" i="295"/>
  <c r="N232" i="295"/>
  <c r="J232" i="295"/>
  <c r="H232" i="295"/>
  <c r="J231" i="295"/>
  <c r="O231" i="295" s="1"/>
  <c r="H231" i="295"/>
  <c r="N231" i="295" s="1"/>
  <c r="J230" i="295"/>
  <c r="O230" i="295" s="1"/>
  <c r="H230" i="295"/>
  <c r="K230" i="295" s="1"/>
  <c r="L230" i="295" s="1"/>
  <c r="J229" i="295"/>
  <c r="O229" i="295" s="1"/>
  <c r="H229" i="295"/>
  <c r="N229" i="295" s="1"/>
  <c r="J228" i="295"/>
  <c r="O228" i="295" s="1"/>
  <c r="H228" i="295"/>
  <c r="N227" i="295"/>
  <c r="J227" i="295"/>
  <c r="H227" i="295"/>
  <c r="J226" i="295"/>
  <c r="O226" i="295" s="1"/>
  <c r="H226" i="295"/>
  <c r="J225" i="295"/>
  <c r="O225" i="295" s="1"/>
  <c r="H225" i="295"/>
  <c r="J224" i="295"/>
  <c r="O224" i="295" s="1"/>
  <c r="H224" i="295"/>
  <c r="J223" i="295"/>
  <c r="O223" i="295" s="1"/>
  <c r="H223" i="295"/>
  <c r="N223" i="295" s="1"/>
  <c r="P223" i="295" s="1"/>
  <c r="Q223" i="295" s="1"/>
  <c r="J222" i="295"/>
  <c r="O222" i="295" s="1"/>
  <c r="H222" i="295"/>
  <c r="O221" i="295"/>
  <c r="N221" i="295"/>
  <c r="P221" i="295" s="1"/>
  <c r="Q221" i="295" s="1"/>
  <c r="J221" i="295"/>
  <c r="H221" i="295"/>
  <c r="K221" i="295" s="1"/>
  <c r="L221" i="295" s="1"/>
  <c r="O220" i="295"/>
  <c r="J220" i="295"/>
  <c r="H220" i="295"/>
  <c r="N219" i="295"/>
  <c r="P219" i="295" s="1"/>
  <c r="Q219" i="295" s="1"/>
  <c r="J219" i="295"/>
  <c r="O219" i="295" s="1"/>
  <c r="H219" i="295"/>
  <c r="O218" i="295"/>
  <c r="J218" i="295"/>
  <c r="H218" i="295"/>
  <c r="P217" i="295"/>
  <c r="Q217" i="295" s="1"/>
  <c r="N217" i="295"/>
  <c r="J217" i="295"/>
  <c r="O217" i="295" s="1"/>
  <c r="H217" i="295"/>
  <c r="N216" i="295"/>
  <c r="P216" i="295" s="1"/>
  <c r="Q216" i="295" s="1"/>
  <c r="K216" i="295"/>
  <c r="L216" i="295" s="1"/>
  <c r="J216" i="295"/>
  <c r="O216" i="295" s="1"/>
  <c r="H216" i="295"/>
  <c r="O215" i="295"/>
  <c r="J215" i="295"/>
  <c r="H215" i="295"/>
  <c r="J214" i="295"/>
  <c r="O214" i="295" s="1"/>
  <c r="H214" i="295"/>
  <c r="J213" i="295"/>
  <c r="O213" i="295" s="1"/>
  <c r="H213" i="295"/>
  <c r="N213" i="295" s="1"/>
  <c r="J212" i="295"/>
  <c r="O212" i="295" s="1"/>
  <c r="H212" i="295"/>
  <c r="N212" i="295" s="1"/>
  <c r="J211" i="295"/>
  <c r="H211" i="295"/>
  <c r="N211" i="295" s="1"/>
  <c r="O210" i="295"/>
  <c r="N210" i="295"/>
  <c r="P210" i="295" s="1"/>
  <c r="Q210" i="295" s="1"/>
  <c r="J210" i="295"/>
  <c r="K210" i="295" s="1"/>
  <c r="L210" i="295" s="1"/>
  <c r="H210" i="295"/>
  <c r="N209" i="295"/>
  <c r="P209" i="295" s="1"/>
  <c r="Q209" i="295" s="1"/>
  <c r="L209" i="295"/>
  <c r="J209" i="295"/>
  <c r="O209" i="295" s="1"/>
  <c r="H209" i="295"/>
  <c r="K209" i="295" s="1"/>
  <c r="O208" i="295"/>
  <c r="N208" i="295"/>
  <c r="J208" i="295"/>
  <c r="H208" i="295"/>
  <c r="K208" i="295" s="1"/>
  <c r="L208" i="295" s="1"/>
  <c r="O207" i="295"/>
  <c r="J207" i="295"/>
  <c r="H207" i="295"/>
  <c r="N206" i="295"/>
  <c r="J206" i="295"/>
  <c r="O206" i="295" s="1"/>
  <c r="H206" i="295"/>
  <c r="K206" i="295" s="1"/>
  <c r="L206" i="295" s="1"/>
  <c r="J205" i="295"/>
  <c r="O205" i="295" s="1"/>
  <c r="H205" i="295"/>
  <c r="N204" i="295"/>
  <c r="J204" i="295"/>
  <c r="O204" i="295" s="1"/>
  <c r="P204" i="295" s="1"/>
  <c r="Q204" i="295" s="1"/>
  <c r="H204" i="295"/>
  <c r="N203" i="295"/>
  <c r="J203" i="295"/>
  <c r="O203" i="295" s="1"/>
  <c r="H203" i="295"/>
  <c r="O202" i="295"/>
  <c r="K202" i="295"/>
  <c r="L202" i="295" s="1"/>
  <c r="J202" i="295"/>
  <c r="H202" i="295"/>
  <c r="N202" i="295" s="1"/>
  <c r="N201" i="295"/>
  <c r="J201" i="295"/>
  <c r="O201" i="295" s="1"/>
  <c r="H201" i="295"/>
  <c r="N200" i="295"/>
  <c r="J200" i="295"/>
  <c r="O200" i="295" s="1"/>
  <c r="H200" i="295"/>
  <c r="J199" i="295"/>
  <c r="O199" i="295" s="1"/>
  <c r="H199" i="295"/>
  <c r="N198" i="295"/>
  <c r="J198" i="295"/>
  <c r="O198" i="295" s="1"/>
  <c r="P198" i="295" s="1"/>
  <c r="Q198" i="295" s="1"/>
  <c r="H198" i="295"/>
  <c r="J197" i="295"/>
  <c r="O197" i="295" s="1"/>
  <c r="H197" i="295"/>
  <c r="N197" i="295" s="1"/>
  <c r="N196" i="295"/>
  <c r="J196" i="295"/>
  <c r="O196" i="295" s="1"/>
  <c r="P196" i="295" s="1"/>
  <c r="Q196" i="295" s="1"/>
  <c r="H196" i="295"/>
  <c r="N195" i="295"/>
  <c r="J195" i="295"/>
  <c r="O195" i="295" s="1"/>
  <c r="H195" i="295"/>
  <c r="N194" i="295"/>
  <c r="J194" i="295"/>
  <c r="O194" i="295" s="1"/>
  <c r="H194" i="295"/>
  <c r="N193" i="295"/>
  <c r="J193" i="295"/>
  <c r="O193" i="295" s="1"/>
  <c r="H193" i="295"/>
  <c r="O192" i="295"/>
  <c r="N192" i="295"/>
  <c r="J192" i="295"/>
  <c r="H192" i="295"/>
  <c r="K192" i="295" s="1"/>
  <c r="L192" i="295" s="1"/>
  <c r="J191" i="295"/>
  <c r="O191" i="295" s="1"/>
  <c r="H191" i="295"/>
  <c r="J190" i="295"/>
  <c r="O190" i="295" s="1"/>
  <c r="H190" i="295"/>
  <c r="J189" i="295"/>
  <c r="O189" i="295" s="1"/>
  <c r="H189" i="295"/>
  <c r="J188" i="295"/>
  <c r="O188" i="295" s="1"/>
  <c r="H188" i="295"/>
  <c r="N188" i="295" s="1"/>
  <c r="N187" i="295"/>
  <c r="P187" i="295" s="1"/>
  <c r="Q187" i="295" s="1"/>
  <c r="J187" i="295"/>
  <c r="O187" i="295" s="1"/>
  <c r="H187" i="295"/>
  <c r="K187" i="295" s="1"/>
  <c r="L187" i="295" s="1"/>
  <c r="N186" i="295"/>
  <c r="J186" i="295"/>
  <c r="O186" i="295" s="1"/>
  <c r="H186" i="295"/>
  <c r="K186" i="295" s="1"/>
  <c r="L186" i="295" s="1"/>
  <c r="O185" i="295"/>
  <c r="J185" i="295"/>
  <c r="H185" i="295"/>
  <c r="O184" i="295"/>
  <c r="J184" i="295"/>
  <c r="K184" i="295" s="1"/>
  <c r="L184" i="295" s="1"/>
  <c r="H184" i="295"/>
  <c r="N184" i="295" s="1"/>
  <c r="P184" i="295" s="1"/>
  <c r="Q184" i="295" s="1"/>
  <c r="O183" i="295"/>
  <c r="P183" i="295" s="1"/>
  <c r="Q183" i="295" s="1"/>
  <c r="J183" i="295"/>
  <c r="H183" i="295"/>
  <c r="N183" i="295" s="1"/>
  <c r="L182" i="295"/>
  <c r="J182" i="295"/>
  <c r="O182" i="295" s="1"/>
  <c r="H182" i="295"/>
  <c r="K182" i="295" s="1"/>
  <c r="J181" i="295"/>
  <c r="O181" i="295" s="1"/>
  <c r="H181" i="295"/>
  <c r="N181" i="295" s="1"/>
  <c r="N180" i="295"/>
  <c r="J180" i="295"/>
  <c r="O180" i="295" s="1"/>
  <c r="P180" i="295" s="1"/>
  <c r="Q180" i="295" s="1"/>
  <c r="H180" i="295"/>
  <c r="N179" i="295"/>
  <c r="J179" i="295"/>
  <c r="H179" i="295"/>
  <c r="O178" i="295"/>
  <c r="N178" i="295"/>
  <c r="J178" i="295"/>
  <c r="H178" i="295"/>
  <c r="K178" i="295" s="1"/>
  <c r="L178" i="295" s="1"/>
  <c r="N177" i="295"/>
  <c r="J177" i="295"/>
  <c r="O177" i="295" s="1"/>
  <c r="P177" i="295" s="1"/>
  <c r="Q177" i="295" s="1"/>
  <c r="H177" i="295"/>
  <c r="Q176" i="295"/>
  <c r="N176" i="295"/>
  <c r="P176" i="295" s="1"/>
  <c r="J176" i="295"/>
  <c r="O176" i="295" s="1"/>
  <c r="H176" i="295"/>
  <c r="O175" i="295"/>
  <c r="P175" i="295" s="1"/>
  <c r="Q175" i="295" s="1"/>
  <c r="N175" i="295"/>
  <c r="J175" i="295"/>
  <c r="H175" i="295"/>
  <c r="J174" i="295"/>
  <c r="O174" i="295" s="1"/>
  <c r="H174" i="295"/>
  <c r="N173" i="295"/>
  <c r="J173" i="295"/>
  <c r="O173" i="295" s="1"/>
  <c r="H173" i="295"/>
  <c r="K173" i="295" s="1"/>
  <c r="L173" i="295" s="1"/>
  <c r="N172" i="295"/>
  <c r="J172" i="295"/>
  <c r="O172" i="295" s="1"/>
  <c r="P172" i="295" s="1"/>
  <c r="Q172" i="295" s="1"/>
  <c r="H172" i="295"/>
  <c r="K172" i="295" s="1"/>
  <c r="L172" i="295" s="1"/>
  <c r="N171" i="295"/>
  <c r="P171" i="295" s="1"/>
  <c r="Q171" i="295" s="1"/>
  <c r="J171" i="295"/>
  <c r="O171" i="295" s="1"/>
  <c r="H171" i="295"/>
  <c r="K171" i="295" s="1"/>
  <c r="L171" i="295" s="1"/>
  <c r="N170" i="295"/>
  <c r="J170" i="295"/>
  <c r="O170" i="295" s="1"/>
  <c r="H170" i="295"/>
  <c r="K170" i="295" s="1"/>
  <c r="L170" i="295" s="1"/>
  <c r="N169" i="295"/>
  <c r="J169" i="295"/>
  <c r="O169" i="295" s="1"/>
  <c r="H169" i="295"/>
  <c r="N168" i="295"/>
  <c r="K168" i="295"/>
  <c r="L168" i="295" s="1"/>
  <c r="J168" i="295"/>
  <c r="O168" i="295" s="1"/>
  <c r="H168" i="295"/>
  <c r="O167" i="295"/>
  <c r="N167" i="295"/>
  <c r="J167" i="295"/>
  <c r="H167" i="295"/>
  <c r="K167" i="295" s="1"/>
  <c r="L167" i="295" s="1"/>
  <c r="N166" i="295"/>
  <c r="J166" i="295"/>
  <c r="O166" i="295" s="1"/>
  <c r="H166" i="295"/>
  <c r="N165" i="295"/>
  <c r="J165" i="295"/>
  <c r="O165" i="295" s="1"/>
  <c r="H165" i="295"/>
  <c r="J164" i="295"/>
  <c r="O164" i="295" s="1"/>
  <c r="H164" i="295"/>
  <c r="N163" i="295"/>
  <c r="J163" i="295"/>
  <c r="O163" i="295" s="1"/>
  <c r="H163" i="295"/>
  <c r="J162" i="295"/>
  <c r="O162" i="295" s="1"/>
  <c r="H162" i="295"/>
  <c r="J161" i="295"/>
  <c r="O161" i="295" s="1"/>
  <c r="H161" i="295"/>
  <c r="P160" i="295"/>
  <c r="Q160" i="295" s="1"/>
  <c r="N160" i="295"/>
  <c r="J160" i="295"/>
  <c r="O160" i="295" s="1"/>
  <c r="H160" i="295"/>
  <c r="K160" i="295" s="1"/>
  <c r="L160" i="295" s="1"/>
  <c r="O159" i="295"/>
  <c r="N159" i="295"/>
  <c r="J159" i="295"/>
  <c r="H159" i="295"/>
  <c r="K159" i="295" s="1"/>
  <c r="L159" i="295" s="1"/>
  <c r="N158" i="295"/>
  <c r="J158" i="295"/>
  <c r="O158" i="295" s="1"/>
  <c r="H158" i="295"/>
  <c r="O157" i="295"/>
  <c r="N157" i="295"/>
  <c r="J157" i="295"/>
  <c r="H157" i="295"/>
  <c r="K157" i="295" s="1"/>
  <c r="L157" i="295" s="1"/>
  <c r="N156" i="295"/>
  <c r="J156" i="295"/>
  <c r="O156" i="295" s="1"/>
  <c r="P156" i="295" s="1"/>
  <c r="Q156" i="295" s="1"/>
  <c r="H156" i="295"/>
  <c r="J155" i="295"/>
  <c r="O155" i="295" s="1"/>
  <c r="H155" i="295"/>
  <c r="N155" i="295" s="1"/>
  <c r="P155" i="295" s="1"/>
  <c r="Q155" i="295" s="1"/>
  <c r="N154" i="295"/>
  <c r="J154" i="295"/>
  <c r="O154" i="295" s="1"/>
  <c r="H154" i="295"/>
  <c r="K154" i="295" s="1"/>
  <c r="L154" i="295" s="1"/>
  <c r="N153" i="295"/>
  <c r="J153" i="295"/>
  <c r="O153" i="295" s="1"/>
  <c r="H153" i="295"/>
  <c r="N152" i="295"/>
  <c r="J152" i="295"/>
  <c r="O152" i="295" s="1"/>
  <c r="H152" i="295"/>
  <c r="K152" i="295" s="1"/>
  <c r="L152" i="295" s="1"/>
  <c r="N151" i="295"/>
  <c r="K151" i="295"/>
  <c r="L151" i="295" s="1"/>
  <c r="J151" i="295"/>
  <c r="O151" i="295" s="1"/>
  <c r="P151" i="295" s="1"/>
  <c r="Q151" i="295" s="1"/>
  <c r="H151" i="295"/>
  <c r="K150" i="295"/>
  <c r="L150" i="295" s="1"/>
  <c r="J150" i="295"/>
  <c r="O150" i="295" s="1"/>
  <c r="H150" i="295"/>
  <c r="N150" i="295" s="1"/>
  <c r="P150" i="295" s="1"/>
  <c r="Q150" i="295" s="1"/>
  <c r="N149" i="295"/>
  <c r="J149" i="295"/>
  <c r="O149" i="295" s="1"/>
  <c r="H149" i="295"/>
  <c r="K149" i="295" s="1"/>
  <c r="L149" i="295" s="1"/>
  <c r="O148" i="295"/>
  <c r="N148" i="295"/>
  <c r="P148" i="295" s="1"/>
  <c r="Q148" i="295" s="1"/>
  <c r="J148" i="295"/>
  <c r="H148" i="295"/>
  <c r="K148" i="295" s="1"/>
  <c r="L148" i="295" s="1"/>
  <c r="J147" i="295"/>
  <c r="O147" i="295" s="1"/>
  <c r="H147" i="295"/>
  <c r="O146" i="295"/>
  <c r="N146" i="295"/>
  <c r="P146" i="295" s="1"/>
  <c r="Q146" i="295" s="1"/>
  <c r="J146" i="295"/>
  <c r="H146" i="295"/>
  <c r="K146" i="295" s="1"/>
  <c r="L146" i="295" s="1"/>
  <c r="J145" i="295"/>
  <c r="O145" i="295" s="1"/>
  <c r="H145" i="295"/>
  <c r="N145" i="295" s="1"/>
  <c r="P145" i="295" s="1"/>
  <c r="Q145" i="295" s="1"/>
  <c r="J144" i="295"/>
  <c r="O144" i="295" s="1"/>
  <c r="H144" i="295"/>
  <c r="N143" i="295"/>
  <c r="J143" i="295"/>
  <c r="O143" i="295" s="1"/>
  <c r="P143" i="295" s="1"/>
  <c r="Q143" i="295" s="1"/>
  <c r="H143" i="295"/>
  <c r="N142" i="295"/>
  <c r="J142" i="295"/>
  <c r="O142" i="295" s="1"/>
  <c r="H142" i="295"/>
  <c r="N141" i="295"/>
  <c r="J141" i="295"/>
  <c r="O141" i="295" s="1"/>
  <c r="H141" i="295"/>
  <c r="K141" i="295" s="1"/>
  <c r="L141" i="295" s="1"/>
  <c r="O140" i="295"/>
  <c r="N140" i="295"/>
  <c r="J140" i="295"/>
  <c r="H140" i="295"/>
  <c r="K140" i="295" s="1"/>
  <c r="L140" i="295" s="1"/>
  <c r="J139" i="295"/>
  <c r="O139" i="295" s="1"/>
  <c r="H139" i="295"/>
  <c r="O138" i="295"/>
  <c r="N138" i="295"/>
  <c r="P138" i="295" s="1"/>
  <c r="Q138" i="295" s="1"/>
  <c r="J138" i="295"/>
  <c r="H138" i="295"/>
  <c r="K138" i="295" s="1"/>
  <c r="L138" i="295" s="1"/>
  <c r="N137" i="295"/>
  <c r="J137" i="295"/>
  <c r="O137" i="295" s="1"/>
  <c r="P137" i="295" s="1"/>
  <c r="Q137" i="295" s="1"/>
  <c r="H137" i="295"/>
  <c r="N136" i="295"/>
  <c r="J136" i="295"/>
  <c r="O136" i="295" s="1"/>
  <c r="H136" i="295"/>
  <c r="K136" i="295" s="1"/>
  <c r="L136" i="295" s="1"/>
  <c r="N135" i="295"/>
  <c r="J135" i="295"/>
  <c r="O135" i="295" s="1"/>
  <c r="P135" i="295" s="1"/>
  <c r="Q135" i="295" s="1"/>
  <c r="H135" i="295"/>
  <c r="N134" i="295"/>
  <c r="J134" i="295"/>
  <c r="O134" i="295" s="1"/>
  <c r="H134" i="295"/>
  <c r="N133" i="295"/>
  <c r="J133" i="295"/>
  <c r="O133" i="295" s="1"/>
  <c r="H133" i="295"/>
  <c r="K133" i="295" s="1"/>
  <c r="L133" i="295" s="1"/>
  <c r="O132" i="295"/>
  <c r="N132" i="295"/>
  <c r="P132" i="295" s="1"/>
  <c r="Q132" i="295" s="1"/>
  <c r="J132" i="295"/>
  <c r="H132" i="295"/>
  <c r="K132" i="295" s="1"/>
  <c r="L132" i="295" s="1"/>
  <c r="N131" i="295"/>
  <c r="J131" i="295"/>
  <c r="O131" i="295" s="1"/>
  <c r="H131" i="295"/>
  <c r="N130" i="295"/>
  <c r="J130" i="295"/>
  <c r="O130" i="295" s="1"/>
  <c r="P130" i="295" s="1"/>
  <c r="Q130" i="295" s="1"/>
  <c r="H130" i="295"/>
  <c r="J129" i="295"/>
  <c r="O129" i="295" s="1"/>
  <c r="H129" i="295"/>
  <c r="N129" i="295" s="1"/>
  <c r="N128" i="295"/>
  <c r="J128" i="295"/>
  <c r="O128" i="295" s="1"/>
  <c r="H128" i="295"/>
  <c r="N127" i="295"/>
  <c r="J127" i="295"/>
  <c r="O127" i="295" s="1"/>
  <c r="P127" i="295" s="1"/>
  <c r="Q127" i="295" s="1"/>
  <c r="H127" i="295"/>
  <c r="J126" i="295"/>
  <c r="O126" i="295" s="1"/>
  <c r="H126" i="295"/>
  <c r="N125" i="295"/>
  <c r="K125" i="295"/>
  <c r="L125" i="295" s="1"/>
  <c r="J125" i="295"/>
  <c r="O125" i="295" s="1"/>
  <c r="H125" i="295"/>
  <c r="N124" i="295"/>
  <c r="J124" i="295"/>
  <c r="O124" i="295" s="1"/>
  <c r="H124" i="295"/>
  <c r="N123" i="295"/>
  <c r="J123" i="295"/>
  <c r="O123" i="295" s="1"/>
  <c r="H123" i="295"/>
  <c r="K123" i="295" s="1"/>
  <c r="L123" i="295" s="1"/>
  <c r="O122" i="295"/>
  <c r="P122" i="295" s="1"/>
  <c r="Q122" i="295" s="1"/>
  <c r="N122" i="295"/>
  <c r="J122" i="295"/>
  <c r="H122" i="295"/>
  <c r="K122" i="295" s="1"/>
  <c r="L122" i="295" s="1"/>
  <c r="N121" i="295"/>
  <c r="J121" i="295"/>
  <c r="O121" i="295" s="1"/>
  <c r="P121" i="295" s="1"/>
  <c r="Q121" i="295" s="1"/>
  <c r="H121" i="295"/>
  <c r="N120" i="295"/>
  <c r="J120" i="295"/>
  <c r="O120" i="295" s="1"/>
  <c r="H120" i="295"/>
  <c r="N119" i="295"/>
  <c r="J119" i="295"/>
  <c r="O119" i="295" s="1"/>
  <c r="P119" i="295" s="1"/>
  <c r="Q119" i="295" s="1"/>
  <c r="H119" i="295"/>
  <c r="J118" i="295"/>
  <c r="O118" i="295" s="1"/>
  <c r="H118" i="295"/>
  <c r="N118" i="295" s="1"/>
  <c r="P118" i="295" s="1"/>
  <c r="Q118" i="295" s="1"/>
  <c r="O117" i="295"/>
  <c r="J117" i="295"/>
  <c r="K117" i="295" s="1"/>
  <c r="L117" i="295" s="1"/>
  <c r="H117" i="295"/>
  <c r="N117" i="295" s="1"/>
  <c r="P117" i="295" s="1"/>
  <c r="Q117" i="295" s="1"/>
  <c r="N116" i="295"/>
  <c r="J116" i="295"/>
  <c r="O116" i="295" s="1"/>
  <c r="H116" i="295"/>
  <c r="K115" i="295"/>
  <c r="L115" i="295" s="1"/>
  <c r="J115" i="295"/>
  <c r="O115" i="295" s="1"/>
  <c r="P115" i="295" s="1"/>
  <c r="Q115" i="295" s="1"/>
  <c r="H115" i="295"/>
  <c r="N115" i="295" s="1"/>
  <c r="J114" i="295"/>
  <c r="O114" i="295" s="1"/>
  <c r="P114" i="295" s="1"/>
  <c r="Q114" i="295" s="1"/>
  <c r="H114" i="295"/>
  <c r="N114" i="295" s="1"/>
  <c r="N113" i="295"/>
  <c r="J113" i="295"/>
  <c r="O113" i="295" s="1"/>
  <c r="P113" i="295" s="1"/>
  <c r="Q113" i="295" s="1"/>
  <c r="H113" i="295"/>
  <c r="K113" i="295" s="1"/>
  <c r="L113" i="295" s="1"/>
  <c r="J112" i="295"/>
  <c r="O112" i="295" s="1"/>
  <c r="H112" i="295"/>
  <c r="N111" i="295"/>
  <c r="J111" i="295"/>
  <c r="O111" i="295" s="1"/>
  <c r="P111" i="295" s="1"/>
  <c r="Q111" i="295" s="1"/>
  <c r="H111" i="295"/>
  <c r="K110" i="295"/>
  <c r="L110" i="295" s="1"/>
  <c r="J110" i="295"/>
  <c r="O110" i="295" s="1"/>
  <c r="H110" i="295"/>
  <c r="N110" i="295" s="1"/>
  <c r="N109" i="295"/>
  <c r="P109" i="295" s="1"/>
  <c r="Q109" i="295" s="1"/>
  <c r="L109" i="295"/>
  <c r="J109" i="295"/>
  <c r="O109" i="295" s="1"/>
  <c r="H109" i="295"/>
  <c r="K109" i="295" s="1"/>
  <c r="O108" i="295"/>
  <c r="N108" i="295"/>
  <c r="P108" i="295" s="1"/>
  <c r="Q108" i="295" s="1"/>
  <c r="J108" i="295"/>
  <c r="H108" i="295"/>
  <c r="K108" i="295" s="1"/>
  <c r="L108" i="295" s="1"/>
  <c r="O107" i="295"/>
  <c r="N107" i="295"/>
  <c r="J107" i="295"/>
  <c r="K107" i="295" s="1"/>
  <c r="L107" i="295" s="1"/>
  <c r="H107" i="295"/>
  <c r="J106" i="295"/>
  <c r="O106" i="295" s="1"/>
  <c r="H106" i="295"/>
  <c r="N106" i="295" s="1"/>
  <c r="P106" i="295" s="1"/>
  <c r="Q106" i="295" s="1"/>
  <c r="J105" i="295"/>
  <c r="O105" i="295" s="1"/>
  <c r="H105" i="295"/>
  <c r="J104" i="295"/>
  <c r="O104" i="295" s="1"/>
  <c r="H104" i="295"/>
  <c r="J103" i="295"/>
  <c r="O103" i="295" s="1"/>
  <c r="H103" i="295"/>
  <c r="N103" i="295" s="1"/>
  <c r="N102" i="295"/>
  <c r="L102" i="295"/>
  <c r="J102" i="295"/>
  <c r="O102" i="295" s="1"/>
  <c r="H102" i="295"/>
  <c r="K102" i="295" s="1"/>
  <c r="N101" i="295"/>
  <c r="K101" i="295"/>
  <c r="L101" i="295" s="1"/>
  <c r="J101" i="295"/>
  <c r="O101" i="295" s="1"/>
  <c r="H101" i="295"/>
  <c r="O100" i="295"/>
  <c r="N100" i="295"/>
  <c r="P100" i="295" s="1"/>
  <c r="Q100" i="295" s="1"/>
  <c r="J100" i="295"/>
  <c r="H100" i="295"/>
  <c r="K100" i="295" s="1"/>
  <c r="L100" i="295" s="1"/>
  <c r="N99" i="295"/>
  <c r="J99" i="295"/>
  <c r="H99" i="295"/>
  <c r="N98" i="295"/>
  <c r="J98" i="295"/>
  <c r="O98" i="295" s="1"/>
  <c r="H98" i="295"/>
  <c r="K98" i="295" s="1"/>
  <c r="L98" i="295" s="1"/>
  <c r="P97" i="295"/>
  <c r="Q97" i="295" s="1"/>
  <c r="N97" i="295"/>
  <c r="J97" i="295"/>
  <c r="O97" i="295" s="1"/>
  <c r="H97" i="295"/>
  <c r="K97" i="295" s="1"/>
  <c r="L97" i="295" s="1"/>
  <c r="J96" i="295"/>
  <c r="O96" i="295" s="1"/>
  <c r="H96" i="295"/>
  <c r="J95" i="295"/>
  <c r="O95" i="295" s="1"/>
  <c r="H95" i="295"/>
  <c r="J94" i="295"/>
  <c r="O94" i="295" s="1"/>
  <c r="H94" i="295"/>
  <c r="K94" i="295" s="1"/>
  <c r="L94" i="295" s="1"/>
  <c r="N93" i="295"/>
  <c r="J93" i="295"/>
  <c r="O93" i="295" s="1"/>
  <c r="H93" i="295"/>
  <c r="N92" i="295"/>
  <c r="P92" i="295" s="1"/>
  <c r="Q92" i="295" s="1"/>
  <c r="J92" i="295"/>
  <c r="O92" i="295" s="1"/>
  <c r="H92" i="295"/>
  <c r="O91" i="295"/>
  <c r="N91" i="295"/>
  <c r="P91" i="295" s="1"/>
  <c r="Q91" i="295" s="1"/>
  <c r="J91" i="295"/>
  <c r="H91" i="295"/>
  <c r="J90" i="295"/>
  <c r="O90" i="295" s="1"/>
  <c r="H90" i="295"/>
  <c r="N90" i="295" s="1"/>
  <c r="J89" i="295"/>
  <c r="O89" i="295" s="1"/>
  <c r="H89" i="295"/>
  <c r="J88" i="295"/>
  <c r="O88" i="295" s="1"/>
  <c r="H88" i="295"/>
  <c r="J87" i="295"/>
  <c r="O87" i="295" s="1"/>
  <c r="H87" i="295"/>
  <c r="N87" i="295" s="1"/>
  <c r="P87" i="295" s="1"/>
  <c r="Q87" i="295" s="1"/>
  <c r="K86" i="295"/>
  <c r="L86" i="295" s="1"/>
  <c r="J86" i="295"/>
  <c r="O86" i="295" s="1"/>
  <c r="H86" i="295"/>
  <c r="N86" i="295" s="1"/>
  <c r="O85" i="295"/>
  <c r="J85" i="295"/>
  <c r="H85" i="295"/>
  <c r="N85" i="295" s="1"/>
  <c r="P85" i="295" s="1"/>
  <c r="Q85" i="295" s="1"/>
  <c r="O84" i="295"/>
  <c r="J84" i="295"/>
  <c r="H84" i="295"/>
  <c r="N83" i="295"/>
  <c r="J83" i="295"/>
  <c r="O83" i="295" s="1"/>
  <c r="H83" i="295"/>
  <c r="O82" i="295"/>
  <c r="J82" i="295"/>
  <c r="H82" i="295"/>
  <c r="J81" i="295"/>
  <c r="O81" i="295" s="1"/>
  <c r="H81" i="295"/>
  <c r="K81" i="295" s="1"/>
  <c r="L81" i="295" s="1"/>
  <c r="J80" i="295"/>
  <c r="O80" i="295" s="1"/>
  <c r="H80" i="295"/>
  <c r="N80" i="295" s="1"/>
  <c r="J79" i="295"/>
  <c r="O79" i="295" s="1"/>
  <c r="P79" i="295" s="1"/>
  <c r="Q79" i="295" s="1"/>
  <c r="H79" i="295"/>
  <c r="N79" i="295" s="1"/>
  <c r="K78" i="295"/>
  <c r="L78" i="295" s="1"/>
  <c r="J78" i="295"/>
  <c r="O78" i="295" s="1"/>
  <c r="H78" i="295"/>
  <c r="N78" i="295" s="1"/>
  <c r="P78" i="295" s="1"/>
  <c r="Q78" i="295" s="1"/>
  <c r="J77" i="295"/>
  <c r="K77" i="295" s="1"/>
  <c r="L77" i="295" s="1"/>
  <c r="H77" i="295"/>
  <c r="N77" i="295" s="1"/>
  <c r="J76" i="295"/>
  <c r="O76" i="295" s="1"/>
  <c r="H76" i="295"/>
  <c r="N76" i="295" s="1"/>
  <c r="N75" i="295"/>
  <c r="P75" i="295" s="1"/>
  <c r="Q75" i="295" s="1"/>
  <c r="J75" i="295"/>
  <c r="O75" i="295" s="1"/>
  <c r="H75" i="295"/>
  <c r="N74" i="295"/>
  <c r="J74" i="295"/>
  <c r="O74" i="295" s="1"/>
  <c r="H74" i="295"/>
  <c r="J73" i="295"/>
  <c r="O73" i="295" s="1"/>
  <c r="H73" i="295"/>
  <c r="K73" i="295" s="1"/>
  <c r="L73" i="295" s="1"/>
  <c r="N72" i="295"/>
  <c r="J72" i="295"/>
  <c r="O72" i="295" s="1"/>
  <c r="H72" i="295"/>
  <c r="N71" i="295"/>
  <c r="J71" i="295"/>
  <c r="O71" i="295" s="1"/>
  <c r="P71" i="295" s="1"/>
  <c r="Q71" i="295" s="1"/>
  <c r="H71" i="295"/>
  <c r="N70" i="295"/>
  <c r="J70" i="295"/>
  <c r="O70" i="295" s="1"/>
  <c r="H70" i="295"/>
  <c r="N69" i="295"/>
  <c r="J69" i="295"/>
  <c r="O69" i="295" s="1"/>
  <c r="H69" i="295"/>
  <c r="N68" i="295"/>
  <c r="J68" i="295"/>
  <c r="O68" i="295" s="1"/>
  <c r="P68" i="295" s="1"/>
  <c r="Q68" i="295" s="1"/>
  <c r="H68" i="295"/>
  <c r="K68" i="295" s="1"/>
  <c r="L68" i="295" s="1"/>
  <c r="N67" i="295"/>
  <c r="J67" i="295"/>
  <c r="O67" i="295" s="1"/>
  <c r="P67" i="295" s="1"/>
  <c r="Q67" i="295" s="1"/>
  <c r="H67" i="295"/>
  <c r="K67" i="295" s="1"/>
  <c r="L67" i="295" s="1"/>
  <c r="N66" i="295"/>
  <c r="J66" i="295"/>
  <c r="O66" i="295" s="1"/>
  <c r="P66" i="295" s="1"/>
  <c r="Q66" i="295" s="1"/>
  <c r="H66" i="295"/>
  <c r="N65" i="295"/>
  <c r="J65" i="295"/>
  <c r="O65" i="295" s="1"/>
  <c r="P65" i="295" s="1"/>
  <c r="Q65" i="295" s="1"/>
  <c r="H65" i="295"/>
  <c r="N64" i="295"/>
  <c r="J64" i="295"/>
  <c r="O64" i="295" s="1"/>
  <c r="H64" i="295"/>
  <c r="J63" i="295"/>
  <c r="O63" i="295" s="1"/>
  <c r="P63" i="295" s="1"/>
  <c r="Q63" i="295" s="1"/>
  <c r="H63" i="295"/>
  <c r="N63" i="295" s="1"/>
  <c r="N62" i="295"/>
  <c r="J62" i="295"/>
  <c r="O62" i="295" s="1"/>
  <c r="H62" i="295"/>
  <c r="N61" i="295"/>
  <c r="J61" i="295"/>
  <c r="O61" i="295" s="1"/>
  <c r="H61" i="295"/>
  <c r="K61" i="295" s="1"/>
  <c r="L61" i="295" s="1"/>
  <c r="N60" i="295"/>
  <c r="J60" i="295"/>
  <c r="O60" i="295" s="1"/>
  <c r="H60" i="295"/>
  <c r="K60" i="295" s="1"/>
  <c r="L60" i="295" s="1"/>
  <c r="N59" i="295"/>
  <c r="J59" i="295"/>
  <c r="O59" i="295" s="1"/>
  <c r="P59" i="295" s="1"/>
  <c r="Q59" i="295" s="1"/>
  <c r="H59" i="295"/>
  <c r="K59" i="295" s="1"/>
  <c r="L59" i="295" s="1"/>
  <c r="N58" i="295"/>
  <c r="P58" i="295" s="1"/>
  <c r="Q58" i="295" s="1"/>
  <c r="J58" i="295"/>
  <c r="O58" i="295" s="1"/>
  <c r="H58" i="295"/>
  <c r="N57" i="295"/>
  <c r="J57" i="295"/>
  <c r="O57" i="295" s="1"/>
  <c r="H57" i="295"/>
  <c r="K57" i="295" s="1"/>
  <c r="L57" i="295" s="1"/>
  <c r="J56" i="295"/>
  <c r="O56" i="295" s="1"/>
  <c r="H56" i="295"/>
  <c r="N56" i="295" s="1"/>
  <c r="N55" i="295"/>
  <c r="J55" i="295"/>
  <c r="O55" i="295" s="1"/>
  <c r="P55" i="295" s="1"/>
  <c r="Q55" i="295" s="1"/>
  <c r="H55" i="295"/>
  <c r="P54" i="295"/>
  <c r="Q54" i="295" s="1"/>
  <c r="N54" i="295"/>
  <c r="J54" i="295"/>
  <c r="O54" i="295" s="1"/>
  <c r="H54" i="295"/>
  <c r="K54" i="295" s="1"/>
  <c r="L54" i="295" s="1"/>
  <c r="O53" i="295"/>
  <c r="J53" i="295"/>
  <c r="H53" i="295"/>
  <c r="N53" i="295" s="1"/>
  <c r="J52" i="295"/>
  <c r="O52" i="295" s="1"/>
  <c r="H52" i="295"/>
  <c r="N51" i="295"/>
  <c r="J51" i="295"/>
  <c r="K51" i="295" s="1"/>
  <c r="L51" i="295" s="1"/>
  <c r="H51" i="295"/>
  <c r="N50" i="295"/>
  <c r="K50" i="295"/>
  <c r="L50" i="295" s="1"/>
  <c r="J50" i="295"/>
  <c r="O50" i="295" s="1"/>
  <c r="P50" i="295" s="1"/>
  <c r="Q50" i="295" s="1"/>
  <c r="H50" i="295"/>
  <c r="N49" i="295"/>
  <c r="J49" i="295"/>
  <c r="O49" i="295" s="1"/>
  <c r="H49" i="295"/>
  <c r="N48" i="295"/>
  <c r="K48" i="295"/>
  <c r="L48" i="295" s="1"/>
  <c r="J48" i="295"/>
  <c r="O48" i="295" s="1"/>
  <c r="H48" i="295"/>
  <c r="O47" i="295"/>
  <c r="N47" i="295"/>
  <c r="J47" i="295"/>
  <c r="H47" i="295"/>
  <c r="K47" i="295" s="1"/>
  <c r="L47" i="295" s="1"/>
  <c r="N46" i="295"/>
  <c r="P46" i="295" s="1"/>
  <c r="Q46" i="295" s="1"/>
  <c r="J46" i="295"/>
  <c r="O46" i="295" s="1"/>
  <c r="H46" i="295"/>
  <c r="O45" i="295"/>
  <c r="N45" i="295"/>
  <c r="P45" i="295" s="1"/>
  <c r="Q45" i="295" s="1"/>
  <c r="J45" i="295"/>
  <c r="H45" i="295"/>
  <c r="K45" i="295" s="1"/>
  <c r="L45" i="295" s="1"/>
  <c r="N44" i="295"/>
  <c r="P44" i="295" s="1"/>
  <c r="Q44" i="295" s="1"/>
  <c r="J44" i="295"/>
  <c r="O44" i="295" s="1"/>
  <c r="H44" i="295"/>
  <c r="N43" i="295"/>
  <c r="K43" i="295"/>
  <c r="L43" i="295" s="1"/>
  <c r="J43" i="295"/>
  <c r="O43" i="295" s="1"/>
  <c r="H43" i="295"/>
  <c r="J42" i="295"/>
  <c r="O42" i="295" s="1"/>
  <c r="H42" i="295"/>
  <c r="N42" i="295" s="1"/>
  <c r="N41" i="295"/>
  <c r="J41" i="295"/>
  <c r="O41" i="295" s="1"/>
  <c r="P41" i="295" s="1"/>
  <c r="Q41" i="295" s="1"/>
  <c r="H41" i="295"/>
  <c r="N40" i="295"/>
  <c r="J40" i="295"/>
  <c r="O40" i="295" s="1"/>
  <c r="H40" i="295"/>
  <c r="O39" i="295"/>
  <c r="P39" i="295" s="1"/>
  <c r="Q39" i="295" s="1"/>
  <c r="N39" i="295"/>
  <c r="J39" i="295"/>
  <c r="H39" i="295"/>
  <c r="K39" i="295" s="1"/>
  <c r="L39" i="295" s="1"/>
  <c r="N38" i="295"/>
  <c r="P38" i="295" s="1"/>
  <c r="Q38" i="295" s="1"/>
  <c r="J38" i="295"/>
  <c r="O38" i="295" s="1"/>
  <c r="H38" i="295"/>
  <c r="K38" i="295" s="1"/>
  <c r="L38" i="295" s="1"/>
  <c r="N37" i="295"/>
  <c r="J37" i="295"/>
  <c r="O37" i="295" s="1"/>
  <c r="H37" i="295"/>
  <c r="K37" i="295" s="1"/>
  <c r="L37" i="295" s="1"/>
  <c r="N36" i="295"/>
  <c r="J36" i="295"/>
  <c r="O36" i="295" s="1"/>
  <c r="H36" i="295"/>
  <c r="N35" i="295"/>
  <c r="J35" i="295"/>
  <c r="K35" i="295" s="1"/>
  <c r="L35" i="295" s="1"/>
  <c r="H35" i="295"/>
  <c r="N34" i="295"/>
  <c r="J34" i="295"/>
  <c r="O34" i="295" s="1"/>
  <c r="H34" i="295"/>
  <c r="N33" i="295"/>
  <c r="P33" i="295" s="1"/>
  <c r="Q33" i="295" s="1"/>
  <c r="L33" i="295"/>
  <c r="J33" i="295"/>
  <c r="O33" i="295" s="1"/>
  <c r="H33" i="295"/>
  <c r="K33" i="295" s="1"/>
  <c r="N32" i="295"/>
  <c r="J32" i="295"/>
  <c r="O32" i="295" s="1"/>
  <c r="H32" i="295"/>
  <c r="N31" i="295"/>
  <c r="J31" i="295"/>
  <c r="O31" i="295" s="1"/>
  <c r="P31" i="295" s="1"/>
  <c r="Q31" i="295" s="1"/>
  <c r="H31" i="295"/>
  <c r="N30" i="295"/>
  <c r="J30" i="295"/>
  <c r="O30" i="295" s="1"/>
  <c r="P30" i="295" s="1"/>
  <c r="Q30" i="295" s="1"/>
  <c r="H30" i="295"/>
  <c r="O29" i="295"/>
  <c r="N29" i="295"/>
  <c r="J29" i="295"/>
  <c r="H29" i="295"/>
  <c r="K29" i="295" s="1"/>
  <c r="L29" i="295" s="1"/>
  <c r="N28" i="295"/>
  <c r="J28" i="295"/>
  <c r="O28" i="295" s="1"/>
  <c r="H28" i="295"/>
  <c r="K28" i="295" s="1"/>
  <c r="L28" i="295" s="1"/>
  <c r="N27" i="295"/>
  <c r="J27" i="295"/>
  <c r="O27" i="295" s="1"/>
  <c r="H27" i="295"/>
  <c r="N26" i="295"/>
  <c r="J26" i="295"/>
  <c r="O26" i="295" s="1"/>
  <c r="P26" i="295" s="1"/>
  <c r="Q26" i="295" s="1"/>
  <c r="H26" i="295"/>
  <c r="N25" i="295"/>
  <c r="J25" i="295"/>
  <c r="O25" i="295" s="1"/>
  <c r="H25" i="295"/>
  <c r="N24" i="295"/>
  <c r="J24" i="295"/>
  <c r="O24" i="295" s="1"/>
  <c r="H24" i="295"/>
  <c r="K24" i="295" s="1"/>
  <c r="L24" i="295" s="1"/>
  <c r="O23" i="295"/>
  <c r="P23" i="295" s="1"/>
  <c r="Q23" i="295" s="1"/>
  <c r="N23" i="295"/>
  <c r="J23" i="295"/>
  <c r="H23" i="295"/>
  <c r="N22" i="295"/>
  <c r="P22" i="295" s="1"/>
  <c r="Q22" i="295" s="1"/>
  <c r="J22" i="295"/>
  <c r="O22" i="295" s="1"/>
  <c r="H22" i="295"/>
  <c r="K22" i="295" s="1"/>
  <c r="L22" i="295" s="1"/>
  <c r="O21" i="295"/>
  <c r="P21" i="295" s="1"/>
  <c r="Q21" i="295" s="1"/>
  <c r="N21" i="295"/>
  <c r="J21" i="295"/>
  <c r="H21" i="295"/>
  <c r="J20" i="295"/>
  <c r="O20" i="295" s="1"/>
  <c r="H20" i="295"/>
  <c r="N20" i="295" s="1"/>
  <c r="J19" i="295"/>
  <c r="O19" i="295" s="1"/>
  <c r="H19" i="295"/>
  <c r="N19" i="295" s="1"/>
  <c r="P19" i="295" s="1"/>
  <c r="Q19" i="295" s="1"/>
  <c r="N18" i="295"/>
  <c r="J18" i="295"/>
  <c r="O18" i="295" s="1"/>
  <c r="H18" i="295"/>
  <c r="K18" i="295" s="1"/>
  <c r="L18" i="295" s="1"/>
  <c r="N17" i="295"/>
  <c r="J17" i="295"/>
  <c r="O17" i="295" s="1"/>
  <c r="H17" i="295"/>
  <c r="N16" i="295"/>
  <c r="K16" i="295"/>
  <c r="L16" i="295" s="1"/>
  <c r="J16" i="295"/>
  <c r="O16" i="295" s="1"/>
  <c r="H16" i="295"/>
  <c r="N15" i="295"/>
  <c r="J15" i="295"/>
  <c r="O15" i="295" s="1"/>
  <c r="H15" i="295"/>
  <c r="O14" i="295"/>
  <c r="N14" i="295"/>
  <c r="P14" i="295" s="1"/>
  <c r="Q14" i="295" s="1"/>
  <c r="J14" i="295"/>
  <c r="H14" i="295"/>
  <c r="K14" i="295" s="1"/>
  <c r="L14" i="295" s="1"/>
  <c r="A14" i="295"/>
  <c r="A15" i="295" s="1"/>
  <c r="A16" i="295" s="1"/>
  <c r="A17" i="295" s="1"/>
  <c r="A18" i="295" s="1"/>
  <c r="A19" i="295" s="1"/>
  <c r="A20" i="295" s="1"/>
  <c r="A21" i="295" s="1"/>
  <c r="A22" i="295" s="1"/>
  <c r="A23" i="295" s="1"/>
  <c r="A24" i="295" s="1"/>
  <c r="A25" i="295" s="1"/>
  <c r="A26" i="295" s="1"/>
  <c r="A27" i="295" s="1"/>
  <c r="A28" i="295" s="1"/>
  <c r="A29" i="295" s="1"/>
  <c r="A30" i="295" s="1"/>
  <c r="A31" i="295" s="1"/>
  <c r="A32" i="295" s="1"/>
  <c r="A33" i="295" s="1"/>
  <c r="A34" i="295" s="1"/>
  <c r="A35" i="295" s="1"/>
  <c r="A36" i="295" s="1"/>
  <c r="A37" i="295" s="1"/>
  <c r="A38" i="295" s="1"/>
  <c r="A39" i="295" s="1"/>
  <c r="A40" i="295" s="1"/>
  <c r="A41" i="295" s="1"/>
  <c r="A42" i="295" s="1"/>
  <c r="A43" i="295" s="1"/>
  <c r="A44" i="295" s="1"/>
  <c r="A45" i="295" s="1"/>
  <c r="A46" i="295" s="1"/>
  <c r="A47" i="295" s="1"/>
  <c r="A48" i="295" s="1"/>
  <c r="A49" i="295" s="1"/>
  <c r="A50" i="295" s="1"/>
  <c r="A51" i="295" s="1"/>
  <c r="A52" i="295" s="1"/>
  <c r="A53" i="295" s="1"/>
  <c r="A54" i="295" s="1"/>
  <c r="A55" i="295" s="1"/>
  <c r="A56" i="295" s="1"/>
  <c r="A57" i="295" s="1"/>
  <c r="A58" i="295" s="1"/>
  <c r="A59" i="295" s="1"/>
  <c r="A60" i="295" s="1"/>
  <c r="A61" i="295" s="1"/>
  <c r="A62" i="295" s="1"/>
  <c r="A63" i="295" s="1"/>
  <c r="A64" i="295" s="1"/>
  <c r="A65" i="295" s="1"/>
  <c r="A66" i="295" s="1"/>
  <c r="A67" i="295" s="1"/>
  <c r="A68" i="295" s="1"/>
  <c r="A69" i="295" s="1"/>
  <c r="A70" i="295" s="1"/>
  <c r="A71" i="295" s="1"/>
  <c r="A72" i="295" s="1"/>
  <c r="A73" i="295" s="1"/>
  <c r="A74" i="295" s="1"/>
  <c r="A75" i="295" s="1"/>
  <c r="A76" i="295" s="1"/>
  <c r="A77" i="295" s="1"/>
  <c r="A78" i="295" s="1"/>
  <c r="A79" i="295" s="1"/>
  <c r="A80" i="295" s="1"/>
  <c r="A81" i="295" s="1"/>
  <c r="A82" i="295" s="1"/>
  <c r="A83" i="295" s="1"/>
  <c r="A84" i="295" s="1"/>
  <c r="A85" i="295" s="1"/>
  <c r="A86" i="295" s="1"/>
  <c r="A87" i="295" s="1"/>
  <c r="A88" i="295" s="1"/>
  <c r="A89" i="295" s="1"/>
  <c r="A90" i="295" s="1"/>
  <c r="A91" i="295" s="1"/>
  <c r="A92" i="295" s="1"/>
  <c r="A93" i="295" s="1"/>
  <c r="A94" i="295" s="1"/>
  <c r="A95" i="295" s="1"/>
  <c r="A96" i="295" s="1"/>
  <c r="A97" i="295" s="1"/>
  <c r="A98" i="295" s="1"/>
  <c r="A99" i="295" s="1"/>
  <c r="A100" i="295" s="1"/>
  <c r="A101" i="295" s="1"/>
  <c r="A102" i="295" s="1"/>
  <c r="A103" i="295" s="1"/>
  <c r="A104" i="295" s="1"/>
  <c r="A105" i="295" s="1"/>
  <c r="A106" i="295" s="1"/>
  <c r="A107" i="295" s="1"/>
  <c r="A108" i="295" s="1"/>
  <c r="A109" i="295" s="1"/>
  <c r="A110" i="295" s="1"/>
  <c r="A111" i="295" s="1"/>
  <c r="A112" i="295" s="1"/>
  <c r="A113" i="295" s="1"/>
  <c r="A114" i="295" s="1"/>
  <c r="A115" i="295" s="1"/>
  <c r="A116" i="295" s="1"/>
  <c r="A117" i="295" s="1"/>
  <c r="A118" i="295" s="1"/>
  <c r="A119" i="295" s="1"/>
  <c r="A120" i="295" s="1"/>
  <c r="A121" i="295" s="1"/>
  <c r="A122" i="295" s="1"/>
  <c r="A123" i="295" s="1"/>
  <c r="A124" i="295" s="1"/>
  <c r="A125" i="295" s="1"/>
  <c r="A126" i="295" s="1"/>
  <c r="A127" i="295" s="1"/>
  <c r="A128" i="295" s="1"/>
  <c r="A129" i="295" s="1"/>
  <c r="A130" i="295" s="1"/>
  <c r="A131" i="295" s="1"/>
  <c r="A132" i="295" s="1"/>
  <c r="A133" i="295" s="1"/>
  <c r="A134" i="295" s="1"/>
  <c r="A135" i="295" s="1"/>
  <c r="A136" i="295" s="1"/>
  <c r="A137" i="295" s="1"/>
  <c r="A138" i="295" s="1"/>
  <c r="A139" i="295" s="1"/>
  <c r="A140" i="295" s="1"/>
  <c r="A141" i="295" s="1"/>
  <c r="A142" i="295" s="1"/>
  <c r="A143" i="295" s="1"/>
  <c r="A144" i="295" s="1"/>
  <c r="A145" i="295" s="1"/>
  <c r="A146" i="295" s="1"/>
  <c r="A147" i="295" s="1"/>
  <c r="A148" i="295" s="1"/>
  <c r="A149" i="295" s="1"/>
  <c r="A150" i="295" s="1"/>
  <c r="A151" i="295" s="1"/>
  <c r="A152" i="295" s="1"/>
  <c r="A153" i="295" s="1"/>
  <c r="A154" i="295" s="1"/>
  <c r="A155" i="295" s="1"/>
  <c r="A156" i="295" s="1"/>
  <c r="A157" i="295" s="1"/>
  <c r="A158" i="295" s="1"/>
  <c r="A159" i="295" s="1"/>
  <c r="A160" i="295" s="1"/>
  <c r="A161" i="295" s="1"/>
  <c r="A162" i="295" s="1"/>
  <c r="A163" i="295" s="1"/>
  <c r="A164" i="295" s="1"/>
  <c r="A165" i="295" s="1"/>
  <c r="A166" i="295" s="1"/>
  <c r="A167" i="295" s="1"/>
  <c r="A168" i="295" s="1"/>
  <c r="A169" i="295" s="1"/>
  <c r="A170" i="295" s="1"/>
  <c r="A171" i="295" s="1"/>
  <c r="A172" i="295" s="1"/>
  <c r="A173" i="295" s="1"/>
  <c r="A174" i="295" s="1"/>
  <c r="A175" i="295" s="1"/>
  <c r="A176" i="295" s="1"/>
  <c r="A177" i="295" s="1"/>
  <c r="A178" i="295" s="1"/>
  <c r="A179" i="295" s="1"/>
  <c r="A180" i="295" s="1"/>
  <c r="A181" i="295" s="1"/>
  <c r="A182" i="295" s="1"/>
  <c r="A183" i="295" s="1"/>
  <c r="A184" i="295" s="1"/>
  <c r="A185" i="295" s="1"/>
  <c r="A186" i="295" s="1"/>
  <c r="A187" i="295" s="1"/>
  <c r="A188" i="295" s="1"/>
  <c r="A189" i="295" s="1"/>
  <c r="A190" i="295" s="1"/>
  <c r="A191" i="295" s="1"/>
  <c r="A192" i="295" s="1"/>
  <c r="A193" i="295" s="1"/>
  <c r="A194" i="295" s="1"/>
  <c r="A195" i="295" s="1"/>
  <c r="A196" i="295" s="1"/>
  <c r="A197" i="295" s="1"/>
  <c r="A198" i="295" s="1"/>
  <c r="A199" i="295" s="1"/>
  <c r="A200" i="295" s="1"/>
  <c r="A201" i="295" s="1"/>
  <c r="A202" i="295" s="1"/>
  <c r="A203" i="295" s="1"/>
  <c r="A204" i="295" s="1"/>
  <c r="A205" i="295" s="1"/>
  <c r="A206" i="295" s="1"/>
  <c r="A207" i="295" s="1"/>
  <c r="A208" i="295" s="1"/>
  <c r="A209" i="295" s="1"/>
  <c r="A210" i="295" s="1"/>
  <c r="A211" i="295" s="1"/>
  <c r="A212" i="295" s="1"/>
  <c r="A213" i="295" s="1"/>
  <c r="A214" i="295" s="1"/>
  <c r="A215" i="295" s="1"/>
  <c r="A216" i="295" s="1"/>
  <c r="A217" i="295" s="1"/>
  <c r="A218" i="295" s="1"/>
  <c r="A219" i="295" s="1"/>
  <c r="A220" i="295" s="1"/>
  <c r="A221" i="295" s="1"/>
  <c r="A222" i="295" s="1"/>
  <c r="A223" i="295" s="1"/>
  <c r="A224" i="295" s="1"/>
  <c r="A225" i="295" s="1"/>
  <c r="A226" i="295" s="1"/>
  <c r="A227" i="295" s="1"/>
  <c r="A228" i="295" s="1"/>
  <c r="A229" i="295" s="1"/>
  <c r="A230" i="295" s="1"/>
  <c r="A231" i="295" s="1"/>
  <c r="A232" i="295" s="1"/>
  <c r="A233" i="295" s="1"/>
  <c r="A234" i="295" s="1"/>
  <c r="A235" i="295" s="1"/>
  <c r="A236" i="295" s="1"/>
  <c r="A237" i="295" s="1"/>
  <c r="A238" i="295" s="1"/>
  <c r="A239" i="295" s="1"/>
  <c r="A240" i="295" s="1"/>
  <c r="A241" i="295" s="1"/>
  <c r="A242" i="295" s="1"/>
  <c r="A243" i="295" s="1"/>
  <c r="A244" i="295" s="1"/>
  <c r="A245" i="295" s="1"/>
  <c r="A246" i="295" s="1"/>
  <c r="A247" i="295" s="1"/>
  <c r="A248" i="295" s="1"/>
  <c r="A249" i="295" s="1"/>
  <c r="A250" i="295" s="1"/>
  <c r="A251" i="295" s="1"/>
  <c r="A252" i="295" s="1"/>
  <c r="A253" i="295" s="1"/>
  <c r="A254" i="295" s="1"/>
  <c r="A255" i="295" s="1"/>
  <c r="A256" i="295" s="1"/>
  <c r="A257" i="295" s="1"/>
  <c r="A258" i="295" s="1"/>
  <c r="A259" i="295" s="1"/>
  <c r="A260" i="295" s="1"/>
  <c r="A261" i="295" s="1"/>
  <c r="A262" i="295" s="1"/>
  <c r="A263" i="295" s="1"/>
  <c r="A264" i="295" s="1"/>
  <c r="A265" i="295" s="1"/>
  <c r="A266" i="295" s="1"/>
  <c r="A267" i="295" s="1"/>
  <c r="A268" i="295" s="1"/>
  <c r="A269" i="295" s="1"/>
  <c r="A270" i="295" s="1"/>
  <c r="A271" i="295" s="1"/>
  <c r="A272" i="295" s="1"/>
  <c r="A273" i="295" s="1"/>
  <c r="A274" i="295" s="1"/>
  <c r="A275" i="295" s="1"/>
  <c r="A276" i="295" s="1"/>
  <c r="A277" i="295" s="1"/>
  <c r="A278" i="295" s="1"/>
  <c r="A279" i="295" s="1"/>
  <c r="A280" i="295" s="1"/>
  <c r="A281" i="295" s="1"/>
  <c r="A282" i="295" s="1"/>
  <c r="A283" i="295" s="1"/>
  <c r="A284" i="295" s="1"/>
  <c r="A285" i="295" s="1"/>
  <c r="A286" i="295" s="1"/>
  <c r="A287" i="295" s="1"/>
  <c r="A288" i="295" s="1"/>
  <c r="A289" i="295" s="1"/>
  <c r="A290" i="295" s="1"/>
  <c r="A291" i="295" s="1"/>
  <c r="A292" i="295" s="1"/>
  <c r="A293" i="295" s="1"/>
  <c r="A294" i="295" s="1"/>
  <c r="A295" i="295" s="1"/>
  <c r="A296" i="295" s="1"/>
  <c r="A297" i="295" s="1"/>
  <c r="A298" i="295" s="1"/>
  <c r="A299" i="295" s="1"/>
  <c r="A300" i="295" s="1"/>
  <c r="A301" i="295" s="1"/>
  <c r="A302" i="295" s="1"/>
  <c r="A303" i="295" s="1"/>
  <c r="A304" i="295" s="1"/>
  <c r="A305" i="295" s="1"/>
  <c r="A306" i="295" s="1"/>
  <c r="A307" i="295" s="1"/>
  <c r="A308" i="295" s="1"/>
  <c r="A309" i="295" s="1"/>
  <c r="A310" i="295" s="1"/>
  <c r="A311" i="295" s="1"/>
  <c r="A312" i="295" s="1"/>
  <c r="A313" i="295" s="1"/>
  <c r="A314" i="295" s="1"/>
  <c r="A315" i="295" s="1"/>
  <c r="A316" i="295" s="1"/>
  <c r="A317" i="295" s="1"/>
  <c r="A318" i="295" s="1"/>
  <c r="A319" i="295" s="1"/>
  <c r="A320" i="295" s="1"/>
  <c r="A321" i="295" s="1"/>
  <c r="A322" i="295" s="1"/>
  <c r="A323" i="295" s="1"/>
  <c r="A324" i="295" s="1"/>
  <c r="A325" i="295" s="1"/>
  <c r="A326" i="295" s="1"/>
  <c r="A327" i="295" s="1"/>
  <c r="A328" i="295" s="1"/>
  <c r="A329" i="295" s="1"/>
  <c r="A330" i="295" s="1"/>
  <c r="A331" i="295" s="1"/>
  <c r="A332" i="295" s="1"/>
  <c r="A333" i="295" s="1"/>
  <c r="A334" i="295" s="1"/>
  <c r="A335" i="295" s="1"/>
  <c r="A336" i="295" s="1"/>
  <c r="A337" i="295" s="1"/>
  <c r="A338" i="295" s="1"/>
  <c r="A339" i="295" s="1"/>
  <c r="A340" i="295" s="1"/>
  <c r="A341" i="295" s="1"/>
  <c r="A342" i="295" s="1"/>
  <c r="A343" i="295" s="1"/>
  <c r="A344" i="295" s="1"/>
  <c r="A345" i="295" s="1"/>
  <c r="A346" i="295" s="1"/>
  <c r="A347" i="295" s="1"/>
  <c r="A348" i="295" s="1"/>
  <c r="A349" i="295" s="1"/>
  <c r="A350" i="295" s="1"/>
  <c r="A351" i="295" s="1"/>
  <c r="A352" i="295" s="1"/>
  <c r="A353" i="295" s="1"/>
  <c r="A354" i="295" s="1"/>
  <c r="A355" i="295" s="1"/>
  <c r="A356" i="295" s="1"/>
  <c r="A357" i="295" s="1"/>
  <c r="A358" i="295" s="1"/>
  <c r="A359" i="295" s="1"/>
  <c r="A360" i="295" s="1"/>
  <c r="A361" i="295" s="1"/>
  <c r="A362" i="295" s="1"/>
  <c r="A363" i="295" s="1"/>
  <c r="A364" i="295" s="1"/>
  <c r="A365" i="295" s="1"/>
  <c r="A366" i="295" s="1"/>
  <c r="A367" i="295" s="1"/>
  <c r="A368" i="295" s="1"/>
  <c r="A369" i="295" s="1"/>
  <c r="A370" i="295" s="1"/>
  <c r="A371" i="295" s="1"/>
  <c r="A372" i="295" s="1"/>
  <c r="A373" i="295" s="1"/>
  <c r="A374" i="295" s="1"/>
  <c r="A375" i="295" s="1"/>
  <c r="A376" i="295" s="1"/>
  <c r="A377" i="295" s="1"/>
  <c r="A378" i="295" s="1"/>
  <c r="A379" i="295" s="1"/>
  <c r="A380" i="295" s="1"/>
  <c r="A381" i="295" s="1"/>
  <c r="A382" i="295" s="1"/>
  <c r="A383" i="295" s="1"/>
  <c r="A384" i="295" s="1"/>
  <c r="A385" i="295" s="1"/>
  <c r="A386" i="295" s="1"/>
  <c r="A387" i="295" s="1"/>
  <c r="A388" i="295" s="1"/>
  <c r="A389" i="295" s="1"/>
  <c r="A390" i="295" s="1"/>
  <c r="A391" i="295" s="1"/>
  <c r="A393" i="295" s="1"/>
  <c r="A395" i="295" s="1"/>
  <c r="N13" i="295"/>
  <c r="J13" i="295"/>
  <c r="O13" i="295" s="1"/>
  <c r="P13" i="295" s="1"/>
  <c r="Q13" i="295" s="1"/>
  <c r="H13" i="295"/>
  <c r="K13" i="295" s="1"/>
  <c r="L13" i="295" s="1"/>
  <c r="A13" i="295"/>
  <c r="N12" i="295"/>
  <c r="J12" i="295"/>
  <c r="O12" i="295" s="1"/>
  <c r="H12" i="295"/>
  <c r="K12" i="295" s="1"/>
  <c r="L12" i="295" s="1"/>
  <c r="Q9" i="295"/>
  <c r="P9" i="295"/>
  <c r="O9" i="295"/>
  <c r="N9" i="295"/>
  <c r="J17" i="25"/>
  <c r="N42" i="146"/>
  <c r="P41" i="146" s="1"/>
  <c r="T41" i="146" s="1"/>
  <c r="N30" i="146"/>
  <c r="P27" i="146" s="1"/>
  <c r="N18" i="146"/>
  <c r="P15" i="146" s="1"/>
  <c r="P34" i="295" l="1"/>
  <c r="Q34" i="295" s="1"/>
  <c r="P16" i="295"/>
  <c r="Q16" i="295" s="1"/>
  <c r="N139" i="295"/>
  <c r="K139" i="295"/>
  <c r="L139" i="295" s="1"/>
  <c r="P293" i="295"/>
  <c r="Q293" i="295" s="1"/>
  <c r="K360" i="295"/>
  <c r="L360" i="295" s="1"/>
  <c r="P380" i="295"/>
  <c r="Q380" i="295" s="1"/>
  <c r="K15" i="295"/>
  <c r="L15" i="295" s="1"/>
  <c r="K34" i="295"/>
  <c r="L34" i="295" s="1"/>
  <c r="K44" i="295"/>
  <c r="L44" i="295" s="1"/>
  <c r="O51" i="295"/>
  <c r="P51" i="295" s="1"/>
  <c r="Q51" i="295" s="1"/>
  <c r="P56" i="295"/>
  <c r="Q56" i="295" s="1"/>
  <c r="P60" i="295"/>
  <c r="Q60" i="295" s="1"/>
  <c r="P62" i="295"/>
  <c r="Q62" i="295" s="1"/>
  <c r="P70" i="295"/>
  <c r="Q70" i="295" s="1"/>
  <c r="P86" i="295"/>
  <c r="Q86" i="295" s="1"/>
  <c r="K116" i="295"/>
  <c r="L116" i="295" s="1"/>
  <c r="N126" i="295"/>
  <c r="K126" i="295"/>
  <c r="L126" i="295" s="1"/>
  <c r="K137" i="295"/>
  <c r="L137" i="295" s="1"/>
  <c r="K142" i="295"/>
  <c r="L142" i="295" s="1"/>
  <c r="K194" i="295"/>
  <c r="L194" i="295" s="1"/>
  <c r="N205" i="295"/>
  <c r="K205" i="295"/>
  <c r="L205" i="295" s="1"/>
  <c r="P265" i="295"/>
  <c r="Q265" i="295" s="1"/>
  <c r="P302" i="295"/>
  <c r="Q302" i="295" s="1"/>
  <c r="K311" i="295"/>
  <c r="L311" i="295" s="1"/>
  <c r="K334" i="295"/>
  <c r="L334" i="295" s="1"/>
  <c r="P348" i="295"/>
  <c r="Q348" i="295" s="1"/>
  <c r="K351" i="295"/>
  <c r="L351" i="295" s="1"/>
  <c r="N147" i="295"/>
  <c r="P147" i="295" s="1"/>
  <c r="Q147" i="295" s="1"/>
  <c r="K147" i="295"/>
  <c r="L147" i="295" s="1"/>
  <c r="P47" i="295"/>
  <c r="Q47" i="295" s="1"/>
  <c r="P128" i="295"/>
  <c r="Q128" i="295" s="1"/>
  <c r="K229" i="295"/>
  <c r="L229" i="295" s="1"/>
  <c r="P333" i="295"/>
  <c r="Q333" i="295" s="1"/>
  <c r="O35" i="295"/>
  <c r="P35" i="295" s="1"/>
  <c r="Q35" i="295" s="1"/>
  <c r="P37" i="295"/>
  <c r="Q37" i="295" s="1"/>
  <c r="P42" i="295"/>
  <c r="Q42" i="295" s="1"/>
  <c r="K69" i="295"/>
  <c r="L69" i="295" s="1"/>
  <c r="N82" i="295"/>
  <c r="P82" i="295" s="1"/>
  <c r="Q82" i="295" s="1"/>
  <c r="K82" i="295"/>
  <c r="L82" i="295" s="1"/>
  <c r="N94" i="295"/>
  <c r="K156" i="295"/>
  <c r="L156" i="295" s="1"/>
  <c r="P163" i="295"/>
  <c r="Q163" i="295" s="1"/>
  <c r="P192" i="295"/>
  <c r="Q192" i="295" s="1"/>
  <c r="N224" i="295"/>
  <c r="K224" i="295"/>
  <c r="L224" i="295" s="1"/>
  <c r="K273" i="295"/>
  <c r="L273" i="295" s="1"/>
  <c r="N273" i="295"/>
  <c r="P273" i="295" s="1"/>
  <c r="Q273" i="295" s="1"/>
  <c r="K318" i="295"/>
  <c r="L318" i="295" s="1"/>
  <c r="N318" i="295"/>
  <c r="P318" i="295" s="1"/>
  <c r="Q318" i="295" s="1"/>
  <c r="K99" i="295"/>
  <c r="L99" i="295" s="1"/>
  <c r="O99" i="295"/>
  <c r="P99" i="295" s="1"/>
  <c r="Q99" i="295" s="1"/>
  <c r="P15" i="295"/>
  <c r="Q15" i="295" s="1"/>
  <c r="N95" i="295"/>
  <c r="P95" i="295" s="1"/>
  <c r="Q95" i="295" s="1"/>
  <c r="K95" i="295"/>
  <c r="L95" i="295" s="1"/>
  <c r="P231" i="295"/>
  <c r="Q231" i="295" s="1"/>
  <c r="K240" i="295"/>
  <c r="L240" i="295" s="1"/>
  <c r="O240" i="295"/>
  <c r="P240" i="295" s="1"/>
  <c r="Q240" i="295" s="1"/>
  <c r="N255" i="295"/>
  <c r="P255" i="295" s="1"/>
  <c r="Q255" i="295" s="1"/>
  <c r="K255" i="295"/>
  <c r="L255" i="295" s="1"/>
  <c r="K280" i="295"/>
  <c r="L280" i="295" s="1"/>
  <c r="O280" i="295"/>
  <c r="P341" i="295"/>
  <c r="Q341" i="295" s="1"/>
  <c r="N218" i="295"/>
  <c r="P218" i="295" s="1"/>
  <c r="Q218" i="295" s="1"/>
  <c r="K218" i="295"/>
  <c r="L218" i="295" s="1"/>
  <c r="P12" i="295"/>
  <c r="Q12" i="295" s="1"/>
  <c r="K21" i="295"/>
  <c r="L21" i="295" s="1"/>
  <c r="K23" i="295"/>
  <c r="L23" i="295" s="1"/>
  <c r="P25" i="295"/>
  <c r="Q25" i="295" s="1"/>
  <c r="K40" i="295"/>
  <c r="L40" i="295" s="1"/>
  <c r="P48" i="295"/>
  <c r="Q48" i="295" s="1"/>
  <c r="P57" i="295"/>
  <c r="Q57" i="295" s="1"/>
  <c r="K63" i="295"/>
  <c r="L63" i="295" s="1"/>
  <c r="P69" i="295"/>
  <c r="Q69" i="295" s="1"/>
  <c r="K74" i="295"/>
  <c r="L74" i="295" s="1"/>
  <c r="P98" i="295"/>
  <c r="Q98" i="295" s="1"/>
  <c r="K111" i="295"/>
  <c r="L111" i="295" s="1"/>
  <c r="P124" i="295"/>
  <c r="Q124" i="295" s="1"/>
  <c r="P140" i="295"/>
  <c r="Q140" i="295" s="1"/>
  <c r="K174" i="295"/>
  <c r="L174" i="295" s="1"/>
  <c r="P280" i="295"/>
  <c r="Q280" i="295" s="1"/>
  <c r="K321" i="295"/>
  <c r="L321" i="295" s="1"/>
  <c r="N359" i="295"/>
  <c r="P359" i="295" s="1"/>
  <c r="Q359" i="295" s="1"/>
  <c r="K359" i="295"/>
  <c r="L359" i="295" s="1"/>
  <c r="L18" i="198"/>
  <c r="L19" i="198"/>
  <c r="P49" i="295"/>
  <c r="Q49" i="295" s="1"/>
  <c r="P64" i="295"/>
  <c r="Q64" i="295" s="1"/>
  <c r="O77" i="295"/>
  <c r="P36" i="295"/>
  <c r="Q36" i="295" s="1"/>
  <c r="P61" i="295"/>
  <c r="Q61" i="295" s="1"/>
  <c r="P74" i="295"/>
  <c r="Q74" i="295" s="1"/>
  <c r="K85" i="295"/>
  <c r="L85" i="295" s="1"/>
  <c r="K87" i="295"/>
  <c r="L87" i="295" s="1"/>
  <c r="P301" i="295"/>
  <c r="Q301" i="295" s="1"/>
  <c r="K337" i="295"/>
  <c r="L337" i="295" s="1"/>
  <c r="P374" i="295"/>
  <c r="Q374" i="295" s="1"/>
  <c r="P53" i="295"/>
  <c r="Q53" i="295" s="1"/>
  <c r="P18" i="295"/>
  <c r="Q18" i="295" s="1"/>
  <c r="K26" i="295"/>
  <c r="L26" i="295" s="1"/>
  <c r="P28" i="295"/>
  <c r="Q28" i="295" s="1"/>
  <c r="P43" i="295"/>
  <c r="Q43" i="295" s="1"/>
  <c r="K55" i="295"/>
  <c r="L55" i="295" s="1"/>
  <c r="K58" i="295"/>
  <c r="L58" i="295" s="1"/>
  <c r="K64" i="295"/>
  <c r="L64" i="295" s="1"/>
  <c r="K66" i="295"/>
  <c r="L66" i="295" s="1"/>
  <c r="P77" i="295"/>
  <c r="Q77" i="295" s="1"/>
  <c r="K93" i="295"/>
  <c r="L93" i="295" s="1"/>
  <c r="K131" i="295"/>
  <c r="L131" i="295" s="1"/>
  <c r="P159" i="295"/>
  <c r="Q159" i="295" s="1"/>
  <c r="N191" i="295"/>
  <c r="P191" i="295" s="1"/>
  <c r="Q191" i="295" s="1"/>
  <c r="K191" i="295"/>
  <c r="L191" i="295" s="1"/>
  <c r="N220" i="295"/>
  <c r="K220" i="295"/>
  <c r="L220" i="295" s="1"/>
  <c r="P229" i="295"/>
  <c r="Q229" i="295" s="1"/>
  <c r="K238" i="295"/>
  <c r="L238" i="295" s="1"/>
  <c r="N238" i="295"/>
  <c r="P274" i="295"/>
  <c r="Q274" i="295" s="1"/>
  <c r="N304" i="295"/>
  <c r="P304" i="295" s="1"/>
  <c r="Q304" i="295" s="1"/>
  <c r="K304" i="295"/>
  <c r="L304" i="295" s="1"/>
  <c r="N313" i="295"/>
  <c r="P313" i="295" s="1"/>
  <c r="Q313" i="295" s="1"/>
  <c r="K313" i="295"/>
  <c r="L313" i="295" s="1"/>
  <c r="P355" i="295"/>
  <c r="Q355" i="295" s="1"/>
  <c r="P360" i="295"/>
  <c r="Q360" i="295" s="1"/>
  <c r="P367" i="295"/>
  <c r="Q367" i="295" s="1"/>
  <c r="K382" i="295"/>
  <c r="L382" i="295" s="1"/>
  <c r="N382" i="295"/>
  <c r="P382" i="295" s="1"/>
  <c r="Q382" i="295" s="1"/>
  <c r="P390" i="295"/>
  <c r="Q390" i="295" s="1"/>
  <c r="K72" i="295"/>
  <c r="L72" i="295" s="1"/>
  <c r="P90" i="295"/>
  <c r="Q90" i="295" s="1"/>
  <c r="K92" i="295"/>
  <c r="L92" i="295" s="1"/>
  <c r="P103" i="295"/>
  <c r="Q103" i="295" s="1"/>
  <c r="K121" i="295"/>
  <c r="L121" i="295" s="1"/>
  <c r="P129" i="295"/>
  <c r="Q129" i="295" s="1"/>
  <c r="K135" i="295"/>
  <c r="L135" i="295" s="1"/>
  <c r="P152" i="295"/>
  <c r="Q152" i="295" s="1"/>
  <c r="K158" i="295"/>
  <c r="L158" i="295" s="1"/>
  <c r="K161" i="295"/>
  <c r="L161" i="295" s="1"/>
  <c r="P166" i="295"/>
  <c r="Q166" i="295" s="1"/>
  <c r="P168" i="295"/>
  <c r="Q168" i="295" s="1"/>
  <c r="K175" i="295"/>
  <c r="L175" i="295" s="1"/>
  <c r="K177" i="295"/>
  <c r="L177" i="295" s="1"/>
  <c r="K193" i="295"/>
  <c r="L193" i="295" s="1"/>
  <c r="P224" i="295"/>
  <c r="Q224" i="295" s="1"/>
  <c r="P234" i="295"/>
  <c r="Q234" i="295" s="1"/>
  <c r="K249" i="295"/>
  <c r="L249" i="295" s="1"/>
  <c r="K257" i="295"/>
  <c r="L257" i="295" s="1"/>
  <c r="P271" i="295"/>
  <c r="Q271" i="295" s="1"/>
  <c r="P282" i="295"/>
  <c r="Q282" i="295" s="1"/>
  <c r="P288" i="295"/>
  <c r="Q288" i="295" s="1"/>
  <c r="K301" i="295"/>
  <c r="L301" i="295" s="1"/>
  <c r="P334" i="295"/>
  <c r="Q334" i="295" s="1"/>
  <c r="K342" i="295"/>
  <c r="L342" i="295" s="1"/>
  <c r="P363" i="295"/>
  <c r="Q363" i="295" s="1"/>
  <c r="P371" i="295"/>
  <c r="Q371" i="295" s="1"/>
  <c r="K373" i="295"/>
  <c r="L373" i="295" s="1"/>
  <c r="P385" i="295"/>
  <c r="Q385" i="295" s="1"/>
  <c r="P93" i="295"/>
  <c r="Q93" i="295" s="1"/>
  <c r="P101" i="295"/>
  <c r="Q101" i="295" s="1"/>
  <c r="P154" i="295"/>
  <c r="Q154" i="295" s="1"/>
  <c r="P170" i="295"/>
  <c r="Q170" i="295" s="1"/>
  <c r="P294" i="295"/>
  <c r="Q294" i="295" s="1"/>
  <c r="K84" i="295"/>
  <c r="L84" i="295" s="1"/>
  <c r="K90" i="295"/>
  <c r="L90" i="295" s="1"/>
  <c r="K119" i="295"/>
  <c r="L119" i="295" s="1"/>
  <c r="K127" i="295"/>
  <c r="L127" i="295" s="1"/>
  <c r="K130" i="295"/>
  <c r="L130" i="295" s="1"/>
  <c r="P158" i="295"/>
  <c r="Q158" i="295" s="1"/>
  <c r="K198" i="295"/>
  <c r="L198" i="295" s="1"/>
  <c r="K200" i="295"/>
  <c r="L200" i="295" s="1"/>
  <c r="P206" i="295"/>
  <c r="Q206" i="295" s="1"/>
  <c r="K217" i="295"/>
  <c r="L217" i="295" s="1"/>
  <c r="K232" i="295"/>
  <c r="L232" i="295" s="1"/>
  <c r="K241" i="295"/>
  <c r="L241" i="295" s="1"/>
  <c r="P257" i="295"/>
  <c r="Q257" i="295" s="1"/>
  <c r="P259" i="295"/>
  <c r="Q259" i="295" s="1"/>
  <c r="K264" i="295"/>
  <c r="L264" i="295" s="1"/>
  <c r="P268" i="295"/>
  <c r="Q268" i="295" s="1"/>
  <c r="P279" i="295"/>
  <c r="Q279" i="295" s="1"/>
  <c r="O301" i="295"/>
  <c r="K303" i="295"/>
  <c r="L303" i="295" s="1"/>
  <c r="P305" i="295"/>
  <c r="Q305" i="295" s="1"/>
  <c r="K320" i="295"/>
  <c r="L320" i="295" s="1"/>
  <c r="K325" i="295"/>
  <c r="L325" i="295" s="1"/>
  <c r="P342" i="295"/>
  <c r="Q342" i="295" s="1"/>
  <c r="P345" i="295"/>
  <c r="Q345" i="295" s="1"/>
  <c r="P351" i="295"/>
  <c r="Q351" i="295" s="1"/>
  <c r="K354" i="295"/>
  <c r="L354" i="295" s="1"/>
  <c r="K364" i="295"/>
  <c r="L364" i="295" s="1"/>
  <c r="K367" i="295"/>
  <c r="L367" i="295" s="1"/>
  <c r="K379" i="295"/>
  <c r="L379" i="295" s="1"/>
  <c r="K381" i="295"/>
  <c r="L381" i="295" s="1"/>
  <c r="P133" i="295"/>
  <c r="Q133" i="295" s="1"/>
  <c r="P149" i="295"/>
  <c r="Q149" i="295" s="1"/>
  <c r="P193" i="295"/>
  <c r="Q193" i="295" s="1"/>
  <c r="P200" i="295"/>
  <c r="Q200" i="295" s="1"/>
  <c r="P220" i="295"/>
  <c r="Q220" i="295" s="1"/>
  <c r="P251" i="295"/>
  <c r="Q251" i="295" s="1"/>
  <c r="K259" i="295"/>
  <c r="L259" i="295" s="1"/>
  <c r="P263" i="295"/>
  <c r="Q263" i="295" s="1"/>
  <c r="P264" i="295"/>
  <c r="Q264" i="295" s="1"/>
  <c r="K266" i="295"/>
  <c r="L266" i="295" s="1"/>
  <c r="P281" i="295"/>
  <c r="Q281" i="295" s="1"/>
  <c r="N310" i="295"/>
  <c r="P310" i="295" s="1"/>
  <c r="Q310" i="295" s="1"/>
  <c r="N389" i="295"/>
  <c r="P389" i="295" s="1"/>
  <c r="Q389" i="295" s="1"/>
  <c r="P94" i="295"/>
  <c r="Q94" i="295" s="1"/>
  <c r="P102" i="295"/>
  <c r="Q102" i="295" s="1"/>
  <c r="P125" i="295"/>
  <c r="Q125" i="295" s="1"/>
  <c r="P141" i="295"/>
  <c r="Q141" i="295" s="1"/>
  <c r="P167" i="295"/>
  <c r="Q167" i="295" s="1"/>
  <c r="K180" i="295"/>
  <c r="L180" i="295" s="1"/>
  <c r="N182" i="295"/>
  <c r="P182" i="295" s="1"/>
  <c r="Q182" i="295" s="1"/>
  <c r="K204" i="295"/>
  <c r="L204" i="295" s="1"/>
  <c r="N230" i="295"/>
  <c r="P230" i="295" s="1"/>
  <c r="Q230" i="295" s="1"/>
  <c r="O232" i="295"/>
  <c r="P232" i="295" s="1"/>
  <c r="Q232" i="295" s="1"/>
  <c r="K239" i="295"/>
  <c r="L239" i="295" s="1"/>
  <c r="K244" i="295"/>
  <c r="L244" i="295" s="1"/>
  <c r="K251" i="295"/>
  <c r="L251" i="295" s="1"/>
  <c r="K272" i="295"/>
  <c r="L272" i="295" s="1"/>
  <c r="K302" i="295"/>
  <c r="L302" i="295" s="1"/>
  <c r="K305" i="295"/>
  <c r="L305" i="295" s="1"/>
  <c r="K314" i="295"/>
  <c r="L314" i="295" s="1"/>
  <c r="K324" i="295"/>
  <c r="L324" i="295" s="1"/>
  <c r="O325" i="295"/>
  <c r="P325" i="295" s="1"/>
  <c r="Q325" i="295" s="1"/>
  <c r="K332" i="295"/>
  <c r="L332" i="295" s="1"/>
  <c r="K339" i="295"/>
  <c r="L339" i="295" s="1"/>
  <c r="K341" i="295"/>
  <c r="L341" i="295" s="1"/>
  <c r="K362" i="295"/>
  <c r="L362" i="295" s="1"/>
  <c r="P369" i="295"/>
  <c r="Q369" i="295" s="1"/>
  <c r="P387" i="295"/>
  <c r="Q387" i="295" s="1"/>
  <c r="K71" i="295"/>
  <c r="L71" i="295" s="1"/>
  <c r="N84" i="295"/>
  <c r="P84" i="295" s="1"/>
  <c r="Q84" i="295" s="1"/>
  <c r="K91" i="295"/>
  <c r="L91" i="295" s="1"/>
  <c r="P107" i="295"/>
  <c r="Q107" i="295" s="1"/>
  <c r="K120" i="295"/>
  <c r="L120" i="295" s="1"/>
  <c r="K124" i="295"/>
  <c r="L124" i="295" s="1"/>
  <c r="K128" i="295"/>
  <c r="L128" i="295" s="1"/>
  <c r="K166" i="295"/>
  <c r="L166" i="295" s="1"/>
  <c r="K201" i="295"/>
  <c r="L201" i="295" s="1"/>
  <c r="P213" i="295"/>
  <c r="Q213" i="295" s="1"/>
  <c r="K245" i="295"/>
  <c r="L245" i="295" s="1"/>
  <c r="P260" i="295"/>
  <c r="Q260" i="295" s="1"/>
  <c r="K263" i="295"/>
  <c r="L263" i="295" s="1"/>
  <c r="K265" i="295"/>
  <c r="L265" i="295" s="1"/>
  <c r="P283" i="295"/>
  <c r="Q283" i="295" s="1"/>
  <c r="K297" i="295"/>
  <c r="L297" i="295" s="1"/>
  <c r="O317" i="295"/>
  <c r="P317" i="295" s="1"/>
  <c r="Q317" i="295" s="1"/>
  <c r="P321" i="295"/>
  <c r="Q321" i="295" s="1"/>
  <c r="K326" i="295"/>
  <c r="L326" i="295" s="1"/>
  <c r="P339" i="295"/>
  <c r="Q339" i="295" s="1"/>
  <c r="K349" i="295"/>
  <c r="L349" i="295" s="1"/>
  <c r="K355" i="295"/>
  <c r="L355" i="295" s="1"/>
  <c r="P358" i="295"/>
  <c r="Q358" i="295" s="1"/>
  <c r="K374" i="295"/>
  <c r="L374" i="295" s="1"/>
  <c r="P375" i="295"/>
  <c r="Q375" i="295" s="1"/>
  <c r="K380" i="295"/>
  <c r="L380" i="295" s="1"/>
  <c r="K390" i="295"/>
  <c r="L390" i="295" s="1"/>
  <c r="L27" i="198"/>
  <c r="N27" i="198" s="1"/>
  <c r="P27" i="198" s="1"/>
  <c r="L26" i="198"/>
  <c r="AJ68" i="287"/>
  <c r="P28" i="146"/>
  <c r="T28" i="146" s="1"/>
  <c r="P29" i="146"/>
  <c r="T29" i="146" s="1"/>
  <c r="P39" i="146"/>
  <c r="T39" i="146" s="1"/>
  <c r="T42" i="146" s="1"/>
  <c r="J39" i="146" s="1"/>
  <c r="AJ14" i="287"/>
  <c r="AJ18" i="287"/>
  <c r="AJ22" i="287"/>
  <c r="AJ33" i="287"/>
  <c r="AJ15" i="287"/>
  <c r="AJ23" i="287"/>
  <c r="Z40" i="287"/>
  <c r="AJ52" i="287"/>
  <c r="AJ70" i="287"/>
  <c r="Z27" i="287"/>
  <c r="AJ16" i="287"/>
  <c r="AJ20" i="287"/>
  <c r="AJ24" i="287"/>
  <c r="AJ31" i="287"/>
  <c r="AJ37" i="287"/>
  <c r="AJ40" i="287" s="1"/>
  <c r="AJ56" i="287"/>
  <c r="AJ50" i="287"/>
  <c r="AJ64" i="287"/>
  <c r="Z46" i="287"/>
  <c r="AJ58" i="287"/>
  <c r="AJ54" i="287"/>
  <c r="V66" i="287"/>
  <c r="AJ62" i="287"/>
  <c r="Z34" i="287"/>
  <c r="AJ44" i="287"/>
  <c r="AJ45" i="287"/>
  <c r="AJ39" i="287"/>
  <c r="AJ19" i="287"/>
  <c r="AB66" i="287"/>
  <c r="AJ48" i="287"/>
  <c r="AB12" i="287"/>
  <c r="AJ12" i="287" s="1"/>
  <c r="AB43" i="287"/>
  <c r="AJ43" i="287" s="1"/>
  <c r="AB30" i="287"/>
  <c r="AJ30" i="287" s="1"/>
  <c r="P76" i="295"/>
  <c r="Q76" i="295" s="1"/>
  <c r="P83" i="295"/>
  <c r="Q83" i="295" s="1"/>
  <c r="P17" i="295"/>
  <c r="Q17" i="295" s="1"/>
  <c r="P27" i="295"/>
  <c r="Q27" i="295" s="1"/>
  <c r="P20" i="295"/>
  <c r="Q20" i="295" s="1"/>
  <c r="N105" i="295"/>
  <c r="P105" i="295" s="1"/>
  <c r="Q105" i="295" s="1"/>
  <c r="K105" i="295"/>
  <c r="L105" i="295" s="1"/>
  <c r="K46" i="295"/>
  <c r="L46" i="295" s="1"/>
  <c r="K62" i="295"/>
  <c r="L62" i="295" s="1"/>
  <c r="K25" i="295"/>
  <c r="L25" i="295" s="1"/>
  <c r="K30" i="295"/>
  <c r="L30" i="295" s="1"/>
  <c r="P32" i="295"/>
  <c r="Q32" i="295" s="1"/>
  <c r="K41" i="295"/>
  <c r="L41" i="295" s="1"/>
  <c r="K75" i="295"/>
  <c r="L75" i="295" s="1"/>
  <c r="K83" i="295"/>
  <c r="L83" i="295" s="1"/>
  <c r="N88" i="295"/>
  <c r="P88" i="295" s="1"/>
  <c r="Q88" i="295" s="1"/>
  <c r="K88" i="295"/>
  <c r="L88" i="295" s="1"/>
  <c r="N96" i="295"/>
  <c r="P96" i="295" s="1"/>
  <c r="Q96" i="295" s="1"/>
  <c r="K96" i="295"/>
  <c r="L96" i="295" s="1"/>
  <c r="K103" i="295"/>
  <c r="L103" i="295" s="1"/>
  <c r="K165" i="295"/>
  <c r="L165" i="295" s="1"/>
  <c r="K190" i="295"/>
  <c r="L190" i="295" s="1"/>
  <c r="N190" i="295"/>
  <c r="P190" i="295" s="1"/>
  <c r="Q190" i="295" s="1"/>
  <c r="K32" i="295"/>
  <c r="L32" i="295" s="1"/>
  <c r="K19" i="295"/>
  <c r="L19" i="295" s="1"/>
  <c r="K42" i="295"/>
  <c r="L42" i="295" s="1"/>
  <c r="N73" i="295"/>
  <c r="P73" i="295" s="1"/>
  <c r="Q73" i="295" s="1"/>
  <c r="O211" i="295"/>
  <c r="K211" i="295"/>
  <c r="L211" i="295" s="1"/>
  <c r="N226" i="295"/>
  <c r="P226" i="295" s="1"/>
  <c r="Q226" i="295" s="1"/>
  <c r="K226" i="295"/>
  <c r="L226" i="295" s="1"/>
  <c r="K17" i="295"/>
  <c r="L17" i="295" s="1"/>
  <c r="K31" i="295"/>
  <c r="L31" i="295" s="1"/>
  <c r="N144" i="295"/>
  <c r="P144" i="295" s="1"/>
  <c r="Q144" i="295" s="1"/>
  <c r="K144" i="295"/>
  <c r="L144" i="295" s="1"/>
  <c r="K20" i="295"/>
  <c r="L20" i="295" s="1"/>
  <c r="K27" i="295"/>
  <c r="L27" i="295" s="1"/>
  <c r="P29" i="295"/>
  <c r="Q29" i="295" s="1"/>
  <c r="K52" i="295"/>
  <c r="L52" i="295" s="1"/>
  <c r="K56" i="295"/>
  <c r="L56" i="295" s="1"/>
  <c r="K65" i="295"/>
  <c r="L65" i="295" s="1"/>
  <c r="K70" i="295"/>
  <c r="L70" i="295" s="1"/>
  <c r="P72" i="295"/>
  <c r="Q72" i="295" s="1"/>
  <c r="K80" i="295"/>
  <c r="L80" i="295" s="1"/>
  <c r="N104" i="295"/>
  <c r="P104" i="295" s="1"/>
  <c r="Q104" i="295" s="1"/>
  <c r="K104" i="295"/>
  <c r="L104" i="295" s="1"/>
  <c r="K134" i="295"/>
  <c r="L134" i="295" s="1"/>
  <c r="P136" i="295"/>
  <c r="Q136" i="295" s="1"/>
  <c r="P139" i="295"/>
  <c r="Q139" i="295" s="1"/>
  <c r="P142" i="295"/>
  <c r="Q142" i="295" s="1"/>
  <c r="P169" i="295"/>
  <c r="Q169" i="295" s="1"/>
  <c r="K196" i="295"/>
  <c r="L196" i="295" s="1"/>
  <c r="P208" i="295"/>
  <c r="Q208" i="295" s="1"/>
  <c r="N189" i="295"/>
  <c r="P189" i="295" s="1"/>
  <c r="Q189" i="295" s="1"/>
  <c r="K189" i="295"/>
  <c r="L189" i="295" s="1"/>
  <c r="K36" i="295"/>
  <c r="L36" i="295" s="1"/>
  <c r="K49" i="295"/>
  <c r="L49" i="295" s="1"/>
  <c r="K53" i="295"/>
  <c r="L53" i="295" s="1"/>
  <c r="N81" i="295"/>
  <c r="P81" i="295" s="1"/>
  <c r="Q81" i="295" s="1"/>
  <c r="N112" i="295"/>
  <c r="P112" i="295" s="1"/>
  <c r="Q112" i="295" s="1"/>
  <c r="K112" i="295"/>
  <c r="L112" i="295" s="1"/>
  <c r="P116" i="295"/>
  <c r="Q116" i="295" s="1"/>
  <c r="P131" i="295"/>
  <c r="Q131" i="295" s="1"/>
  <c r="P134" i="295"/>
  <c r="Q134" i="295" s="1"/>
  <c r="K143" i="295"/>
  <c r="L143" i="295" s="1"/>
  <c r="P153" i="295"/>
  <c r="Q153" i="295" s="1"/>
  <c r="P188" i="295"/>
  <c r="Q188" i="295" s="1"/>
  <c r="P194" i="295"/>
  <c r="Q194" i="295" s="1"/>
  <c r="N199" i="295"/>
  <c r="P199" i="295" s="1"/>
  <c r="Q199" i="295" s="1"/>
  <c r="K199" i="295"/>
  <c r="L199" i="295" s="1"/>
  <c r="P24" i="295"/>
  <c r="Q24" i="295" s="1"/>
  <c r="P40" i="295"/>
  <c r="Q40" i="295" s="1"/>
  <c r="P80" i="295"/>
  <c r="Q80" i="295" s="1"/>
  <c r="N89" i="295"/>
  <c r="P89" i="295" s="1"/>
  <c r="Q89" i="295" s="1"/>
  <c r="K89" i="295"/>
  <c r="L89" i="295" s="1"/>
  <c r="N164" i="295"/>
  <c r="P164" i="295" s="1"/>
  <c r="Q164" i="295" s="1"/>
  <c r="K164" i="295"/>
  <c r="L164" i="295" s="1"/>
  <c r="N228" i="295"/>
  <c r="P228" i="295" s="1"/>
  <c r="Q228" i="295" s="1"/>
  <c r="K228" i="295"/>
  <c r="L228" i="295" s="1"/>
  <c r="N269" i="295"/>
  <c r="P269" i="295" s="1"/>
  <c r="Q269" i="295" s="1"/>
  <c r="K269" i="295"/>
  <c r="L269" i="295" s="1"/>
  <c r="N52" i="295"/>
  <c r="P52" i="295" s="1"/>
  <c r="Q52" i="295" s="1"/>
  <c r="K76" i="295"/>
  <c r="L76" i="295" s="1"/>
  <c r="K79" i="295"/>
  <c r="L79" i="295" s="1"/>
  <c r="P110" i="295"/>
  <c r="Q110" i="295" s="1"/>
  <c r="K118" i="295"/>
  <c r="L118" i="295" s="1"/>
  <c r="P120" i="295"/>
  <c r="Q120" i="295" s="1"/>
  <c r="P123" i="295"/>
  <c r="Q123" i="295" s="1"/>
  <c r="P126" i="295"/>
  <c r="Q126" i="295" s="1"/>
  <c r="N162" i="295"/>
  <c r="P162" i="295" s="1"/>
  <c r="Q162" i="295" s="1"/>
  <c r="K162" i="295"/>
  <c r="L162" i="295" s="1"/>
  <c r="O179" i="295"/>
  <c r="P179" i="295" s="1"/>
  <c r="Q179" i="295" s="1"/>
  <c r="K179" i="295"/>
  <c r="L179" i="295" s="1"/>
  <c r="K181" i="295"/>
  <c r="L181" i="295" s="1"/>
  <c r="P201" i="295"/>
  <c r="Q201" i="295" s="1"/>
  <c r="P165" i="295"/>
  <c r="Q165" i="295" s="1"/>
  <c r="P181" i="295"/>
  <c r="Q181" i="295" s="1"/>
  <c r="K237" i="295"/>
  <c r="L237" i="295" s="1"/>
  <c r="N237" i="295"/>
  <c r="P237" i="295" s="1"/>
  <c r="Q237" i="295" s="1"/>
  <c r="O243" i="295"/>
  <c r="P243" i="295" s="1"/>
  <c r="Q243" i="295" s="1"/>
  <c r="K243" i="295"/>
  <c r="L243" i="295" s="1"/>
  <c r="N276" i="295"/>
  <c r="P276" i="295" s="1"/>
  <c r="Q276" i="295" s="1"/>
  <c r="K276" i="295"/>
  <c r="L276" i="295" s="1"/>
  <c r="K163" i="295"/>
  <c r="L163" i="295" s="1"/>
  <c r="K203" i="295"/>
  <c r="L203" i="295" s="1"/>
  <c r="N254" i="295"/>
  <c r="P254" i="295" s="1"/>
  <c r="Q254" i="295" s="1"/>
  <c r="K254" i="295"/>
  <c r="L254" i="295" s="1"/>
  <c r="N386" i="295"/>
  <c r="P386" i="295" s="1"/>
  <c r="Q386" i="295" s="1"/>
  <c r="K386" i="295"/>
  <c r="L386" i="295" s="1"/>
  <c r="K129" i="295"/>
  <c r="L129" i="295" s="1"/>
  <c r="K145" i="295"/>
  <c r="L145" i="295" s="1"/>
  <c r="K176" i="295"/>
  <c r="L176" i="295" s="1"/>
  <c r="P178" i="295"/>
  <c r="Q178" i="295" s="1"/>
  <c r="K185" i="295"/>
  <c r="L185" i="295" s="1"/>
  <c r="K188" i="295"/>
  <c r="L188" i="295" s="1"/>
  <c r="K195" i="295"/>
  <c r="L195" i="295" s="1"/>
  <c r="P205" i="295"/>
  <c r="Q205" i="295" s="1"/>
  <c r="P211" i="295"/>
  <c r="Q211" i="295" s="1"/>
  <c r="K213" i="295"/>
  <c r="L213" i="295" s="1"/>
  <c r="N215" i="295"/>
  <c r="P215" i="295" s="1"/>
  <c r="Q215" i="295" s="1"/>
  <c r="K215" i="295"/>
  <c r="L215" i="295" s="1"/>
  <c r="P244" i="295"/>
  <c r="Q244" i="295" s="1"/>
  <c r="K267" i="295"/>
  <c r="L267" i="295" s="1"/>
  <c r="K106" i="295"/>
  <c r="L106" i="295" s="1"/>
  <c r="K114" i="295"/>
  <c r="L114" i="295" s="1"/>
  <c r="K153" i="295"/>
  <c r="L153" i="295" s="1"/>
  <c r="N161" i="295"/>
  <c r="P161" i="295" s="1"/>
  <c r="Q161" i="295" s="1"/>
  <c r="K169" i="295"/>
  <c r="L169" i="295" s="1"/>
  <c r="N174" i="295"/>
  <c r="P174" i="295" s="1"/>
  <c r="Q174" i="295" s="1"/>
  <c r="P197" i="295"/>
  <c r="Q197" i="295" s="1"/>
  <c r="P203" i="295"/>
  <c r="Q203" i="295" s="1"/>
  <c r="P212" i="295"/>
  <c r="Q212" i="295" s="1"/>
  <c r="N242" i="295"/>
  <c r="P242" i="295" s="1"/>
  <c r="Q242" i="295" s="1"/>
  <c r="K242" i="295"/>
  <c r="L242" i="295" s="1"/>
  <c r="P173" i="295"/>
  <c r="Q173" i="295" s="1"/>
  <c r="P195" i="295"/>
  <c r="Q195" i="295" s="1"/>
  <c r="K225" i="295"/>
  <c r="L225" i="295" s="1"/>
  <c r="N225" i="295"/>
  <c r="P225" i="295" s="1"/>
  <c r="Q225" i="295" s="1"/>
  <c r="O227" i="295"/>
  <c r="P227" i="295" s="1"/>
  <c r="Q227" i="295" s="1"/>
  <c r="K227" i="295"/>
  <c r="L227" i="295" s="1"/>
  <c r="N370" i="295"/>
  <c r="P370" i="295" s="1"/>
  <c r="Q370" i="295" s="1"/>
  <c r="K370" i="295"/>
  <c r="L370" i="295" s="1"/>
  <c r="K155" i="295"/>
  <c r="L155" i="295" s="1"/>
  <c r="P157" i="295"/>
  <c r="Q157" i="295" s="1"/>
  <c r="K183" i="295"/>
  <c r="L183" i="295" s="1"/>
  <c r="N185" i="295"/>
  <c r="P185" i="295" s="1"/>
  <c r="Q185" i="295" s="1"/>
  <c r="P186" i="295"/>
  <c r="Q186" i="295" s="1"/>
  <c r="K197" i="295"/>
  <c r="L197" i="295" s="1"/>
  <c r="P202" i="295"/>
  <c r="Q202" i="295" s="1"/>
  <c r="N207" i="295"/>
  <c r="P207" i="295" s="1"/>
  <c r="Q207" i="295" s="1"/>
  <c r="K207" i="295"/>
  <c r="L207" i="295" s="1"/>
  <c r="K212" i="295"/>
  <c r="L212" i="295" s="1"/>
  <c r="N214" i="295"/>
  <c r="P214" i="295" s="1"/>
  <c r="Q214" i="295" s="1"/>
  <c r="K214" i="295"/>
  <c r="L214" i="295" s="1"/>
  <c r="K219" i="295"/>
  <c r="L219" i="295" s="1"/>
  <c r="N236" i="295"/>
  <c r="P236" i="295" s="1"/>
  <c r="Q236" i="295" s="1"/>
  <c r="K236" i="295"/>
  <c r="L236" i="295" s="1"/>
  <c r="P238" i="295"/>
  <c r="Q238" i="295" s="1"/>
  <c r="P249" i="295"/>
  <c r="Q249" i="295" s="1"/>
  <c r="N262" i="295"/>
  <c r="P262" i="295" s="1"/>
  <c r="Q262" i="295" s="1"/>
  <c r="K262" i="295"/>
  <c r="L262" i="295" s="1"/>
  <c r="N277" i="295"/>
  <c r="P277" i="295" s="1"/>
  <c r="Q277" i="295" s="1"/>
  <c r="K277" i="295"/>
  <c r="L277" i="295" s="1"/>
  <c r="N346" i="295"/>
  <c r="P346" i="295" s="1"/>
  <c r="Q346" i="295" s="1"/>
  <c r="K346" i="295"/>
  <c r="L346" i="295" s="1"/>
  <c r="K377" i="295"/>
  <c r="L377" i="295" s="1"/>
  <c r="K222" i="295"/>
  <c r="L222" i="295" s="1"/>
  <c r="K233" i="295"/>
  <c r="L233" i="295" s="1"/>
  <c r="P267" i="295"/>
  <c r="Q267" i="295" s="1"/>
  <c r="O296" i="295"/>
  <c r="P296" i="295" s="1"/>
  <c r="Q296" i="295" s="1"/>
  <c r="K296" i="295"/>
  <c r="L296" i="295" s="1"/>
  <c r="K322" i="295"/>
  <c r="L322" i="295" s="1"/>
  <c r="P335" i="295"/>
  <c r="Q335" i="295" s="1"/>
  <c r="O361" i="295"/>
  <c r="K361" i="295"/>
  <c r="L361" i="295" s="1"/>
  <c r="K223" i="295"/>
  <c r="L223" i="295" s="1"/>
  <c r="K234" i="295"/>
  <c r="L234" i="295" s="1"/>
  <c r="N253" i="295"/>
  <c r="P253" i="295" s="1"/>
  <c r="Q253" i="295" s="1"/>
  <c r="K253" i="295"/>
  <c r="L253" i="295" s="1"/>
  <c r="K260" i="295"/>
  <c r="L260" i="295" s="1"/>
  <c r="N241" i="295"/>
  <c r="P241" i="295" s="1"/>
  <c r="Q241" i="295" s="1"/>
  <c r="K275" i="295"/>
  <c r="L275" i="295" s="1"/>
  <c r="N285" i="295"/>
  <c r="P285" i="295" s="1"/>
  <c r="Q285" i="295" s="1"/>
  <c r="K285" i="295"/>
  <c r="L285" i="295" s="1"/>
  <c r="P287" i="295"/>
  <c r="Q287" i="295" s="1"/>
  <c r="K306" i="295"/>
  <c r="L306" i="295" s="1"/>
  <c r="N222" i="295"/>
  <c r="P222" i="295" s="1"/>
  <c r="Q222" i="295" s="1"/>
  <c r="K231" i="295"/>
  <c r="L231" i="295" s="1"/>
  <c r="N233" i="295"/>
  <c r="P233" i="295" s="1"/>
  <c r="Q233" i="295" s="1"/>
  <c r="N246" i="295"/>
  <c r="P246" i="295" s="1"/>
  <c r="Q246" i="295" s="1"/>
  <c r="N261" i="295"/>
  <c r="P261" i="295" s="1"/>
  <c r="Q261" i="295" s="1"/>
  <c r="K261" i="295"/>
  <c r="L261" i="295" s="1"/>
  <c r="K268" i="295"/>
  <c r="L268" i="295" s="1"/>
  <c r="P272" i="295"/>
  <c r="Q272" i="295" s="1"/>
  <c r="P275" i="295"/>
  <c r="Q275" i="295" s="1"/>
  <c r="N388" i="295"/>
  <c r="P388" i="295" s="1"/>
  <c r="Q388" i="295" s="1"/>
  <c r="K388" i="295"/>
  <c r="L388" i="295" s="1"/>
  <c r="N299" i="295"/>
  <c r="P299" i="295" s="1"/>
  <c r="Q299" i="295" s="1"/>
  <c r="K299" i="295"/>
  <c r="L299" i="295" s="1"/>
  <c r="N307" i="295"/>
  <c r="P307" i="295" s="1"/>
  <c r="Q307" i="295" s="1"/>
  <c r="K307" i="295"/>
  <c r="L307" i="295" s="1"/>
  <c r="N315" i="295"/>
  <c r="P315" i="295" s="1"/>
  <c r="Q315" i="295" s="1"/>
  <c r="K315" i="295"/>
  <c r="L315" i="295" s="1"/>
  <c r="N323" i="295"/>
  <c r="P323" i="295" s="1"/>
  <c r="Q323" i="295" s="1"/>
  <c r="K323" i="295"/>
  <c r="L323" i="295" s="1"/>
  <c r="P328" i="295"/>
  <c r="Q328" i="295" s="1"/>
  <c r="P337" i="295"/>
  <c r="Q337" i="295" s="1"/>
  <c r="P368" i="295"/>
  <c r="Q368" i="295" s="1"/>
  <c r="P377" i="295"/>
  <c r="Q377" i="295" s="1"/>
  <c r="K270" i="295"/>
  <c r="L270" i="295" s="1"/>
  <c r="K278" i="295"/>
  <c r="L278" i="295" s="1"/>
  <c r="K286" i="295"/>
  <c r="L286" i="295" s="1"/>
  <c r="P303" i="295"/>
  <c r="Q303" i="295" s="1"/>
  <c r="P311" i="295"/>
  <c r="Q311" i="295" s="1"/>
  <c r="P319" i="295"/>
  <c r="Q319" i="295" s="1"/>
  <c r="P330" i="295"/>
  <c r="Q330" i="295" s="1"/>
  <c r="P343" i="295"/>
  <c r="Q343" i="295" s="1"/>
  <c r="N347" i="295"/>
  <c r="P347" i="295" s="1"/>
  <c r="Q347" i="295" s="1"/>
  <c r="K347" i="295"/>
  <c r="L347" i="295" s="1"/>
  <c r="P352" i="295"/>
  <c r="Q352" i="295" s="1"/>
  <c r="P354" i="295"/>
  <c r="Q354" i="295" s="1"/>
  <c r="P361" i="295"/>
  <c r="Q361" i="295" s="1"/>
  <c r="P383" i="295"/>
  <c r="Q383" i="295" s="1"/>
  <c r="K387" i="295"/>
  <c r="L387" i="295" s="1"/>
  <c r="K271" i="295"/>
  <c r="L271" i="295" s="1"/>
  <c r="K279" i="295"/>
  <c r="L279" i="295" s="1"/>
  <c r="K287" i="295"/>
  <c r="L287" i="295" s="1"/>
  <c r="K288" i="295"/>
  <c r="L288" i="295" s="1"/>
  <c r="K289" i="295"/>
  <c r="L289" i="295" s="1"/>
  <c r="K290" i="295"/>
  <c r="L290" i="295" s="1"/>
  <c r="K292" i="295"/>
  <c r="L292" i="295" s="1"/>
  <c r="P295" i="295"/>
  <c r="Q295" i="295" s="1"/>
  <c r="P353" i="295"/>
  <c r="Q353" i="295" s="1"/>
  <c r="N291" i="295"/>
  <c r="P291" i="295" s="1"/>
  <c r="Q291" i="295" s="1"/>
  <c r="P297" i="295"/>
  <c r="Q297" i="295" s="1"/>
  <c r="K298" i="295"/>
  <c r="L298" i="295" s="1"/>
  <c r="K329" i="295"/>
  <c r="L329" i="295" s="1"/>
  <c r="N331" i="295"/>
  <c r="P331" i="295" s="1"/>
  <c r="Q331" i="295" s="1"/>
  <c r="K331" i="295"/>
  <c r="L331" i="295" s="1"/>
  <c r="P336" i="295"/>
  <c r="Q336" i="295" s="1"/>
  <c r="K338" i="295"/>
  <c r="L338" i="295" s="1"/>
  <c r="K369" i="295"/>
  <c r="L369" i="295" s="1"/>
  <c r="P376" i="295"/>
  <c r="Q376" i="295" s="1"/>
  <c r="K378" i="295"/>
  <c r="L378" i="295" s="1"/>
  <c r="P298" i="295"/>
  <c r="Q298" i="295" s="1"/>
  <c r="N300" i="295"/>
  <c r="P300" i="295" s="1"/>
  <c r="Q300" i="295" s="1"/>
  <c r="K300" i="295"/>
  <c r="L300" i="295" s="1"/>
  <c r="P306" i="295"/>
  <c r="Q306" i="295" s="1"/>
  <c r="N308" i="295"/>
  <c r="P308" i="295" s="1"/>
  <c r="Q308" i="295" s="1"/>
  <c r="K308" i="295"/>
  <c r="L308" i="295" s="1"/>
  <c r="P314" i="295"/>
  <c r="Q314" i="295" s="1"/>
  <c r="N316" i="295"/>
  <c r="P316" i="295" s="1"/>
  <c r="Q316" i="295" s="1"/>
  <c r="K316" i="295"/>
  <c r="L316" i="295" s="1"/>
  <c r="P322" i="295"/>
  <c r="Q322" i="295" s="1"/>
  <c r="P338" i="295"/>
  <c r="Q338" i="295" s="1"/>
  <c r="K353" i="295"/>
  <c r="L353" i="295" s="1"/>
  <c r="P378" i="295"/>
  <c r="Q378" i="295" s="1"/>
  <c r="P16" i="146"/>
  <c r="T16" i="146" s="1"/>
  <c r="P17" i="146"/>
  <c r="T17" i="146" s="1"/>
  <c r="P40" i="146"/>
  <c r="T40" i="146" s="1"/>
  <c r="T27" i="146"/>
  <c r="Q393" i="295" l="1"/>
  <c r="Q395" i="295" s="1"/>
  <c r="AF26" i="287" s="1"/>
  <c r="AH26" i="287" s="1"/>
  <c r="P30" i="146"/>
  <c r="L393" i="295"/>
  <c r="L395" i="295" s="1"/>
  <c r="T30" i="146"/>
  <c r="J27" i="146" s="1"/>
  <c r="AJ34" i="287"/>
  <c r="Z66" i="287"/>
  <c r="AJ46" i="287"/>
  <c r="P42" i="146"/>
  <c r="L20" i="198" l="1"/>
  <c r="AJ26" i="287"/>
  <c r="AJ27" i="287" s="1"/>
  <c r="AJ66" i="287"/>
  <c r="AJ74" i="287" s="1"/>
  <c r="AJ78" i="287" s="1"/>
  <c r="AJ82" i="287" s="1"/>
  <c r="P13" i="198" s="1"/>
  <c r="H14" i="288"/>
  <c r="H18" i="288" s="1"/>
  <c r="H15" i="288"/>
  <c r="H16" i="288"/>
  <c r="H17" i="288"/>
  <c r="H13" i="288"/>
  <c r="J15" i="294"/>
  <c r="J14" i="294"/>
  <c r="J16" i="294" s="1"/>
  <c r="J41" i="294" s="1"/>
  <c r="F16" i="294"/>
  <c r="F41" i="294" s="1"/>
  <c r="H34" i="121"/>
  <c r="G34" i="121"/>
  <c r="E34" i="121"/>
  <c r="H33" i="121"/>
  <c r="G33" i="121"/>
  <c r="E33" i="121"/>
  <c r="H32" i="121"/>
  <c r="G32" i="121"/>
  <c r="E32" i="121"/>
  <c r="G31" i="121"/>
  <c r="E31" i="121"/>
  <c r="H30" i="121"/>
  <c r="G30" i="121"/>
  <c r="E30" i="121"/>
  <c r="H29" i="121"/>
  <c r="G29" i="121"/>
  <c r="E29" i="121"/>
  <c r="H28" i="121"/>
  <c r="G28" i="121"/>
  <c r="E28" i="121"/>
  <c r="H27" i="121"/>
  <c r="G27" i="121"/>
  <c r="E27" i="121"/>
  <c r="H26" i="121"/>
  <c r="G26" i="121"/>
  <c r="E26" i="121"/>
  <c r="H25" i="121"/>
  <c r="G25" i="121"/>
  <c r="E25" i="121"/>
  <c r="H24" i="121"/>
  <c r="G24" i="121"/>
  <c r="E24" i="121"/>
  <c r="H23" i="121"/>
  <c r="G23" i="121"/>
  <c r="E23" i="121"/>
  <c r="H22" i="121"/>
  <c r="G22" i="121"/>
  <c r="E22" i="121"/>
  <c r="G20" i="121"/>
  <c r="E20" i="121"/>
  <c r="G19" i="121"/>
  <c r="E19" i="121"/>
  <c r="G18" i="121"/>
  <c r="E18" i="121"/>
  <c r="H17" i="121"/>
  <c r="G17" i="121"/>
  <c r="E17" i="121"/>
  <c r="G13" i="121"/>
  <c r="E13" i="121"/>
  <c r="J22" i="294"/>
  <c r="F22" i="294"/>
  <c r="F19" i="294"/>
  <c r="B5" i="294"/>
  <c r="J3" i="294"/>
  <c r="B3" i="294"/>
  <c r="B1" i="294"/>
  <c r="B5" i="292"/>
  <c r="J3" i="292"/>
  <c r="B3" i="292"/>
  <c r="B1" i="292"/>
  <c r="B5" i="291"/>
  <c r="J3" i="291"/>
  <c r="B3" i="291"/>
  <c r="B1" i="291"/>
  <c r="B5" i="290"/>
  <c r="J3" i="290"/>
  <c r="B3" i="290"/>
  <c r="B1" i="290"/>
  <c r="B5" i="289"/>
  <c r="J3" i="289"/>
  <c r="B3" i="289"/>
  <c r="B1" i="289"/>
  <c r="H14" i="285"/>
  <c r="J40" i="285"/>
  <c r="J42" i="285" s="1"/>
  <c r="J44" i="285" s="1"/>
  <c r="J13" i="285" s="1"/>
  <c r="F20" i="288"/>
  <c r="J19" i="288"/>
  <c r="F18" i="288"/>
  <c r="J26" i="288"/>
  <c r="F26" i="288"/>
  <c r="F22" i="288"/>
  <c r="B5" i="288"/>
  <c r="J3" i="288"/>
  <c r="B3" i="288"/>
  <c r="B1" i="288"/>
  <c r="H13" i="285" l="1"/>
  <c r="J20" i="285"/>
  <c r="F23" i="288"/>
  <c r="H16" i="294"/>
  <c r="H41" i="294" s="1"/>
  <c r="AO44" i="187" s="1"/>
  <c r="J19" i="294"/>
  <c r="H19" i="294" s="1"/>
  <c r="F21" i="294"/>
  <c r="F23" i="294" s="1"/>
  <c r="F25" i="294" s="1"/>
  <c r="F43" i="294" s="1"/>
  <c r="F45" i="294" s="1"/>
  <c r="J18" i="288"/>
  <c r="J20" i="288" s="1"/>
  <c r="F25" i="288"/>
  <c r="F27" i="288" s="1"/>
  <c r="F29" i="288" s="1"/>
  <c r="F31" i="288" s="1"/>
  <c r="J21" i="294" l="1"/>
  <c r="J23" i="294" s="1"/>
  <c r="H20" i="288"/>
  <c r="AM43" i="187" s="1"/>
  <c r="H23" i="294"/>
  <c r="J25" i="294"/>
  <c r="J43" i="294" s="1"/>
  <c r="J45" i="294" s="1"/>
  <c r="H25" i="294" l="1"/>
  <c r="H43" i="294" s="1"/>
  <c r="J31" i="287"/>
  <c r="L31" i="287" s="1"/>
  <c r="J18" i="287"/>
  <c r="L18" i="287" s="1"/>
  <c r="J72" i="287"/>
  <c r="L72" i="287" s="1"/>
  <c r="R70" i="287"/>
  <c r="J70" i="287"/>
  <c r="L70" i="287" s="1"/>
  <c r="J68" i="287"/>
  <c r="L68" i="287" s="1"/>
  <c r="R60" i="287"/>
  <c r="J60" i="287"/>
  <c r="L60" i="287" s="1"/>
  <c r="R58" i="287"/>
  <c r="R56" i="287"/>
  <c r="J56" i="287"/>
  <c r="L56" i="287" s="1"/>
  <c r="R54" i="287"/>
  <c r="J54" i="287"/>
  <c r="L54" i="287" s="1"/>
  <c r="R52" i="287"/>
  <c r="L52" i="287"/>
  <c r="H52" i="287"/>
  <c r="H50" i="287"/>
  <c r="J50" i="287" s="1"/>
  <c r="L50" i="287" s="1"/>
  <c r="J48" i="287"/>
  <c r="L48" i="287" s="1"/>
  <c r="J45" i="287"/>
  <c r="L45" i="287" s="1"/>
  <c r="J44" i="287"/>
  <c r="L44" i="287" s="1"/>
  <c r="R43" i="287"/>
  <c r="F46" i="287"/>
  <c r="F40" i="287"/>
  <c r="R39" i="287"/>
  <c r="J39" i="287"/>
  <c r="L39" i="287" s="1"/>
  <c r="R38" i="287"/>
  <c r="J38" i="287"/>
  <c r="L38" i="287" s="1"/>
  <c r="R37" i="287"/>
  <c r="J37" i="287"/>
  <c r="L37" i="287" s="1"/>
  <c r="F34" i="287"/>
  <c r="R33" i="287"/>
  <c r="J33" i="287"/>
  <c r="L33" i="287" s="1"/>
  <c r="R32" i="287"/>
  <c r="J32" i="287"/>
  <c r="L32" i="287" s="1"/>
  <c r="R31" i="287"/>
  <c r="R30" i="287"/>
  <c r="J30" i="287"/>
  <c r="R26" i="287"/>
  <c r="J26" i="287"/>
  <c r="L26" i="287" s="1"/>
  <c r="R25" i="287"/>
  <c r="J25" i="287"/>
  <c r="L25" i="287" s="1"/>
  <c r="R24" i="287"/>
  <c r="J24" i="287"/>
  <c r="L24" i="287" s="1"/>
  <c r="R23" i="287"/>
  <c r="J23" i="287"/>
  <c r="L23" i="287" s="1"/>
  <c r="R22" i="287"/>
  <c r="J22" i="287"/>
  <c r="L22" i="287" s="1"/>
  <c r="R21" i="287"/>
  <c r="J21" i="287"/>
  <c r="L21" i="287" s="1"/>
  <c r="R20" i="287"/>
  <c r="J20" i="287"/>
  <c r="L20" i="287" s="1"/>
  <c r="R19" i="287"/>
  <c r="J19" i="287"/>
  <c r="L19" i="287" s="1"/>
  <c r="R18" i="287"/>
  <c r="R17" i="287"/>
  <c r="J17" i="287"/>
  <c r="L17" i="287" s="1"/>
  <c r="F27" i="287"/>
  <c r="R15" i="287"/>
  <c r="J15" i="287"/>
  <c r="L15" i="287" s="1"/>
  <c r="J14" i="287"/>
  <c r="L14" i="287" s="1"/>
  <c r="R13" i="287"/>
  <c r="J13" i="287"/>
  <c r="L13" i="287" s="1"/>
  <c r="B13" i="287"/>
  <c r="B14" i="287" s="1"/>
  <c r="B15" i="287" s="1"/>
  <c r="B16" i="287" s="1"/>
  <c r="B17" i="287" s="1"/>
  <c r="B18" i="287" s="1"/>
  <c r="B19" i="287" s="1"/>
  <c r="B20" i="287" s="1"/>
  <c r="B21" i="287" s="1"/>
  <c r="B22" i="287" s="1"/>
  <c r="B23" i="287" s="1"/>
  <c r="B24" i="287" s="1"/>
  <c r="B25" i="287" s="1"/>
  <c r="B26" i="287" s="1"/>
  <c r="B27" i="287" s="1"/>
  <c r="B29" i="287" s="1"/>
  <c r="B30" i="287" s="1"/>
  <c r="B31" i="287" s="1"/>
  <c r="B32" i="287" s="1"/>
  <c r="B33" i="287" s="1"/>
  <c r="B34" i="287" s="1"/>
  <c r="B36" i="287" s="1"/>
  <c r="B37" i="287" s="1"/>
  <c r="B38" i="287" s="1"/>
  <c r="B39" i="287" s="1"/>
  <c r="B40" i="287" s="1"/>
  <c r="B42" i="287" s="1"/>
  <c r="B43" i="287" s="1"/>
  <c r="B44" i="287" s="1"/>
  <c r="B45" i="287" s="1"/>
  <c r="B46" i="287" s="1"/>
  <c r="B48" i="287" s="1"/>
  <c r="B50" i="287" s="1"/>
  <c r="B52" i="287" s="1"/>
  <c r="B54" i="287" s="1"/>
  <c r="B56" i="287" s="1"/>
  <c r="B58" i="287" s="1"/>
  <c r="B60" i="287" s="1"/>
  <c r="B62" i="287" s="1"/>
  <c r="B64" i="287" s="1"/>
  <c r="B66" i="287" s="1"/>
  <c r="B68" i="287" s="1"/>
  <c r="B70" i="287" s="1"/>
  <c r="B72" i="287" s="1"/>
  <c r="B74" i="287" s="1"/>
  <c r="B76" i="287" s="1"/>
  <c r="B78" i="287" s="1"/>
  <c r="B80" i="287" s="1"/>
  <c r="B82" i="287" s="1"/>
  <c r="R12" i="287"/>
  <c r="J12" i="287"/>
  <c r="B5" i="287"/>
  <c r="AL4" i="287"/>
  <c r="B3" i="287"/>
  <c r="B1" i="287"/>
  <c r="H45" i="294" l="1"/>
  <c r="F31" i="215" s="1"/>
  <c r="AO47" i="187"/>
  <c r="T32" i="287"/>
  <c r="T39" i="287"/>
  <c r="T37" i="287"/>
  <c r="T18" i="287"/>
  <c r="T15" i="287"/>
  <c r="T24" i="287"/>
  <c r="T31" i="287"/>
  <c r="T56" i="287"/>
  <c r="T60" i="287"/>
  <c r="T21" i="287"/>
  <c r="T13" i="287"/>
  <c r="T26" i="287"/>
  <c r="R45" i="287"/>
  <c r="T45" i="287" s="1"/>
  <c r="T52" i="287"/>
  <c r="R68" i="287"/>
  <c r="T68" i="287" s="1"/>
  <c r="R72" i="287"/>
  <c r="T72" i="287" s="1"/>
  <c r="R16" i="287"/>
  <c r="R44" i="287"/>
  <c r="T44" i="287" s="1"/>
  <c r="R14" i="287"/>
  <c r="T14" i="287" s="1"/>
  <c r="R62" i="287"/>
  <c r="T20" i="287"/>
  <c r="T22" i="287"/>
  <c r="T54" i="287"/>
  <c r="L30" i="287"/>
  <c r="T30" i="287" s="1"/>
  <c r="J34" i="287"/>
  <c r="L64" i="287"/>
  <c r="L62" i="287"/>
  <c r="T25" i="287"/>
  <c r="T17" i="287"/>
  <c r="T19" i="287"/>
  <c r="T23" i="287"/>
  <c r="T33" i="287"/>
  <c r="T38" i="287"/>
  <c r="T70" i="287"/>
  <c r="J40" i="287"/>
  <c r="J58" i="287"/>
  <c r="L58" i="287" s="1"/>
  <c r="T58" i="287" s="1"/>
  <c r="J16" i="287"/>
  <c r="L16" i="287" s="1"/>
  <c r="L12" i="287"/>
  <c r="T12" i="287" s="1"/>
  <c r="J43" i="287"/>
  <c r="R48" i="287"/>
  <c r="T48" i="287" s="1"/>
  <c r="R50" i="287"/>
  <c r="T50" i="287" s="1"/>
  <c r="R64" i="287"/>
  <c r="T40" i="287" l="1"/>
  <c r="T16" i="287"/>
  <c r="T27" i="287" s="1"/>
  <c r="T34" i="287"/>
  <c r="T62" i="287"/>
  <c r="J27" i="287"/>
  <c r="L43" i="287"/>
  <c r="T43" i="287" s="1"/>
  <c r="T46" i="287" s="1"/>
  <c r="J46" i="287"/>
  <c r="F66" i="287"/>
  <c r="L66" i="287"/>
  <c r="T64" i="287"/>
  <c r="J66" i="287" l="1"/>
  <c r="T66" i="287"/>
  <c r="T74" i="287" s="1"/>
  <c r="T78" i="287" s="1"/>
  <c r="T82" i="287" s="1"/>
  <c r="F13" i="198" l="1"/>
  <c r="F31" i="198" s="1"/>
  <c r="F35" i="198" s="1"/>
  <c r="AL82" i="287"/>
  <c r="S13" i="198" s="1"/>
  <c r="N13" i="198" l="1"/>
  <c r="F37" i="286" l="1"/>
  <c r="H36" i="286" s="1"/>
  <c r="J21" i="286"/>
  <c r="F21" i="286"/>
  <c r="F17" i="286"/>
  <c r="B5" i="286"/>
  <c r="J3" i="286"/>
  <c r="B3" i="286"/>
  <c r="B1" i="286"/>
  <c r="H20" i="285"/>
  <c r="R43" i="187" s="1"/>
  <c r="J26" i="285"/>
  <c r="F26" i="285"/>
  <c r="F22" i="285"/>
  <c r="F23" i="285" s="1"/>
  <c r="F25" i="285" s="1"/>
  <c r="B5" i="285"/>
  <c r="J3" i="285"/>
  <c r="B3" i="285"/>
  <c r="B1" i="285"/>
  <c r="H55" i="284"/>
  <c r="F55" i="284"/>
  <c r="F35" i="284" s="1"/>
  <c r="F37" i="284" s="1"/>
  <c r="J54" i="284"/>
  <c r="J53" i="284"/>
  <c r="J52" i="284"/>
  <c r="J51" i="284"/>
  <c r="J50" i="284"/>
  <c r="J49" i="284"/>
  <c r="J48" i="284"/>
  <c r="J47" i="284"/>
  <c r="J46" i="284"/>
  <c r="J45" i="284"/>
  <c r="J44" i="284"/>
  <c r="J43" i="284"/>
  <c r="J42" i="284"/>
  <c r="J41" i="284"/>
  <c r="F36" i="284"/>
  <c r="J21" i="284"/>
  <c r="F21" i="284"/>
  <c r="F17" i="284"/>
  <c r="B5" i="284"/>
  <c r="J3" i="284"/>
  <c r="B3" i="284"/>
  <c r="B1" i="284"/>
  <c r="J55" i="284" l="1"/>
  <c r="H35" i="286"/>
  <c r="F27" i="285"/>
  <c r="F29" i="285" s="1"/>
  <c r="F31" i="285" s="1"/>
  <c r="H36" i="284"/>
  <c r="F14" i="284" s="1"/>
  <c r="H35" i="284"/>
  <c r="H37" i="284" s="1"/>
  <c r="F15" i="284"/>
  <c r="H37" i="286" l="1"/>
  <c r="F14" i="286"/>
  <c r="F15" i="286" s="1"/>
  <c r="H15" i="284"/>
  <c r="T43" i="187" s="1"/>
  <c r="H19" i="198" s="1"/>
  <c r="J19" i="198" s="1"/>
  <c r="N19" i="198" s="1"/>
  <c r="P19" i="198" s="1"/>
  <c r="F18" i="284"/>
  <c r="F18" i="286" l="1"/>
  <c r="H15" i="286"/>
  <c r="J15" i="284"/>
  <c r="F20" i="284"/>
  <c r="F22" i="284" s="1"/>
  <c r="F24" i="284" s="1"/>
  <c r="F26" i="284" s="1"/>
  <c r="J15" i="286" l="1"/>
  <c r="AG43" i="187"/>
  <c r="F20" i="286"/>
  <c r="F22" i="286" s="1"/>
  <c r="F24" i="286" l="1"/>
  <c r="F26" i="286" s="1"/>
  <c r="F37" i="283" l="1"/>
  <c r="H36" i="283" s="1"/>
  <c r="J21" i="283"/>
  <c r="F21" i="283"/>
  <c r="F17" i="283"/>
  <c r="B5" i="283"/>
  <c r="J3" i="283"/>
  <c r="B3" i="283"/>
  <c r="B1" i="283"/>
  <c r="H35" i="283" l="1"/>
  <c r="H37" i="283" s="1"/>
  <c r="F14" i="283" l="1"/>
  <c r="F15" i="283" s="1"/>
  <c r="H15" i="283" s="1"/>
  <c r="AI43" i="187" s="1"/>
  <c r="B6" i="282"/>
  <c r="B5" i="282"/>
  <c r="J3" i="282"/>
  <c r="B3" i="282"/>
  <c r="B1" i="282"/>
  <c r="H13" i="182"/>
  <c r="F18" i="283" l="1"/>
  <c r="J15" i="283"/>
  <c r="F20" i="283"/>
  <c r="F22" i="283" s="1"/>
  <c r="F24" i="283" s="1"/>
  <c r="F26" i="283" s="1"/>
  <c r="H13" i="281" l="1"/>
  <c r="J19" i="281"/>
  <c r="F19" i="281"/>
  <c r="F15" i="281"/>
  <c r="F16" i="281" s="1"/>
  <c r="B5" i="281"/>
  <c r="J3" i="281"/>
  <c r="B3" i="281"/>
  <c r="B1" i="281"/>
  <c r="J13" i="281" l="1"/>
  <c r="AK43" i="187"/>
  <c r="F18" i="281"/>
  <c r="F20" i="281" s="1"/>
  <c r="F22" i="281" s="1"/>
  <c r="F24" i="281" s="1"/>
  <c r="F37" i="280"/>
  <c r="H35" i="280" s="1"/>
  <c r="F14" i="280" l="1"/>
  <c r="H36" i="280"/>
  <c r="H37" i="280" s="1"/>
  <c r="F15" i="280" l="1"/>
  <c r="H15" i="280" s="1"/>
  <c r="P43" i="187" s="1"/>
  <c r="H18" i="198" s="1"/>
  <c r="J18" i="198" s="1"/>
  <c r="N18" i="198" s="1"/>
  <c r="P18" i="198" s="1"/>
  <c r="J21" i="280"/>
  <c r="F21" i="280"/>
  <c r="F17" i="280"/>
  <c r="B5" i="280"/>
  <c r="J3" i="280"/>
  <c r="B3" i="280"/>
  <c r="B1" i="280"/>
  <c r="J15" i="280" l="1"/>
  <c r="F18" i="280"/>
  <c r="F20" i="280" s="1"/>
  <c r="F22" i="280" s="1"/>
  <c r="F24" i="280" s="1"/>
  <c r="F26" i="280" s="1"/>
  <c r="F19" i="279" l="1"/>
  <c r="O51" i="278" l="1"/>
  <c r="R51" i="278" s="1"/>
  <c r="O52" i="278"/>
  <c r="R52" i="278" s="1"/>
  <c r="O53" i="278"/>
  <c r="P53" i="278" s="1"/>
  <c r="O50" i="278"/>
  <c r="R50" i="278" s="1"/>
  <c r="O47" i="278"/>
  <c r="P47" i="278" s="1"/>
  <c r="O46" i="278"/>
  <c r="O48" i="278" s="1"/>
  <c r="N51" i="278"/>
  <c r="N52" i="278"/>
  <c r="N53" i="278"/>
  <c r="N50" i="278"/>
  <c r="N47" i="278"/>
  <c r="N46" i="278"/>
  <c r="O41" i="278"/>
  <c r="R41" i="278" s="1"/>
  <c r="R43" i="278" s="1"/>
  <c r="N41" i="278"/>
  <c r="P41" i="278" s="1"/>
  <c r="S62" i="278"/>
  <c r="O59" i="278"/>
  <c r="R59" i="278" s="1"/>
  <c r="P46" i="278" l="1"/>
  <c r="R46" i="278"/>
  <c r="O54" i="278"/>
  <c r="O56" i="278" s="1"/>
  <c r="R53" i="278"/>
  <c r="R54" i="278" s="1"/>
  <c r="R47" i="278"/>
  <c r="P50" i="278"/>
  <c r="P52" i="278"/>
  <c r="P51" i="278"/>
  <c r="N54" i="278"/>
  <c r="P48" i="278"/>
  <c r="N48" i="278"/>
  <c r="J19" i="279"/>
  <c r="J13" i="279"/>
  <c r="B5" i="279"/>
  <c r="J3" i="279"/>
  <c r="B3" i="279"/>
  <c r="B1" i="279"/>
  <c r="H59" i="187"/>
  <c r="P54" i="278" l="1"/>
  <c r="R48" i="278"/>
  <c r="R56" i="278" s="1"/>
  <c r="R58" i="278" s="1"/>
  <c r="R60" i="278" s="1"/>
  <c r="N56" i="278"/>
  <c r="P56" i="278" s="1"/>
  <c r="H26" i="278" l="1"/>
  <c r="H25" i="278"/>
  <c r="H47" i="187" s="1"/>
  <c r="H24" i="278"/>
  <c r="H46" i="187" s="1"/>
  <c r="H22" i="278"/>
  <c r="J27" i="278"/>
  <c r="J20" i="278"/>
  <c r="H19" i="278"/>
  <c r="F20" i="278"/>
  <c r="F27" i="278"/>
  <c r="H18" i="278"/>
  <c r="H38" i="187" s="1"/>
  <c r="H23" i="278"/>
  <c r="H44" i="187" s="1"/>
  <c r="J15" i="278"/>
  <c r="F15" i="278"/>
  <c r="H13" i="278"/>
  <c r="H16" i="187" s="1"/>
  <c r="B5" i="278"/>
  <c r="J3" i="278"/>
  <c r="B3" i="278"/>
  <c r="B1" i="278"/>
  <c r="J29" i="278" l="1"/>
  <c r="F29" i="278"/>
  <c r="H29" i="278" s="1"/>
  <c r="F15" i="215" s="1"/>
  <c r="H27" i="278"/>
  <c r="H15" i="278"/>
  <c r="D15" i="215" s="1"/>
  <c r="X17" i="187"/>
  <c r="AE17" i="187" s="1"/>
  <c r="AW17" i="187" s="1"/>
  <c r="H15" i="8" s="1"/>
  <c r="X48" i="187"/>
  <c r="AE48" i="187" s="1"/>
  <c r="AW48" i="187" s="1"/>
  <c r="H46" i="8" s="1"/>
  <c r="X46" i="187"/>
  <c r="X45" i="187"/>
  <c r="AE45" i="187" s="1"/>
  <c r="AW45" i="187" s="1"/>
  <c r="H43" i="8" s="1"/>
  <c r="X44" i="187"/>
  <c r="X42" i="187"/>
  <c r="X30" i="187"/>
  <c r="X23" i="187"/>
  <c r="X24" i="187"/>
  <c r="X25" i="187"/>
  <c r="X26" i="187"/>
  <c r="X27" i="187"/>
  <c r="AU49" i="187"/>
  <c r="AU40" i="187"/>
  <c r="AU19" i="187"/>
  <c r="AU21" i="187" s="1"/>
  <c r="AU28" i="187" s="1"/>
  <c r="AU32" i="187" s="1"/>
  <c r="AS49" i="187"/>
  <c r="AS40" i="187"/>
  <c r="AS19" i="187"/>
  <c r="AS21" i="187" s="1"/>
  <c r="AS28" i="187" s="1"/>
  <c r="AS32" i="187" s="1"/>
  <c r="AQ40" i="187"/>
  <c r="AQ19" i="187"/>
  <c r="AQ21" i="187" s="1"/>
  <c r="AQ28" i="187" s="1"/>
  <c r="AQ32" i="187" s="1"/>
  <c r="AO49" i="187"/>
  <c r="AO40" i="187"/>
  <c r="AO19" i="187"/>
  <c r="AO21" i="187" s="1"/>
  <c r="AO28" i="187" s="1"/>
  <c r="AO32" i="187" s="1"/>
  <c r="AM40" i="187"/>
  <c r="AM19" i="187"/>
  <c r="AM21" i="187" s="1"/>
  <c r="AM28" i="187" s="1"/>
  <c r="AM32" i="187" s="1"/>
  <c r="AK40" i="187"/>
  <c r="AK19" i="187"/>
  <c r="AK21" i="187" s="1"/>
  <c r="AK28" i="187" s="1"/>
  <c r="AK32" i="187" s="1"/>
  <c r="AI40" i="187"/>
  <c r="AI19" i="187"/>
  <c r="AI21" i="187" s="1"/>
  <c r="AI28" i="187" s="1"/>
  <c r="AI32" i="187" s="1"/>
  <c r="AG40" i="187"/>
  <c r="AG19" i="187"/>
  <c r="AG21" i="187" s="1"/>
  <c r="AG28" i="187" s="1"/>
  <c r="AG32" i="187" s="1"/>
  <c r="V40" i="187"/>
  <c r="V19" i="187"/>
  <c r="V21" i="187" s="1"/>
  <c r="V28" i="187" s="1"/>
  <c r="V32" i="187" s="1"/>
  <c r="T40" i="187"/>
  <c r="T19" i="187"/>
  <c r="T21" i="187" s="1"/>
  <c r="T28" i="187" s="1"/>
  <c r="T32" i="187" s="1"/>
  <c r="R40" i="187"/>
  <c r="R19" i="187"/>
  <c r="R21" i="187" s="1"/>
  <c r="R28" i="187" s="1"/>
  <c r="R32" i="187" s="1"/>
  <c r="P40" i="187"/>
  <c r="P19" i="187"/>
  <c r="P21" i="187" s="1"/>
  <c r="P28" i="187" s="1"/>
  <c r="P32" i="187" s="1"/>
  <c r="N40" i="187"/>
  <c r="N19" i="187"/>
  <c r="N21" i="187" s="1"/>
  <c r="N28" i="187" s="1"/>
  <c r="N32" i="187" s="1"/>
  <c r="L40" i="187"/>
  <c r="L19" i="187"/>
  <c r="L21" i="187" s="1"/>
  <c r="L28" i="187" s="1"/>
  <c r="L32" i="187" s="1"/>
  <c r="J49" i="187"/>
  <c r="J40" i="187"/>
  <c r="J19" i="187"/>
  <c r="J21" i="187" s="1"/>
  <c r="H49" i="187"/>
  <c r="H40" i="187"/>
  <c r="F45" i="187"/>
  <c r="F46" i="187"/>
  <c r="F47" i="187"/>
  <c r="F48" i="187"/>
  <c r="F27" i="187"/>
  <c r="F26" i="187"/>
  <c r="F25" i="187"/>
  <c r="F24" i="187"/>
  <c r="F23" i="187"/>
  <c r="F22" i="187"/>
  <c r="F20" i="187"/>
  <c r="F17" i="187"/>
  <c r="F18" i="187"/>
  <c r="F16" i="187"/>
  <c r="AS51" i="187" l="1"/>
  <c r="AO51" i="187"/>
  <c r="J51" i="187"/>
  <c r="AU51" i="187"/>
  <c r="H51" i="187"/>
  <c r="AY45" i="187"/>
  <c r="AY48" i="187"/>
  <c r="F19" i="187"/>
  <c r="F21" i="187" s="1"/>
  <c r="F28" i="187" s="1"/>
  <c r="H15" i="277" l="1"/>
  <c r="J21" i="277"/>
  <c r="F21" i="277"/>
  <c r="F17" i="277"/>
  <c r="F18" i="277" s="1"/>
  <c r="F20" i="277" s="1"/>
  <c r="B5" i="277"/>
  <c r="J3" i="277"/>
  <c r="B3" i="277"/>
  <c r="B1" i="277"/>
  <c r="J15" i="277" l="1"/>
  <c r="V43" i="187"/>
  <c r="F22" i="277"/>
  <c r="F24" i="277" s="1"/>
  <c r="F26" i="277" s="1"/>
  <c r="H13" i="276" l="1"/>
  <c r="J19" i="276"/>
  <c r="F19" i="276"/>
  <c r="F15" i="276"/>
  <c r="F16" i="276" s="1"/>
  <c r="F18" i="276" s="1"/>
  <c r="B5" i="276"/>
  <c r="J3" i="276"/>
  <c r="B3" i="276"/>
  <c r="B1" i="276"/>
  <c r="J13" i="276" l="1"/>
  <c r="N43" i="187"/>
  <c r="F20" i="276"/>
  <c r="F22" i="276" s="1"/>
  <c r="F24" i="276" s="1"/>
  <c r="H17" i="198" l="1"/>
  <c r="J17" i="198" s="1"/>
  <c r="N17" i="198" s="1"/>
  <c r="P17" i="198" s="1"/>
  <c r="X43" i="187"/>
  <c r="AE43" i="187" s="1"/>
  <c r="AW43" i="187" s="1"/>
  <c r="F21" i="181"/>
  <c r="B6" i="215"/>
  <c r="B5" i="215"/>
  <c r="B3" i="215"/>
  <c r="H41" i="8" l="1"/>
  <c r="H16" i="198"/>
  <c r="H20" i="198" s="1"/>
  <c r="J20" i="198" s="1"/>
  <c r="N20" i="198" s="1"/>
  <c r="P20" i="198" s="1"/>
  <c r="F24" i="76"/>
  <c r="F17" i="76" l="1"/>
  <c r="H15" i="76" l="1"/>
  <c r="H21" i="76"/>
  <c r="H23" i="76"/>
  <c r="L23" i="76" s="1"/>
  <c r="H22" i="76"/>
  <c r="L22" i="76" s="1"/>
  <c r="F28" i="8"/>
  <c r="F30" i="8" s="1"/>
  <c r="F13" i="25" s="1"/>
  <c r="H16" i="76"/>
  <c r="H14" i="76"/>
  <c r="F13" i="282" l="1"/>
  <c r="F14" i="181"/>
  <c r="F14" i="146"/>
  <c r="F26" i="146" s="1"/>
  <c r="F30" i="187"/>
  <c r="F32" i="187" s="1"/>
  <c r="H24" i="76"/>
  <c r="L21" i="76"/>
  <c r="L24" i="76" s="1"/>
  <c r="J25" i="25"/>
  <c r="F25" i="25"/>
  <c r="F21" i="25"/>
  <c r="F38" i="146" l="1"/>
  <c r="J26" i="146"/>
  <c r="J28" i="146" s="1"/>
  <c r="J13" i="282"/>
  <c r="J38" i="146" l="1"/>
  <c r="J40" i="146" s="1"/>
  <c r="F38" i="8"/>
  <c r="F47" i="8"/>
  <c r="J46" i="8"/>
  <c r="J15" i="8" l="1"/>
  <c r="F17" i="8"/>
  <c r="F19" i="8" s="1"/>
  <c r="F26" i="8" s="1"/>
  <c r="J39" i="25" l="1"/>
  <c r="J38" i="25"/>
  <c r="L14" i="76"/>
  <c r="F38" i="25" s="1"/>
  <c r="H17" i="76"/>
  <c r="J22" i="182"/>
  <c r="J18" i="182"/>
  <c r="J14" i="182"/>
  <c r="F15" i="182"/>
  <c r="J22" i="288" l="1"/>
  <c r="J23" i="288" s="1"/>
  <c r="J17" i="284"/>
  <c r="J18" i="284" s="1"/>
  <c r="J22" i="285"/>
  <c r="J23" i="285" s="1"/>
  <c r="J17" i="286"/>
  <c r="J18" i="286" s="1"/>
  <c r="J17" i="283"/>
  <c r="J18" i="283" s="1"/>
  <c r="J15" i="281"/>
  <c r="J16" i="281" s="1"/>
  <c r="J17" i="280"/>
  <c r="J18" i="280" s="1"/>
  <c r="F15" i="279"/>
  <c r="F16" i="279" s="1"/>
  <c r="F18" i="279" s="1"/>
  <c r="F20" i="279" s="1"/>
  <c r="F22" i="279" s="1"/>
  <c r="F24" i="279" s="1"/>
  <c r="J15" i="279"/>
  <c r="J16" i="279" s="1"/>
  <c r="J18" i="279" s="1"/>
  <c r="J20" i="279" s="1"/>
  <c r="J17" i="277"/>
  <c r="J18" i="277" s="1"/>
  <c r="J15" i="276"/>
  <c r="J16" i="276" s="1"/>
  <c r="J21" i="25"/>
  <c r="J40" i="25"/>
  <c r="J14" i="25" s="1"/>
  <c r="F17" i="182"/>
  <c r="F19" i="182" s="1"/>
  <c r="F21" i="182" s="1"/>
  <c r="F23" i="182" s="1"/>
  <c r="J20" i="286" l="1"/>
  <c r="J22" i="286" s="1"/>
  <c r="H22" i="286" s="1"/>
  <c r="J24" i="286"/>
  <c r="H18" i="286"/>
  <c r="H23" i="285"/>
  <c r="J25" i="285"/>
  <c r="J27" i="285" s="1"/>
  <c r="H27" i="285" s="1"/>
  <c r="H16" i="281"/>
  <c r="J18" i="281"/>
  <c r="J20" i="281" s="1"/>
  <c r="H18" i="284"/>
  <c r="J20" i="284"/>
  <c r="J22" i="284" s="1"/>
  <c r="H22" i="284" s="1"/>
  <c r="J24" i="284"/>
  <c r="J20" i="283"/>
  <c r="J22" i="283" s="1"/>
  <c r="H22" i="283" s="1"/>
  <c r="H18" i="283"/>
  <c r="J24" i="283"/>
  <c r="H23" i="288"/>
  <c r="J25" i="288"/>
  <c r="J27" i="288" s="1"/>
  <c r="H18" i="280"/>
  <c r="J20" i="280"/>
  <c r="J22" i="280" s="1"/>
  <c r="H22" i="280" s="1"/>
  <c r="H16" i="276"/>
  <c r="J18" i="276"/>
  <c r="J20" i="276" s="1"/>
  <c r="H20" i="276" s="1"/>
  <c r="J22" i="276"/>
  <c r="J20" i="277"/>
  <c r="J22" i="277" s="1"/>
  <c r="H22" i="277" s="1"/>
  <c r="H18" i="277"/>
  <c r="H16" i="279"/>
  <c r="H20" i="279"/>
  <c r="F25" i="182"/>
  <c r="F26" i="182" s="1"/>
  <c r="F28" i="182" s="1"/>
  <c r="J29" i="288" l="1"/>
  <c r="H27" i="288"/>
  <c r="J29" i="285"/>
  <c r="H24" i="283"/>
  <c r="J26" i="283"/>
  <c r="H24" i="284"/>
  <c r="J26" i="284"/>
  <c r="J22" i="281"/>
  <c r="H20" i="281"/>
  <c r="J26" i="286"/>
  <c r="H24" i="286"/>
  <c r="J24" i="280"/>
  <c r="H24" i="280"/>
  <c r="J26" i="280"/>
  <c r="J24" i="277"/>
  <c r="H22" i="276"/>
  <c r="J24" i="276"/>
  <c r="J22" i="279"/>
  <c r="J24" i="279" s="1"/>
  <c r="B1" i="215"/>
  <c r="J15" i="182"/>
  <c r="J17" i="182" s="1"/>
  <c r="J19" i="182" s="1"/>
  <c r="B1" i="121"/>
  <c r="B1" i="25"/>
  <c r="B1" i="198"/>
  <c r="B1" i="187"/>
  <c r="AA1" i="187" s="1"/>
  <c r="B1" i="146"/>
  <c r="B1" i="76"/>
  <c r="B1" i="182"/>
  <c r="B1" i="8"/>
  <c r="J14" i="215"/>
  <c r="H35" i="121"/>
  <c r="G35" i="121"/>
  <c r="E35" i="121"/>
  <c r="H21" i="121"/>
  <c r="G21" i="121"/>
  <c r="E21" i="121"/>
  <c r="AE27" i="187"/>
  <c r="AE26" i="187"/>
  <c r="AE25" i="187"/>
  <c r="AE23" i="187"/>
  <c r="AW23" i="187" s="1"/>
  <c r="H21" i="8" s="1"/>
  <c r="J21" i="8" s="1"/>
  <c r="F44" i="187"/>
  <c r="F43" i="187"/>
  <c r="F38" i="187"/>
  <c r="AE24" i="187"/>
  <c r="J3" i="243"/>
  <c r="L16" i="76"/>
  <c r="L15" i="76"/>
  <c r="F39" i="25" s="1"/>
  <c r="F40" i="25" s="1"/>
  <c r="F14" i="25" s="1"/>
  <c r="F15" i="25" s="1"/>
  <c r="F19" i="25" s="1"/>
  <c r="F23" i="243"/>
  <c r="J23" i="243" s="1"/>
  <c r="J27" i="243"/>
  <c r="F27" i="243"/>
  <c r="X33" i="187"/>
  <c r="F39" i="187"/>
  <c r="F16" i="243"/>
  <c r="B5" i="243"/>
  <c r="B3" i="243"/>
  <c r="X3" i="187"/>
  <c r="AY3" i="187" s="1"/>
  <c r="B3" i="181"/>
  <c r="F18" i="161"/>
  <c r="J18" i="161" s="1"/>
  <c r="J19" i="161" s="1"/>
  <c r="F22" i="161"/>
  <c r="J22" i="161" s="1"/>
  <c r="H16" i="161"/>
  <c r="F11" i="187"/>
  <c r="B3" i="121"/>
  <c r="B5" i="121"/>
  <c r="J3" i="181"/>
  <c r="J3" i="25" s="1"/>
  <c r="AA7" i="187"/>
  <c r="E16" i="121"/>
  <c r="E15" i="121"/>
  <c r="E14" i="121"/>
  <c r="G11" i="121"/>
  <c r="E11" i="121"/>
  <c r="G12" i="121"/>
  <c r="E12" i="121"/>
  <c r="E10" i="121"/>
  <c r="B6" i="187"/>
  <c r="AA6" i="187" s="1"/>
  <c r="B5" i="187"/>
  <c r="AA5" i="187" s="1"/>
  <c r="AY4" i="187"/>
  <c r="B5" i="198"/>
  <c r="P3" i="198"/>
  <c r="B3" i="198"/>
  <c r="J3" i="121"/>
  <c r="G16" i="121"/>
  <c r="G15" i="121"/>
  <c r="G14" i="121"/>
  <c r="G10" i="121"/>
  <c r="B6" i="181"/>
  <c r="B6" i="182"/>
  <c r="J3" i="146"/>
  <c r="L3" i="76"/>
  <c r="B5" i="182"/>
  <c r="J3" i="182"/>
  <c r="B3" i="182"/>
  <c r="B5" i="181"/>
  <c r="J3" i="161"/>
  <c r="B5" i="25"/>
  <c r="B3" i="25"/>
  <c r="B5" i="161"/>
  <c r="B3" i="161"/>
  <c r="B6" i="146"/>
  <c r="B5" i="146"/>
  <c r="B3" i="146"/>
  <c r="B6" i="76"/>
  <c r="B5" i="76"/>
  <c r="B3" i="76"/>
  <c r="D28" i="121"/>
  <c r="D26" i="121"/>
  <c r="D24" i="121"/>
  <c r="D23" i="121"/>
  <c r="D22" i="121"/>
  <c r="D19" i="121"/>
  <c r="D17" i="121"/>
  <c r="D16" i="121"/>
  <c r="D12" i="121"/>
  <c r="D15" i="121"/>
  <c r="D14" i="121"/>
  <c r="D10" i="121"/>
  <c r="F52" i="8"/>
  <c r="X20" i="187"/>
  <c r="AE20" i="187" s="1"/>
  <c r="F21" i="243"/>
  <c r="J21" i="243"/>
  <c r="J14" i="243"/>
  <c r="J16" i="243" s="1"/>
  <c r="H16" i="243" s="1"/>
  <c r="H22" i="281" l="1"/>
  <c r="J24" i="281"/>
  <c r="AW25" i="187"/>
  <c r="H23" i="8" s="1"/>
  <c r="J23" i="8" s="1"/>
  <c r="H26" i="284"/>
  <c r="F24" i="215" s="1"/>
  <c r="T47" i="187"/>
  <c r="T49" i="187" s="1"/>
  <c r="T51" i="187" s="1"/>
  <c r="H24" i="276"/>
  <c r="F21" i="215" s="1"/>
  <c r="N47" i="187"/>
  <c r="N49" i="187" s="1"/>
  <c r="N51" i="187" s="1"/>
  <c r="H26" i="280"/>
  <c r="F22" i="215" s="1"/>
  <c r="P47" i="187"/>
  <c r="P49" i="187" s="1"/>
  <c r="P51" i="187" s="1"/>
  <c r="AW27" i="187"/>
  <c r="H25" i="8" s="1"/>
  <c r="H26" i="283"/>
  <c r="F27" i="215" s="1"/>
  <c r="AI47" i="187"/>
  <c r="AI49" i="187" s="1"/>
  <c r="AI51" i="187" s="1"/>
  <c r="AW26" i="187"/>
  <c r="H24" i="8" s="1"/>
  <c r="J24" i="8" s="1"/>
  <c r="AW20" i="187"/>
  <c r="H18" i="8" s="1"/>
  <c r="J18" i="8" s="1"/>
  <c r="AW24" i="187"/>
  <c r="H22" i="8" s="1"/>
  <c r="J22" i="8" s="1"/>
  <c r="H26" i="286"/>
  <c r="F26" i="215" s="1"/>
  <c r="AG47" i="187"/>
  <c r="AG49" i="187" s="1"/>
  <c r="AG51" i="187" s="1"/>
  <c r="J31" i="285"/>
  <c r="H29" i="285"/>
  <c r="H29" i="288"/>
  <c r="J31" i="288"/>
  <c r="F53" i="187"/>
  <c r="F20" i="282"/>
  <c r="F24" i="243"/>
  <c r="F26" i="243" s="1"/>
  <c r="F28" i="243" s="1"/>
  <c r="H21" i="243"/>
  <c r="H22" i="279"/>
  <c r="H24" i="277"/>
  <c r="J26" i="277"/>
  <c r="F49" i="187"/>
  <c r="AY43" i="187"/>
  <c r="AY23" i="187"/>
  <c r="J24" i="243"/>
  <c r="J26" i="243" s="1"/>
  <c r="J28" i="243" s="1"/>
  <c r="J30" i="243" s="1"/>
  <c r="F40" i="187"/>
  <c r="AY20" i="187"/>
  <c r="F49" i="8"/>
  <c r="L17" i="76"/>
  <c r="J21" i="182"/>
  <c r="J23" i="182" s="1"/>
  <c r="J25" i="182" s="1"/>
  <c r="J26" i="182" s="1"/>
  <c r="J28" i="182" s="1"/>
  <c r="J25" i="8"/>
  <c r="J21" i="161"/>
  <c r="J23" i="161" s="1"/>
  <c r="X16" i="187"/>
  <c r="F19" i="161"/>
  <c r="F21" i="146"/>
  <c r="F33" i="146" s="1"/>
  <c r="F22" i="25"/>
  <c r="B3" i="187"/>
  <c r="AA3" i="187" s="1"/>
  <c r="F17" i="181" l="1"/>
  <c r="F17" i="282"/>
  <c r="J17" i="282" s="1"/>
  <c r="H24" i="243"/>
  <c r="AY24" i="187"/>
  <c r="AY27" i="187"/>
  <c r="AY25" i="187"/>
  <c r="R47" i="187"/>
  <c r="R49" i="187" s="1"/>
  <c r="R51" i="187" s="1"/>
  <c r="H31" i="285"/>
  <c r="F23" i="215" s="1"/>
  <c r="J52" i="8"/>
  <c r="H28" i="182"/>
  <c r="J20" i="282"/>
  <c r="H20" i="282"/>
  <c r="H24" i="279"/>
  <c r="F20" i="215" s="1"/>
  <c r="L47" i="187"/>
  <c r="L49" i="187" s="1"/>
  <c r="L51" i="187" s="1"/>
  <c r="AY26" i="187"/>
  <c r="H31" i="288"/>
  <c r="F30" i="215" s="1"/>
  <c r="AM47" i="187"/>
  <c r="AM49" i="187" s="1"/>
  <c r="AM51" i="187" s="1"/>
  <c r="H24" i="281"/>
  <c r="F29" i="215" s="1"/>
  <c r="AK47" i="187"/>
  <c r="AK49" i="187" s="1"/>
  <c r="AK51" i="187" s="1"/>
  <c r="H26" i="277"/>
  <c r="F25" i="215" s="1"/>
  <c r="V47" i="187"/>
  <c r="F45" i="146"/>
  <c r="J45" i="146" s="1"/>
  <c r="J33" i="146"/>
  <c r="F32" i="8"/>
  <c r="F14" i="282" s="1"/>
  <c r="N42" i="278"/>
  <c r="H28" i="243"/>
  <c r="H11" i="215"/>
  <c r="X53" i="187"/>
  <c r="F51" i="187"/>
  <c r="AY17" i="187"/>
  <c r="F24" i="25"/>
  <c r="F26" i="25" s="1"/>
  <c r="F28" i="25" s="1"/>
  <c r="F30" i="25" s="1"/>
  <c r="F18" i="146"/>
  <c r="F30" i="243"/>
  <c r="F32" i="243" s="1"/>
  <c r="J21" i="146"/>
  <c r="J25" i="161"/>
  <c r="J32" i="8"/>
  <c r="J32" i="243"/>
  <c r="J14" i="146"/>
  <c r="AE16" i="187"/>
  <c r="AW16" i="187" s="1"/>
  <c r="X39" i="187"/>
  <c r="AE39" i="187" s="1"/>
  <c r="AW39" i="187" s="1"/>
  <c r="F21" i="161"/>
  <c r="F23" i="161" s="1"/>
  <c r="F25" i="161" s="1"/>
  <c r="F27" i="161" s="1"/>
  <c r="H19" i="161"/>
  <c r="F34" i="187" l="1"/>
  <c r="F15" i="146"/>
  <c r="V49" i="187"/>
  <c r="V51" i="187" s="1"/>
  <c r="X47" i="187"/>
  <c r="F16" i="146"/>
  <c r="F20" i="146" s="1"/>
  <c r="F23" i="146" s="1"/>
  <c r="F27" i="146"/>
  <c r="J18" i="146"/>
  <c r="F30" i="146"/>
  <c r="J14" i="282"/>
  <c r="J15" i="282" s="1"/>
  <c r="J19" i="282" s="1"/>
  <c r="J22" i="282" s="1"/>
  <c r="F15" i="282"/>
  <c r="F19" i="282" s="1"/>
  <c r="F22" i="282" s="1"/>
  <c r="O42" i="278"/>
  <c r="O43" i="278" s="1"/>
  <c r="N43" i="278"/>
  <c r="N58" i="278" s="1"/>
  <c r="N60" i="278" s="1"/>
  <c r="S60" i="278" s="1"/>
  <c r="S63" i="278" s="1"/>
  <c r="AY39" i="187"/>
  <c r="H37" i="8"/>
  <c r="F15" i="181"/>
  <c r="F16" i="181" s="1"/>
  <c r="F18" i="181" s="1"/>
  <c r="F19" i="181" s="1"/>
  <c r="F20" i="181" s="1"/>
  <c r="F22" i="181" s="1"/>
  <c r="F33" i="8"/>
  <c r="F51" i="8" s="1"/>
  <c r="H15" i="181"/>
  <c r="X34" i="187"/>
  <c r="AQ53" i="187"/>
  <c r="J53" i="187"/>
  <c r="H53" i="187"/>
  <c r="AO53" i="187"/>
  <c r="L53" i="187"/>
  <c r="AS53" i="187"/>
  <c r="AM53" i="187"/>
  <c r="N53" i="187"/>
  <c r="AK53" i="187"/>
  <c r="P53" i="187"/>
  <c r="AY53" i="187"/>
  <c r="AI53" i="187"/>
  <c r="R53" i="187"/>
  <c r="AE53" i="187"/>
  <c r="AW53" i="187"/>
  <c r="AG53" i="187"/>
  <c r="T53" i="187"/>
  <c r="AU53" i="187"/>
  <c r="V53" i="187"/>
  <c r="H19" i="187"/>
  <c r="H21" i="187" s="1"/>
  <c r="H28" i="187" s="1"/>
  <c r="H32" i="187" s="1"/>
  <c r="X18" i="187"/>
  <c r="F35" i="187"/>
  <c r="F52" i="187" s="1"/>
  <c r="F55" i="187" s="1"/>
  <c r="H30" i="243"/>
  <c r="H32" i="243" s="1"/>
  <c r="J27" i="161"/>
  <c r="H27" i="161" s="1"/>
  <c r="H25" i="161"/>
  <c r="H23" i="161"/>
  <c r="H10" i="215"/>
  <c r="J15" i="146"/>
  <c r="H15" i="146" s="1"/>
  <c r="H14" i="8"/>
  <c r="J14" i="8" s="1"/>
  <c r="AE47" i="187" l="1"/>
  <c r="BA47" i="187" s="1"/>
  <c r="X49" i="187"/>
  <c r="H17" i="215"/>
  <c r="H25" i="215"/>
  <c r="H15" i="215"/>
  <c r="H18" i="215"/>
  <c r="H26" i="215"/>
  <c r="H22" i="215"/>
  <c r="H27" i="215"/>
  <c r="H20" i="215"/>
  <c r="H28" i="215"/>
  <c r="H30" i="215"/>
  <c r="H23" i="215"/>
  <c r="H21" i="215"/>
  <c r="H29" i="215"/>
  <c r="H31" i="215"/>
  <c r="H24" i="215"/>
  <c r="F28" i="146"/>
  <c r="F39" i="146"/>
  <c r="H27" i="146"/>
  <c r="F42" i="146"/>
  <c r="J42" i="146" s="1"/>
  <c r="J44" i="146" s="1"/>
  <c r="J47" i="146" s="1"/>
  <c r="J30" i="146"/>
  <c r="J32" i="146" s="1"/>
  <c r="J35" i="146" s="1"/>
  <c r="J15" i="181"/>
  <c r="H22" i="282"/>
  <c r="O58" i="278"/>
  <c r="P43" i="278"/>
  <c r="AS34" i="187"/>
  <c r="AS35" i="187" s="1"/>
  <c r="AS52" i="187" s="1"/>
  <c r="AS55" i="187" s="1"/>
  <c r="AS57" i="187" s="1"/>
  <c r="H34" i="187"/>
  <c r="AQ34" i="187"/>
  <c r="AQ35" i="187" s="1"/>
  <c r="J34" i="187"/>
  <c r="AO34" i="187"/>
  <c r="AO35" i="187" s="1"/>
  <c r="AO52" i="187" s="1"/>
  <c r="AO55" i="187" s="1"/>
  <c r="AO57" i="187" s="1"/>
  <c r="L34" i="187"/>
  <c r="L35" i="187" s="1"/>
  <c r="L52" i="187" s="1"/>
  <c r="L55" i="187" s="1"/>
  <c r="L57" i="187" s="1"/>
  <c r="V34" i="187"/>
  <c r="V35" i="187" s="1"/>
  <c r="V52" i="187" s="1"/>
  <c r="V55" i="187" s="1"/>
  <c r="V57" i="187" s="1"/>
  <c r="AM34" i="187"/>
  <c r="AM35" i="187" s="1"/>
  <c r="AM52" i="187" s="1"/>
  <c r="AM55" i="187" s="1"/>
  <c r="AM57" i="187" s="1"/>
  <c r="N34" i="187"/>
  <c r="N35" i="187" s="1"/>
  <c r="N52" i="187" s="1"/>
  <c r="N55" i="187" s="1"/>
  <c r="N57" i="187" s="1"/>
  <c r="AE34" i="187"/>
  <c r="P34" i="187"/>
  <c r="P35" i="187" s="1"/>
  <c r="P52" i="187" s="1"/>
  <c r="P55" i="187" s="1"/>
  <c r="P57" i="187" s="1"/>
  <c r="AI34" i="187"/>
  <c r="AI35" i="187" s="1"/>
  <c r="AI52" i="187" s="1"/>
  <c r="AI55" i="187" s="1"/>
  <c r="AI57" i="187" s="1"/>
  <c r="AU34" i="187"/>
  <c r="AU35" i="187" s="1"/>
  <c r="AU52" i="187" s="1"/>
  <c r="AU55" i="187" s="1"/>
  <c r="AU57" i="187" s="1"/>
  <c r="AY34" i="187"/>
  <c r="AK34" i="187"/>
  <c r="AK35" i="187" s="1"/>
  <c r="AK52" i="187" s="1"/>
  <c r="AK55" i="187" s="1"/>
  <c r="AK57" i="187" s="1"/>
  <c r="R34" i="187"/>
  <c r="R35" i="187" s="1"/>
  <c r="R52" i="187" s="1"/>
  <c r="R55" i="187" s="1"/>
  <c r="R57" i="187" s="1"/>
  <c r="AW34" i="187"/>
  <c r="T34" i="187"/>
  <c r="T35" i="187" s="1"/>
  <c r="T52" i="187" s="1"/>
  <c r="T55" i="187" s="1"/>
  <c r="T57" i="187" s="1"/>
  <c r="AG34" i="187"/>
  <c r="AG35" i="187" s="1"/>
  <c r="AG52" i="187" s="1"/>
  <c r="AG55" i="187" s="1"/>
  <c r="AG57" i="187" s="1"/>
  <c r="AE18" i="187"/>
  <c r="X19" i="187"/>
  <c r="X21" i="187" s="1"/>
  <c r="F53" i="8"/>
  <c r="J16" i="146"/>
  <c r="H16" i="146" s="1"/>
  <c r="AY16" i="187"/>
  <c r="H35" i="187"/>
  <c r="H52" i="187" s="1"/>
  <c r="H55" i="187" s="1"/>
  <c r="H57" i="187" s="1"/>
  <c r="AE19" i="187" l="1"/>
  <c r="AE21" i="187" s="1"/>
  <c r="AW18" i="187"/>
  <c r="F47" i="198"/>
  <c r="H26" i="198"/>
  <c r="J26" i="198" s="1"/>
  <c r="N26" i="198" s="1"/>
  <c r="P26" i="198" s="1"/>
  <c r="H39" i="146"/>
  <c r="F40" i="146"/>
  <c r="F32" i="146"/>
  <c r="F35" i="146" s="1"/>
  <c r="H35" i="146" s="1"/>
  <c r="H28" i="146"/>
  <c r="F56" i="187"/>
  <c r="F30" i="282"/>
  <c r="F31" i="282" s="1"/>
  <c r="F55" i="146"/>
  <c r="F56" i="146" s="1"/>
  <c r="O60" i="278"/>
  <c r="P60" i="278" s="1"/>
  <c r="P63" i="278" s="1"/>
  <c r="P58" i="278"/>
  <c r="F27" i="181"/>
  <c r="F28" i="181" s="1"/>
  <c r="AY18" i="187"/>
  <c r="F55" i="8"/>
  <c r="J20" i="146"/>
  <c r="X38" i="187"/>
  <c r="X40" i="187" s="1"/>
  <c r="X51" i="187" s="1"/>
  <c r="F69" i="8" l="1"/>
  <c r="D40" i="215"/>
  <c r="AW19" i="187"/>
  <c r="AW21" i="187" s="1"/>
  <c r="H16" i="8"/>
  <c r="J16" i="8" s="1"/>
  <c r="J17" i="8" s="1"/>
  <c r="J19" i="8" s="1"/>
  <c r="F44" i="146"/>
  <c r="F47" i="146" s="1"/>
  <c r="H47" i="146" s="1"/>
  <c r="H40" i="146"/>
  <c r="J23" i="146"/>
  <c r="H23" i="146" s="1"/>
  <c r="H14" i="215" s="1"/>
  <c r="AY19" i="187"/>
  <c r="AY21" i="187" s="1"/>
  <c r="AE38" i="187"/>
  <c r="AE40" i="187" s="1"/>
  <c r="H16" i="215"/>
  <c r="AW38" i="187" l="1"/>
  <c r="H36" i="8" s="1"/>
  <c r="J36" i="8" s="1"/>
  <c r="AW40" i="187" l="1"/>
  <c r="AY38" i="187"/>
  <c r="AY40" i="187" s="1"/>
  <c r="J37" i="8"/>
  <c r="J38" i="8" s="1"/>
  <c r="H38" i="8"/>
  <c r="J41" i="8" l="1"/>
  <c r="AE44" i="187" l="1"/>
  <c r="AW44" i="187" s="1"/>
  <c r="H42" i="8" l="1"/>
  <c r="J42" i="8" s="1"/>
  <c r="H22" i="198"/>
  <c r="AY44" i="187"/>
  <c r="J22" i="198" l="1"/>
  <c r="N22" i="198" s="1"/>
  <c r="P22" i="198" s="1"/>
  <c r="AE30" i="187"/>
  <c r="AW30" i="187" s="1"/>
  <c r="AY30" i="187" s="1"/>
  <c r="AE46" i="187" l="1"/>
  <c r="AE49" i="187" l="1"/>
  <c r="AE51" i="187" s="1"/>
  <c r="AW46" i="187"/>
  <c r="H44" i="8" l="1"/>
  <c r="J44" i="8" s="1"/>
  <c r="H24" i="198"/>
  <c r="AY46" i="187"/>
  <c r="J24" i="198" l="1"/>
  <c r="N24" i="198" s="1"/>
  <c r="P24" i="198" s="1"/>
  <c r="P31" i="198" s="1"/>
  <c r="H29" i="198"/>
  <c r="P35" i="198" l="1"/>
  <c r="N35" i="198" s="1"/>
  <c r="D19" i="215" s="1"/>
  <c r="N31" i="198"/>
  <c r="J22" i="187" s="1"/>
  <c r="J28" i="187" l="1"/>
  <c r="J32" i="187" s="1"/>
  <c r="X22" i="187"/>
  <c r="D34" i="215"/>
  <c r="H19" i="215"/>
  <c r="AE22" i="187" l="1"/>
  <c r="X28" i="187"/>
  <c r="J35" i="187"/>
  <c r="J52" i="187" s="1"/>
  <c r="J55" i="187" s="1"/>
  <c r="J57" i="187" s="1"/>
  <c r="X32" i="187"/>
  <c r="AE32" i="187" l="1"/>
  <c r="X35" i="187"/>
  <c r="X52" i="187" s="1"/>
  <c r="X55" i="187" s="1"/>
  <c r="AW22" i="187"/>
  <c r="AE28" i="187"/>
  <c r="AW28" i="187" l="1"/>
  <c r="H20" i="8"/>
  <c r="AY22" i="187"/>
  <c r="AY28" i="187" s="1"/>
  <c r="AE35" i="187"/>
  <c r="AE52" i="187" s="1"/>
  <c r="AE55" i="187" s="1"/>
  <c r="AW32" i="187"/>
  <c r="J20" i="8" l="1"/>
  <c r="J26" i="8" s="1"/>
  <c r="H26" i="8"/>
  <c r="AW35" i="187"/>
  <c r="AY32" i="187"/>
  <c r="AY35" i="187" s="1"/>
  <c r="H28" i="8" l="1"/>
  <c r="J28" i="8" s="1"/>
  <c r="H30" i="8"/>
  <c r="J30" i="8" s="1"/>
  <c r="D36" i="215"/>
  <c r="D37" i="215" s="1"/>
  <c r="J33" i="8" l="1"/>
  <c r="H33" i="8" s="1"/>
  <c r="H14" i="181"/>
  <c r="J13" i="25"/>
  <c r="J15" i="25" l="1"/>
  <c r="J19" i="25" s="1"/>
  <c r="H13" i="25"/>
  <c r="J14" i="181"/>
  <c r="H16" i="181"/>
  <c r="J16" i="181" s="1"/>
  <c r="J22" i="25" l="1"/>
  <c r="J24" i="25" s="1"/>
  <c r="J26" i="25" s="1"/>
  <c r="H26" i="25" s="1"/>
  <c r="H22" i="25" l="1"/>
  <c r="J28" i="25"/>
  <c r="J54" i="8"/>
  <c r="J30" i="25" l="1"/>
  <c r="H28" i="25"/>
  <c r="H21" i="181"/>
  <c r="AQ47" i="187" l="1"/>
  <c r="H30" i="25"/>
  <c r="F32" i="215" s="1"/>
  <c r="J48" i="198"/>
  <c r="J21" i="181"/>
  <c r="H32" i="215" l="1"/>
  <c r="H34" i="215" s="1"/>
  <c r="D41" i="215" s="1"/>
  <c r="D42" i="215" s="1"/>
  <c r="F34" i="215"/>
  <c r="AQ49" i="187"/>
  <c r="AQ51" i="187" s="1"/>
  <c r="AQ52" i="187" s="1"/>
  <c r="AQ55" i="187" s="1"/>
  <c r="AQ57" i="187" s="1"/>
  <c r="AW47" i="187"/>
  <c r="BC47" i="187"/>
  <c r="H47" i="198" s="1"/>
  <c r="J47" i="198" s="1"/>
  <c r="AW49" i="187" l="1"/>
  <c r="AY47" i="187"/>
  <c r="AY49" i="187" s="1"/>
  <c r="AY51" i="187" s="1"/>
  <c r="AY52" i="187" s="1"/>
  <c r="AY55" i="187" s="1"/>
  <c r="H45" i="8"/>
  <c r="H47" i="8" l="1"/>
  <c r="H49" i="8" s="1"/>
  <c r="J45" i="8"/>
  <c r="J47" i="8" s="1"/>
  <c r="J49" i="8" s="1"/>
  <c r="H30" i="198"/>
  <c r="AW51" i="187"/>
  <c r="AW52" i="187" s="1"/>
  <c r="AW55" i="187" s="1"/>
  <c r="T15" i="146"/>
  <c r="T18" i="146"/>
  <c r="P18" i="146"/>
  <c r="J51" i="8" l="1"/>
  <c r="J53" i="8" s="1"/>
  <c r="H17" i="181"/>
  <c r="H51" i="8"/>
  <c r="F36" i="215"/>
  <c r="F37" i="215" s="1"/>
  <c r="J17" i="181" l="1"/>
  <c r="H18" i="181"/>
  <c r="J55" i="8"/>
  <c r="H27" i="181"/>
  <c r="AY56" i="187"/>
  <c r="AY57" i="187" s="1"/>
  <c r="H53" i="8"/>
  <c r="D44" i="215" l="1"/>
  <c r="H55" i="8"/>
  <c r="J57" i="8"/>
  <c r="J18" i="181"/>
  <c r="H19" i="181"/>
  <c r="J19" i="181" s="1"/>
  <c r="J27" i="181"/>
  <c r="H36" i="215"/>
  <c r="H37" i="215" s="1"/>
  <c r="H20" i="181" l="1"/>
  <c r="H28" i="181" l="1"/>
  <c r="J20" i="181"/>
  <c r="J28" i="181" s="1"/>
  <c r="H22" i="181"/>
  <c r="J22" i="181" s="1"/>
</calcChain>
</file>

<file path=xl/sharedStrings.xml><?xml version="1.0" encoding="utf-8"?>
<sst xmlns="http://schemas.openxmlformats.org/spreadsheetml/2006/main" count="1838" uniqueCount="618">
  <si>
    <t>Rate of Return Calculation</t>
  </si>
  <si>
    <t>Revenue Conversion Factor</t>
  </si>
  <si>
    <t>Impact to Operating Income</t>
  </si>
  <si>
    <t>Structure</t>
  </si>
  <si>
    <t>Page 1 of 2</t>
  </si>
  <si>
    <t>Page 2 of 2</t>
  </si>
  <si>
    <t>Cost %</t>
  </si>
  <si>
    <t>Weighted</t>
  </si>
  <si>
    <t>Adjustments</t>
  </si>
  <si>
    <t>(A)</t>
  </si>
  <si>
    <t>(B)</t>
  </si>
  <si>
    <t>(C)</t>
  </si>
  <si>
    <t>(D)</t>
  </si>
  <si>
    <t>(E)</t>
  </si>
  <si>
    <t>(F)</t>
  </si>
  <si>
    <t>Total</t>
  </si>
  <si>
    <t>(in thousands)</t>
  </si>
  <si>
    <t>Description</t>
  </si>
  <si>
    <t>Line</t>
  </si>
  <si>
    <t>Company</t>
  </si>
  <si>
    <t>Adjustment</t>
  </si>
  <si>
    <t>Rate Base</t>
  </si>
  <si>
    <t>Rate of Return</t>
  </si>
  <si>
    <t>Income Deficiency</t>
  </si>
  <si>
    <t>Revenue Deficiency</t>
  </si>
  <si>
    <t>Adjusted</t>
  </si>
  <si>
    <t>Amount</t>
  </si>
  <si>
    <t>Reference</t>
  </si>
  <si>
    <t>Total Rate Base</t>
  </si>
  <si>
    <t>Return Requirement</t>
  </si>
  <si>
    <t>Long-Term Debt</t>
  </si>
  <si>
    <t>Operating Expenses</t>
  </si>
  <si>
    <t>Federal Income Tax Rate</t>
  </si>
  <si>
    <t>Federal Taxable</t>
  </si>
  <si>
    <t>Line #</t>
  </si>
  <si>
    <t>Page 1 of 1</t>
  </si>
  <si>
    <t>Total Operating Expenses</t>
  </si>
  <si>
    <t>Schedule #</t>
  </si>
  <si>
    <t>List of  Schedules</t>
  </si>
  <si>
    <t>Totals</t>
  </si>
  <si>
    <t>Adjustment X</t>
  </si>
  <si>
    <t>Operating Income</t>
  </si>
  <si>
    <t>Total Composite Tax rate</t>
  </si>
  <si>
    <t>Adjustment 1</t>
  </si>
  <si>
    <t>Adjustment 2</t>
  </si>
  <si>
    <t>Adjustment 3</t>
  </si>
  <si>
    <t>Adjustment 4</t>
  </si>
  <si>
    <t>Adjustment 5</t>
  </si>
  <si>
    <t>Adjustment 6</t>
  </si>
  <si>
    <t>Reference Schedule</t>
  </si>
  <si>
    <t>Adjustment 7</t>
  </si>
  <si>
    <t>Adjustment 8</t>
  </si>
  <si>
    <t>Carry</t>
  </si>
  <si>
    <t>Forward</t>
  </si>
  <si>
    <t>Adjustment 9</t>
  </si>
  <si>
    <t>Adjustment 10</t>
  </si>
  <si>
    <t>Adjustment 11</t>
  </si>
  <si>
    <t>Adjustment 12</t>
  </si>
  <si>
    <t>Adjustment 13</t>
  </si>
  <si>
    <t>Adjustment 14</t>
  </si>
  <si>
    <t>Adjustment 15</t>
  </si>
  <si>
    <t>Subtotal</t>
  </si>
  <si>
    <t>Net Operating Income</t>
  </si>
  <si>
    <t>Percent of Total</t>
  </si>
  <si>
    <t>Plant in Service</t>
  </si>
  <si>
    <t>Proposed</t>
  </si>
  <si>
    <t>Impact to Rate Base</t>
  </si>
  <si>
    <t>`</t>
  </si>
  <si>
    <t>Total Taxes</t>
  </si>
  <si>
    <t>Difference</t>
  </si>
  <si>
    <t>w/ Int Sync</t>
  </si>
  <si>
    <t>Int Sync</t>
  </si>
  <si>
    <t>w/o Int Sync</t>
  </si>
  <si>
    <t>(G)</t>
  </si>
  <si>
    <t>(H)</t>
  </si>
  <si>
    <t>Approved</t>
  </si>
  <si>
    <t>Ratemaking Adjustments</t>
  </si>
  <si>
    <t>(I)</t>
  </si>
  <si>
    <t>(J)</t>
  </si>
  <si>
    <t>Notes and Sources</t>
  </si>
  <si>
    <t xml:space="preserve">Capital </t>
  </si>
  <si>
    <t>Check</t>
  </si>
  <si>
    <t>Income Taxes</t>
  </si>
  <si>
    <t>Net Plant in Service</t>
  </si>
  <si>
    <t xml:space="preserve">Revenue Deficiency </t>
  </si>
  <si>
    <r>
      <t>Revenue Conversion Factor</t>
    </r>
    <r>
      <rPr>
        <sz val="10"/>
        <rFont val="Arial"/>
        <family val="2"/>
      </rPr>
      <t xml:space="preserve"> </t>
    </r>
  </si>
  <si>
    <t>Adjusted Net Operating Income</t>
  </si>
  <si>
    <t>Deficiency</t>
  </si>
  <si>
    <t>Company Proposed Rate of Return</t>
  </si>
  <si>
    <t>Column A: Summary Totals from Schedule 1</t>
  </si>
  <si>
    <t>Line 2: Schedule 2</t>
  </si>
  <si>
    <t>Interest Synchronization</t>
  </si>
  <si>
    <t>Total Cash Working Capital</t>
  </si>
  <si>
    <t>Schedule 3.X</t>
  </si>
  <si>
    <t>Summary of Adjustments</t>
  </si>
  <si>
    <t>Update CWC for any Changes</t>
  </si>
  <si>
    <t>DO NOT PRINT</t>
  </si>
  <si>
    <t>Cash Working Capital</t>
  </si>
  <si>
    <t>Accumulated Deferred Income Tax</t>
  </si>
  <si>
    <t>Revenues</t>
  </si>
  <si>
    <t>Expenses</t>
  </si>
  <si>
    <t>Taxes other than Income Taxes</t>
  </si>
  <si>
    <t>Total  Revenues</t>
  </si>
  <si>
    <t>ROE</t>
  </si>
  <si>
    <t>Schedule 1.1</t>
  </si>
  <si>
    <t>Common Equity</t>
  </si>
  <si>
    <t>Customers' Advances for Construction</t>
  </si>
  <si>
    <t>PA Income Tax</t>
  </si>
  <si>
    <t>Effect on PA Income Tax Expense</t>
  </si>
  <si>
    <t>Effect on Federal Income Tax Expense</t>
  </si>
  <si>
    <t xml:space="preserve">York Application Exhibit  </t>
  </si>
  <si>
    <t xml:space="preserve">York Response to OCA </t>
  </si>
  <si>
    <t>Schedule 3</t>
  </si>
  <si>
    <t>Percent of Request</t>
  </si>
  <si>
    <t>Recommended</t>
  </si>
  <si>
    <t>Accumulated Depreciation</t>
  </si>
  <si>
    <t>w/o int Sync</t>
  </si>
  <si>
    <t>Line 1: Schedule 1.1</t>
  </si>
  <si>
    <t xml:space="preserve">Summary Comparison of Revenue Requirement </t>
  </si>
  <si>
    <t>Debt Component of Rate of Return</t>
  </si>
  <si>
    <t>Revenue (Sufficiency) Deficiency</t>
  </si>
  <si>
    <t xml:space="preserve">Revenue (Sufficiency) Deficiency </t>
  </si>
  <si>
    <t>Tables for Testimony, DO NOT PRINT</t>
  </si>
  <si>
    <t>Bad Debt Expense</t>
  </si>
  <si>
    <t>Percent Income Before State Income Taxes</t>
  </si>
  <si>
    <t>Statutory Rate-State</t>
  </si>
  <si>
    <t>Effective Rate-State</t>
  </si>
  <si>
    <t>Percent Income Before Federal Income Taxes</t>
  </si>
  <si>
    <t>Statutory Rate-Federal</t>
  </si>
  <si>
    <t>Effective Rate-Federal</t>
  </si>
  <si>
    <t>Tax Gross Up Factor</t>
  </si>
  <si>
    <t>Kentucky Public Service Commission</t>
  </si>
  <si>
    <t>Base Period ending December 31, 2018; Fully Forecasted Test Period ending April 30, 2020</t>
  </si>
  <si>
    <t>Revenue Requirements with OAG's Recommended Adjustments</t>
  </si>
  <si>
    <t>PSC Fees</t>
  </si>
  <si>
    <t>Short-Term Debt</t>
  </si>
  <si>
    <t xml:space="preserve">Debt Component of Rate of Return </t>
  </si>
  <si>
    <t>Property Held for Future Use</t>
  </si>
  <si>
    <t>Construction Work in Progress</t>
  </si>
  <si>
    <t>Net Plant</t>
  </si>
  <si>
    <t>Other Working Capital Allowances</t>
  </si>
  <si>
    <t>Deferred Income Tax</t>
  </si>
  <si>
    <t>Investment Tax Credits</t>
  </si>
  <si>
    <t>Other Items</t>
  </si>
  <si>
    <t>Electric Sales Revenues</t>
  </si>
  <si>
    <t>Other Operating Revenues</t>
  </si>
  <si>
    <t>O&amp;M Expenses</t>
  </si>
  <si>
    <t>Depreciation and Amortization</t>
  </si>
  <si>
    <t>Regulatory Debits</t>
  </si>
  <si>
    <t>State Income Tax</t>
  </si>
  <si>
    <t>Taxable Income for Federal Income Tax</t>
  </si>
  <si>
    <t>Federal Income Tax Expense</t>
  </si>
  <si>
    <t>Total Income Taxes</t>
  </si>
  <si>
    <t>Total Jurisdictional Rate Base</t>
  </si>
  <si>
    <t>Jurisdictional</t>
  </si>
  <si>
    <t>Adjusted Capital</t>
  </si>
  <si>
    <t>Louisville Gas and Electric Company–Electric</t>
  </si>
  <si>
    <t>Case No. 2018-00295</t>
  </si>
  <si>
    <t>Jurisdictional Capitalization</t>
  </si>
  <si>
    <t>Average</t>
  </si>
  <si>
    <t>Solar Share and Electric Vehicle Rounding</t>
  </si>
  <si>
    <t>Recommended Adjustment</t>
  </si>
  <si>
    <t>Recommended Rate of Return</t>
  </si>
  <si>
    <t>Income Tax Effect</t>
  </si>
  <si>
    <t>Capitalization</t>
  </si>
  <si>
    <t>401(k) Match</t>
  </si>
  <si>
    <t>Response to KIUC-LGE 1.052</t>
  </si>
  <si>
    <t>Credit Card Rebate</t>
  </si>
  <si>
    <t>Schedule B-8, page 3 of 4</t>
  </si>
  <si>
    <t>Response to OAG-LGE 1-084</t>
  </si>
  <si>
    <t>Allocated among utilities based on Plant Materials and Operating Supplies plus Stores Expense Undistributed for 2018</t>
  </si>
  <si>
    <t>Other Working Capial Allowances</t>
  </si>
  <si>
    <t>Used for Return Requirement</t>
  </si>
  <si>
    <t>Column A, line 1: MFR Schedue A</t>
  </si>
  <si>
    <t>Column C: Response to PSC-LGE 2.075, Attachments Schedule A and Schedule C-1</t>
  </si>
  <si>
    <t>Investment Tax Credit</t>
  </si>
  <si>
    <t>Taxes Other Than Income Taxes</t>
  </si>
  <si>
    <t>Column A, linea 5–14 1: MFR Schedue C-1</t>
  </si>
  <si>
    <t>As Filed</t>
  </si>
  <si>
    <t>COC from App</t>
  </si>
  <si>
    <t>Updated ST Debt</t>
  </si>
  <si>
    <t>Required Return</t>
  </si>
  <si>
    <t>Impact to Revenue Requirments per PSC-KU 1.065</t>
  </si>
  <si>
    <t>PSC-KU 2.075</t>
  </si>
  <si>
    <t>S-T Debt amount changed</t>
  </si>
  <si>
    <t>Plant</t>
  </si>
  <si>
    <t>Line 1: Seelye, page 66, lines 13–15 and Exhibit WSS-14</t>
  </si>
  <si>
    <t>D&amp;O Insurance</t>
  </si>
  <si>
    <t>LG&amp;E D&amp;O Insurance</t>
  </si>
  <si>
    <t>Allocated D&amp;O Insurance</t>
  </si>
  <si>
    <t>LG&amp;E-E Schedule 1</t>
  </si>
  <si>
    <t>LG&amp;E-E Schedule 1.1</t>
  </si>
  <si>
    <t>LG&amp;E-E Schedule 1.2</t>
  </si>
  <si>
    <t>LG&amp;E-E Schedule 2</t>
  </si>
  <si>
    <t>LG&amp;E-E Schedule 2.1</t>
  </si>
  <si>
    <t>LG&amp;E-E Schedule 3</t>
  </si>
  <si>
    <t>LG&amp;E-E Schedule 3.1</t>
  </si>
  <si>
    <t>LG&amp;E-E Schedule 3.3</t>
  </si>
  <si>
    <t>LG&amp;E-E Schedule 3.12</t>
  </si>
  <si>
    <t>Column A, Lines 1-14: Garrett, Schedule B-1</t>
  </si>
  <si>
    <t>Column A, Line 15 and 17, Schedule 2</t>
  </si>
  <si>
    <t>Column A, Lines 19-30: Garrett, Schedule C-1</t>
  </si>
  <si>
    <t>Column A, Line 32: Schedule 1.2</t>
  </si>
  <si>
    <t>Column A, Line 35: Testimony of Robert M. Conroy, page 11, line 18–page 12, line 4.</t>
  </si>
  <si>
    <t>Column A: Garrett, Schedule H-1</t>
  </si>
  <si>
    <t>Column A, Line 1: Uncollectibles based on five year average net charge off % (OAG-LGE DR 1.85)</t>
  </si>
  <si>
    <t>Column A and B, lines 1-4: Arbough, Schedule J-1.1/J-1.2, Page 1 (13 Month Average)</t>
  </si>
  <si>
    <t>Column A, Line 1: Response to OAG-LGE 1.081</t>
  </si>
  <si>
    <t>Column A, Line 2: Allocation between LG&amp;E Gas and Electric based on Total Utility Plant Assets Ratio per CAM  [Filing Requirement 807 KAR 5:001 Section 16(7)(u)(1)16, pages 16 and 29]</t>
  </si>
  <si>
    <t>Column B, line 3: 50% of D&amp;O Insurance</t>
  </si>
  <si>
    <t>Total Utiity Plant Assets Ratio-Electric</t>
  </si>
  <si>
    <t>Misc. Transmission Expenses</t>
  </si>
  <si>
    <t>Response to OAG-LGE 1.049</t>
  </si>
  <si>
    <t>Column A, Line 1: Garret, LG&amp;E Schedule D-1, page 4 or 8, line 72; AOG-LGE DR 2-29c</t>
  </si>
  <si>
    <t>Column B, Line 1: Response to OAG-LGE DR 2-79</t>
  </si>
  <si>
    <t>Line : Schedule 1.2</t>
  </si>
  <si>
    <t>Column A, Line 1: Response to OAG-LGE 1.073</t>
  </si>
  <si>
    <t>Column A, Line 2: Allocation between LG&amp;E Gas and Electric based on Number of Customers Ratio per CAM  [Filing Requirement 807 KAR 5:001 Section 16(7)(u)(1)16, pages 10 and 27]</t>
  </si>
  <si>
    <t xml:space="preserve">2017 LG&amp;E-Electric </t>
  </si>
  <si>
    <t xml:space="preserve">2017 LG&amp;E-Gas </t>
  </si>
  <si>
    <t>Total Number of Customers Ratio (Arbough, Schedule I-1, page 3)</t>
  </si>
  <si>
    <t>Number of Customers Assets Ratio-Electric</t>
  </si>
  <si>
    <t>Allocated Customer Education</t>
  </si>
  <si>
    <t>2017 LG&amp;E-Electric Gross Utility Plant</t>
  </si>
  <si>
    <t>2017 LG&amp;E-Gas Gross Utility Plant</t>
  </si>
  <si>
    <t>Total Utiity Plant Assets Ratio (Garrett, Schedule B-8, page 3 of 4, line 3)</t>
  </si>
  <si>
    <t>Outside Counsel</t>
  </si>
  <si>
    <t>Ratio of Coal Generation</t>
  </si>
  <si>
    <t>Column A, Line 2: Allocation between KU and LG&amp;E Electric based on Coal Generation Ratio [Filing Requirement 807 KAR 5:001 Section 16(7)(h)(7)]</t>
  </si>
  <si>
    <t>2018 Coal GWh</t>
  </si>
  <si>
    <t>KU</t>
  </si>
  <si>
    <t>LG&amp;E</t>
  </si>
  <si>
    <t>Coal Generation GWh</t>
  </si>
  <si>
    <t>Brown 1</t>
  </si>
  <si>
    <t>Brown 2</t>
  </si>
  <si>
    <t>Brown 3</t>
  </si>
  <si>
    <t>Ghent 1</t>
  </si>
  <si>
    <t>Ghent 2</t>
  </si>
  <si>
    <t>Ghent 3</t>
  </si>
  <si>
    <t>Ghent 4</t>
  </si>
  <si>
    <t>Mill Creek 1</t>
  </si>
  <si>
    <t>Mill Creek 2</t>
  </si>
  <si>
    <t>Mill Creek 3</t>
  </si>
  <si>
    <t>Mill Creek 4</t>
  </si>
  <si>
    <t>OVEC</t>
  </si>
  <si>
    <t>Trimble County 1</t>
  </si>
  <si>
    <t>Trimble County 2</t>
  </si>
  <si>
    <t>Column A, line 1: Response to AG-LGE 2-52</t>
  </si>
  <si>
    <t>EEI Dues</t>
  </si>
  <si>
    <t>EPRI Dues</t>
  </si>
  <si>
    <t>Total Covered Activity Dues</t>
  </si>
  <si>
    <t>Column A, Line 1: Response to AG-LGE 2-49</t>
  </si>
  <si>
    <t>Economic Development</t>
  </si>
  <si>
    <t>Allocated Economic Development</t>
  </si>
  <si>
    <t>Column A, Line 2: Allocation between LG&amp;E Gas and Electric based on Number of Customers Ratio per CAM  [Filing Requirement 807 KAR 5:001 Section 16(7)(u)(1)16, pages 9 and 27]</t>
  </si>
  <si>
    <t>Total Company - Electric</t>
  </si>
  <si>
    <t>Allocation Factor</t>
  </si>
  <si>
    <t>Base Period Jurisdictional</t>
  </si>
  <si>
    <t>Average Daily Amount</t>
  </si>
  <si>
    <t>Revenue Lag Days</t>
  </si>
  <si>
    <t>Expense (Lead)/Lag Days</t>
  </si>
  <si>
    <t>Net (Lead)/Lag Days</t>
  </si>
  <si>
    <t>Working Capital (Provided)/
Required</t>
  </si>
  <si>
    <t>O&amp;M Expenses:</t>
  </si>
  <si>
    <t>Fuel:  Coal</t>
  </si>
  <si>
    <t>Fuel:  Gas</t>
  </si>
  <si>
    <t>Fuel:  Oil</t>
  </si>
  <si>
    <t>Other Non-Fuel Commodities</t>
  </si>
  <si>
    <t>Purchased Power</t>
  </si>
  <si>
    <t>Payroll Expense</t>
  </si>
  <si>
    <t>Pension Expense</t>
  </si>
  <si>
    <t>OPEB Expense</t>
  </si>
  <si>
    <t>Team Incentive Award Compensation</t>
  </si>
  <si>
    <t>401k Match Expense</t>
  </si>
  <si>
    <t>Retirement Income Account Expense</t>
  </si>
  <si>
    <t>Uncollectible Expense</t>
  </si>
  <si>
    <t>Major Storm Damage Expense</t>
  </si>
  <si>
    <t>Charges from Affiliates</t>
  </si>
  <si>
    <t>Other O&amp;M</t>
  </si>
  <si>
    <t>Total O&amp;M Expenses</t>
  </si>
  <si>
    <t>Depreciation and Amortization Expense</t>
  </si>
  <si>
    <t>Amortization of Regulatory Assets</t>
  </si>
  <si>
    <t>Amortization of Regulatory Liabilities</t>
  </si>
  <si>
    <t>Total Depreciation and Amortization Expense</t>
  </si>
  <si>
    <t>Income Tax Expense:</t>
  </si>
  <si>
    <t>Current:  Federal</t>
  </si>
  <si>
    <t>Current:  State</t>
  </si>
  <si>
    <t>Deferred:  Federal and State (Including ITC)</t>
  </si>
  <si>
    <t>Total Income Tax Expense</t>
  </si>
  <si>
    <t>Taxes Other Than Income</t>
  </si>
  <si>
    <t>Property Tax Expense</t>
  </si>
  <si>
    <t>Payroll Tax Expense</t>
  </si>
  <si>
    <t>Other Taxes</t>
  </si>
  <si>
    <t>Total Taxes Other Than Income</t>
  </si>
  <si>
    <t>AFUDC</t>
  </si>
  <si>
    <t>(Gain)/Loss on Disposition of Property</t>
  </si>
  <si>
    <t>(Gain)/Loss on Disposition of Allowances</t>
  </si>
  <si>
    <t>Charitable Donations</t>
  </si>
  <si>
    <t>Interest on Customer Deposits</t>
  </si>
  <si>
    <t>Other (Income)/Expense</t>
  </si>
  <si>
    <t>Other Interest Expense/(Income)</t>
  </si>
  <si>
    <t>Interest Expense</t>
  </si>
  <si>
    <t>Income Available for Common Equity</t>
  </si>
  <si>
    <t>Sales Taxes</t>
  </si>
  <si>
    <t>School Taxes</t>
  </si>
  <si>
    <t>Franchise Fees</t>
  </si>
  <si>
    <t>Cash Working Capital (Lead/Lag)</t>
  </si>
  <si>
    <t>Additional Cash Working Capital Items (Page 2)</t>
  </si>
  <si>
    <t>ECR Cash Working Capital (Page 3)</t>
  </si>
  <si>
    <t>Jurisdictional Cash Working Capital (Line 48 - 49)</t>
  </si>
  <si>
    <t>Employee Labor</t>
  </si>
  <si>
    <t>Contract Labor</t>
  </si>
  <si>
    <t>Materials</t>
  </si>
  <si>
    <t>Miscellaneous</t>
  </si>
  <si>
    <t>Transportation</t>
  </si>
  <si>
    <t>Total Regulatory Asset</t>
  </si>
  <si>
    <t>Amortization Period</t>
  </si>
  <si>
    <t>Annual Amortization</t>
  </si>
  <si>
    <t>LG&amp;E-E Schedule 3.9</t>
  </si>
  <si>
    <t>Dues for EEI and EPRI</t>
  </si>
  <si>
    <t>Column C, line 2: EEI Dues</t>
  </si>
  <si>
    <t>Recoverable (Schedule F-1)</t>
  </si>
  <si>
    <t>Non Recoverable (Schedule F-1)</t>
  </si>
  <si>
    <t>Total EEI Dues</t>
  </si>
  <si>
    <t>Recoverable EEI Dues</t>
  </si>
  <si>
    <t>Jurisdicitional Allocation (Schedule F-1)</t>
  </si>
  <si>
    <t>Jurisdictional Recoverable EEI Dues</t>
  </si>
  <si>
    <t>Recommended Exclusion per Commission (Order Case No. 2003-00433)</t>
  </si>
  <si>
    <t>Slippage</t>
  </si>
  <si>
    <t>LG&amp;E-E Schedule 3.2</t>
  </si>
  <si>
    <t xml:space="preserve">This schedule intentionally left blank to maintain numbering with other utilities. </t>
  </si>
  <si>
    <t>LG&amp;E-E Schedule 3.4</t>
  </si>
  <si>
    <t>LG&amp;E-E Schedule 3.5</t>
  </si>
  <si>
    <t>LG&amp;E-E Schedule 3.5.1</t>
  </si>
  <si>
    <t>Late Payment Credit</t>
  </si>
  <si>
    <t>LG&amp;E-E Schedule 3.6</t>
  </si>
  <si>
    <t>LG&amp;E-E Schedule 3.7</t>
  </si>
  <si>
    <t>Employee Retirement Plans</t>
  </si>
  <si>
    <t>LG&amp;E-E Schedule 3.8</t>
  </si>
  <si>
    <t>Directors and Officers Liability Insurance</t>
  </si>
  <si>
    <t>LG&amp;E-E Schedule 3.10</t>
  </si>
  <si>
    <t>LG&amp;E-E Schedule 3.11</t>
  </si>
  <si>
    <t>LG&amp;E-E Schedule 3.13</t>
  </si>
  <si>
    <t>Customer Education</t>
  </si>
  <si>
    <t>LG&amp;E-E Schedule 3.14</t>
  </si>
  <si>
    <t xml:space="preserve">Merger Mitigation Depancaking </t>
  </si>
  <si>
    <t>LG&amp;E-E Schedule 3.15</t>
  </si>
  <si>
    <t>Adjustment 16</t>
  </si>
  <si>
    <t>LG&amp;E-E Schedule 3.16</t>
  </si>
  <si>
    <t>Adjustment 17</t>
  </si>
  <si>
    <t>Amortization of Storm Damage Regulatory Asset</t>
  </si>
  <si>
    <t>LG&amp;E-E Schedule 3.17</t>
  </si>
  <si>
    <t>Adjustment 18</t>
  </si>
  <si>
    <t>LG&amp;E-E Schedule 3.18</t>
  </si>
  <si>
    <t>LG&amp;E-E Schedule 1.2.1</t>
  </si>
  <si>
    <t>Cash Working Capital Workpaper</t>
  </si>
  <si>
    <t>Outside Counsel Expense</t>
  </si>
  <si>
    <t>Maximum Revenue Increase</t>
  </si>
  <si>
    <t xml:space="preserve">Column A, lines 1–6: Case No. 2018-00304, Application dated September 12, 2018, Exhibit 4 </t>
  </si>
  <si>
    <t>Column A, line 7: Direct Testimony of Christopher M. Garrett, page 38, lines 16–17</t>
  </si>
  <si>
    <t>Total Regulatory Liability-Excess ADIT</t>
  </si>
  <si>
    <t>Column B, lines 1-5: Response to KIUC-KU DR 1.65, which refers to Case No. 2018-00304, PSC-KU DR 1-8</t>
  </si>
  <si>
    <t>ROE of 9.7%</t>
  </si>
  <si>
    <t xml:space="preserve">Proxy Rate of Return </t>
  </si>
  <si>
    <t>ROE of 9.8%</t>
  </si>
  <si>
    <t>ROE of 9.6%</t>
  </si>
  <si>
    <t>Column C, line 7: Proxy ROE from Case No. 2016-00371, Order dated June 22, 2017, page 20</t>
  </si>
  <si>
    <t>Interest Per Books</t>
  </si>
  <si>
    <t>Interest Synchronization Adjustment</t>
  </si>
  <si>
    <t>Column A: Garrett Schedule WPD-2, sheet 5 of 5</t>
  </si>
  <si>
    <t>Line No.</t>
  </si>
  <si>
    <t>Vendor Name</t>
  </si>
  <si>
    <t>Expenditure Type</t>
  </si>
  <si>
    <t>Invoice Date</t>
  </si>
  <si>
    <t>Invoice Amount</t>
  </si>
  <si>
    <t>Service Date/From</t>
  </si>
  <si>
    <t>To</t>
  </si>
  <si>
    <t>Service Lead/
Mid-Point</t>
  </si>
  <si>
    <t>LG&amp;E Payment Date</t>
  </si>
  <si>
    <t>Payment Lead</t>
  </si>
  <si>
    <t>Total Lead</t>
  </si>
  <si>
    <t>Weighted Lead</t>
  </si>
  <si>
    <t>(1)</t>
  </si>
  <si>
    <t>(2)</t>
  </si>
  <si>
    <t>(3)</t>
  </si>
  <si>
    <t>(4)</t>
  </si>
  <si>
    <t>(5)</t>
  </si>
  <si>
    <t>(6)</t>
  </si>
  <si>
    <t>(7) = zero or (6-5)/2</t>
  </si>
  <si>
    <t>(8)</t>
  </si>
  <si>
    <t>(9)=(8-5) or (8-6)</t>
  </si>
  <si>
    <t>(10)=(7+9)</t>
  </si>
  <si>
    <t>(11)=(4*10)</t>
  </si>
  <si>
    <t>AT&amp;T MOBILITY</t>
  </si>
  <si>
    <t>CELLULAR/PAGING SERVICES</t>
  </si>
  <si>
    <t>KENTUCKY STATE TREASURER</t>
  </si>
  <si>
    <t>PM - OTHER</t>
  </si>
  <si>
    <t>US BANK NATIONAL ASSOCIATION ND</t>
  </si>
  <si>
    <t>STUART STEEL PROTECTION CORP</t>
  </si>
  <si>
    <t>ALSTOM POWER INC</t>
  </si>
  <si>
    <t>ARVOS LJUNGSTROM LLC</t>
  </si>
  <si>
    <t>CLYDE BERGEMANN POWER GROUP AMERICAS INC</t>
  </si>
  <si>
    <t>INDIANA GRATINGS INC</t>
  </si>
  <si>
    <t>SCREENING SYSTEMS INTERNATIONAL INC</t>
  </si>
  <si>
    <t>ROTATING EQUIPMENT REPAIR INC</t>
  </si>
  <si>
    <t>MOTION INDUSTRIES INC</t>
  </si>
  <si>
    <t>FERGUSON ENTERPRISES INC</t>
  </si>
  <si>
    <t>CONSOLIDATED ELECTRICAL DISTRIBUTORS INC</t>
  </si>
  <si>
    <t>MAGOTTEAUX INC</t>
  </si>
  <si>
    <t>METSO MINERALS INDUSTRIES INC</t>
  </si>
  <si>
    <t>SAS GLOBAL CORP</t>
  </si>
  <si>
    <t>THE BABCOCK AND WILCOX COMPANY</t>
  </si>
  <si>
    <t>FISCHER PROCESS INDUSTRIES</t>
  </si>
  <si>
    <t>NEWARK CORPORATION</t>
  </si>
  <si>
    <t>CARDINAL TOOL SUPPLY INC</t>
  </si>
  <si>
    <t>TOOLE AND ROSE SUPPLY</t>
  </si>
  <si>
    <t>ATLAS MANUFACTURING COMPANY INC</t>
  </si>
  <si>
    <t>INDUSTRIAL CONTROLS DISTRIBUTORS LLC</t>
  </si>
  <si>
    <t>PM - SAFETY SUPPLIES</t>
  </si>
  <si>
    <t>PM - SMALL TOOLS</t>
  </si>
  <si>
    <t>PM - SPARE PARTS</t>
  </si>
  <si>
    <t>BROWNSTOWN ELECTRIC SUPPLY CO INC</t>
  </si>
  <si>
    <t>PM - VENDOR DIRECT SHIP</t>
  </si>
  <si>
    <t>FEDERAL ENERGY REGULATORY COMM</t>
  </si>
  <si>
    <t>CORPORATE DEFAULT</t>
  </si>
  <si>
    <t>ONE TIME VENDOR</t>
  </si>
  <si>
    <t>CUSTOMER INCENTIVE PROGRAMS</t>
  </si>
  <si>
    <t>Wood, Gabriel R</t>
  </si>
  <si>
    <t>EDUCATION &amp; TRAINING - COURSE FEES</t>
  </si>
  <si>
    <t>NITEC LLC</t>
  </si>
  <si>
    <t>ENGINEERING SERVICES</t>
  </si>
  <si>
    <t>LOUISVILLE METRO AIR POLLUTION</t>
  </si>
  <si>
    <t>FEES, PERMITS &amp; LICENSES</t>
  </si>
  <si>
    <t>FREIGHT - OTHER</t>
  </si>
  <si>
    <t>HACH COMPANY</t>
  </si>
  <si>
    <t>RPS COMPOSITES OHIO INC</t>
  </si>
  <si>
    <t>MEADE EQUIPMENT LLC</t>
  </si>
  <si>
    <t>SCEPTRE MECHANICAL INC</t>
  </si>
  <si>
    <t>PUMPMEISTERS INC</t>
  </si>
  <si>
    <t>SICK INC</t>
  </si>
  <si>
    <t>Edelen, Olivia</t>
  </si>
  <si>
    <t>MEALS - FULLY DEDUCTIBLE</t>
  </si>
  <si>
    <t>Limberg, Brian</t>
  </si>
  <si>
    <t>MEALS /ENTER- PARTIALLY DEDUCTIBLE</t>
  </si>
  <si>
    <t>NALCO COMPANY</t>
  </si>
  <si>
    <t>MERCURY MITIGATION</t>
  </si>
  <si>
    <t>Litton, Terry Allen</t>
  </si>
  <si>
    <t>MILEAGE REIMBURSEMENT</t>
  </si>
  <si>
    <t>Benge, Eric C</t>
  </si>
  <si>
    <t>Simmons, Damien</t>
  </si>
  <si>
    <t>MISCELLANEOUS</t>
  </si>
  <si>
    <t>WRIGHT TREE SERVICE INC</t>
  </si>
  <si>
    <t>O/S - MATERIAL &amp; EQUIPMENT (INSTALLED)</t>
  </si>
  <si>
    <t>STRATEGIC COMMUNICATIONS LLC</t>
  </si>
  <si>
    <t>ASPLUNDH TREE EXPERT LLC</t>
  </si>
  <si>
    <t>INTEGRATED GLOBAL SERVICES INC</t>
  </si>
  <si>
    <t>PETROCHEM INSULATION INC</t>
  </si>
  <si>
    <t>CTI INDUSTRIES</t>
  </si>
  <si>
    <t>WHITEHEAD CONSTRUCTION INC</t>
  </si>
  <si>
    <t>MEINERS MEDICAL FIRE AND SAFETY</t>
  </si>
  <si>
    <t>PIC GROUP INC</t>
  </si>
  <si>
    <t>CHARAH LLC</t>
  </si>
  <si>
    <t>ATLAS MACHINE AND SUPPLY INC</t>
  </si>
  <si>
    <t>PEAK INDUSTRIAL COATINGS AND LININGS INC</t>
  </si>
  <si>
    <t>KLEIN BROS SAFE AND LOCK</t>
  </si>
  <si>
    <t>PIKE ELECTRIC LLC</t>
  </si>
  <si>
    <t>DONALDSON COMPANY INC</t>
  </si>
  <si>
    <t>MPW INDUSTRIAL SERVICES INC</t>
  </si>
  <si>
    <t>THOMPSON INDUSTRIAL SERVICES LLC</t>
  </si>
  <si>
    <t>ELSTER AMERICAN METER</t>
  </si>
  <si>
    <t>O/S - OTHER-LABOR-3RD PARTY</t>
  </si>
  <si>
    <t>ROSEN USA</t>
  </si>
  <si>
    <t>QUEST INTEGRITY USA LLC</t>
  </si>
  <si>
    <t>APPLUS RTD USA INC</t>
  </si>
  <si>
    <t>INCORP INDUSTRIES LLC</t>
  </si>
  <si>
    <t>STRUCTURAL INTEGRITY ASSOC INC</t>
  </si>
  <si>
    <t>TJ H2B ANALYTICAL SERVICES USA LLC</t>
  </si>
  <si>
    <t>S D MYERS INC</t>
  </si>
  <si>
    <t>PRECISION SERVICES INC</t>
  </si>
  <si>
    <t>READY ELECTRIC CO INC</t>
  </si>
  <si>
    <t>CONTROL COMPONENTS INC</t>
  </si>
  <si>
    <t>EMERSON PROCESS MGT PWR AND WTR SOLUTIONS INC</t>
  </si>
  <si>
    <t>TEAM INDUSTRIAL SERVICES INC</t>
  </si>
  <si>
    <t>MARINE SOLUTIONS INC</t>
  </si>
  <si>
    <t>POWER PLANT SERVICES INC</t>
  </si>
  <si>
    <t>UNITED DYNAMICS ADVANCED</t>
  </si>
  <si>
    <t>PROFESSIONAL POWER GROUP INC</t>
  </si>
  <si>
    <t>TITAN CONTRACTING AND LEASING CO INC</t>
  </si>
  <si>
    <t>TEI CONSTRUCTION SERVICES INC</t>
  </si>
  <si>
    <t>A AND D CONSTRUCTORS LLC</t>
  </si>
  <si>
    <t>KOSMOS CEMENT COMPANY</t>
  </si>
  <si>
    <t>GE INTERNATIONAL INC</t>
  </si>
  <si>
    <t>RYAN FIREPROTECTION INC</t>
  </si>
  <si>
    <t>RANGER STEEL INC</t>
  </si>
  <si>
    <t>AMTECK LLC</t>
  </si>
  <si>
    <t>GLOBAL GEAR AND MACHINE CO INC</t>
  </si>
  <si>
    <t>COMPUTERIZED WASTE SYSTEMS</t>
  </si>
  <si>
    <t>SIEMENS ENERGY INC</t>
  </si>
  <si>
    <t>ACTION PEST CONTROL</t>
  </si>
  <si>
    <t>THE ATLANTIC GROUP INC</t>
  </si>
  <si>
    <t>RIVERSIDE GROUP LLC</t>
  </si>
  <si>
    <t>FIELD MAINTENANCE SERVICES LLC</t>
  </si>
  <si>
    <t>MIDWEST SWITCHGEAR SERVICES LLC</t>
  </si>
  <si>
    <t>TESTEX INC</t>
  </si>
  <si>
    <t>T AND W VALVE AND MACHINE CO INC</t>
  </si>
  <si>
    <t>BRANHAM CORP</t>
  </si>
  <si>
    <t>MECHANICAL DYNAMICS AND ANALYSIS LLC</t>
  </si>
  <si>
    <t>KDR SERVICES INC</t>
  </si>
  <si>
    <t>MOHLER TECHNOLOGY INC</t>
  </si>
  <si>
    <t>CONSOLIDATED METAL SERVICES INC</t>
  </si>
  <si>
    <t>MAXIM CRANE WORKS</t>
  </si>
  <si>
    <t>C AND B MARINE TRIMBLE CO LLC</t>
  </si>
  <si>
    <t>EXAMINETICS INC</t>
  </si>
  <si>
    <t>O/S - PHYSICAL AND MEDICAL EXAMS</t>
  </si>
  <si>
    <t>TOWNSEND TREE SERVICE COMPANY INC</t>
  </si>
  <si>
    <t>O/S SUPPLEMENTAL CONTRACTOR</t>
  </si>
  <si>
    <t>NELSON TREE SERVICE INC</t>
  </si>
  <si>
    <t>CE POWER ENGINEERED SERVICES LLC</t>
  </si>
  <si>
    <t>STOLL CONSTRUCTION AND PAVING CO INC</t>
  </si>
  <si>
    <t>MILLER PIPELINE CORP</t>
  </si>
  <si>
    <t>TDW SERVICES INC</t>
  </si>
  <si>
    <t>OLAMETER CORPORATION</t>
  </si>
  <si>
    <t>TRU CHECK INC</t>
  </si>
  <si>
    <t>USIC LOCATING SERVICES LLC</t>
  </si>
  <si>
    <t>SUL4R PLUS LLC</t>
  </si>
  <si>
    <t>FACILITIES PERFORMANCE GROUP LLC</t>
  </si>
  <si>
    <t>WILLIAM E GROVES CONSTRUCTION INC</t>
  </si>
  <si>
    <t>UNITED ELECTRIC CO INC</t>
  </si>
  <si>
    <t>MELVIN AND SONS BUSHHOGGING</t>
  </si>
  <si>
    <t>UNIVAR USA INC</t>
  </si>
  <si>
    <t>PM - CHEMICALS</t>
  </si>
  <si>
    <t>PCM SALES INC</t>
  </si>
  <si>
    <t>PM - COMPUTER HARDWARE PURCHASES</t>
  </si>
  <si>
    <t>ALBERT OIL CO INC</t>
  </si>
  <si>
    <t>PM - DIESEL (USED IN EQUIP)</t>
  </si>
  <si>
    <t>PM - LIQUID HYDROGEN / GASES</t>
  </si>
  <si>
    <t>PM - OFFICE SUPPLIES/EQUIPMENT/FURNITURE</t>
  </si>
  <si>
    <t>PM - PROTECTIVE CLOTHING</t>
  </si>
  <si>
    <t>CORNERSTONE CONTROLS INC</t>
  </si>
  <si>
    <t>PURCHASED MATERIAL - GENERATION - LGE</t>
  </si>
  <si>
    <t>PLASTIFAB INC</t>
  </si>
  <si>
    <t>AMERICAN METAL SUPPLY CO KY</t>
  </si>
  <si>
    <t>MEYER MATERIAL HANDLING PRODUCTS</t>
  </si>
  <si>
    <t>ENGINEERED EQUIPMENT VALVES AND CONTROLS INC</t>
  </si>
  <si>
    <t>RPM AND ASSOCIATES INC</t>
  </si>
  <si>
    <t>PURCHASED MATERIAL - TRANS. AND DISTRIB - LGE</t>
  </si>
  <si>
    <t>COASTAL CHEMICAL CO LLC</t>
  </si>
  <si>
    <t>AIR TECHNOLOGIES</t>
  </si>
  <si>
    <t>RENTAL OTHER (NON-LEASE)</t>
  </si>
  <si>
    <t>OMEGA RAIL MANAGEMENT INC</t>
  </si>
  <si>
    <t>RIGHTS OF WAY</t>
  </si>
  <si>
    <t>WENGERD, DANIEL AND DOROTHY</t>
  </si>
  <si>
    <t>DONNIE L AND JANUS FANCHER</t>
  </si>
  <si>
    <t>OFFICE OF NATURAL RESOURCES REVENUE</t>
  </si>
  <si>
    <t>Harper, William K</t>
  </si>
  <si>
    <t>TRAVEL</t>
  </si>
  <si>
    <t>Buckner, Michael A</t>
  </si>
  <si>
    <t>LOUISVILLE WATER CO</t>
  </si>
  <si>
    <t>UTILITIES</t>
  </si>
  <si>
    <t>Other O&amp;M Expense Lead</t>
  </si>
  <si>
    <t xml:space="preserve">Notes:  Sample size of 381 payments based on 95% confidence level, 5% confidence interval, and 40,330 LG&amp;E payments in population.  Selected the highest 228 payment </t>
  </si>
  <si>
    <t>amounts and determined the number of payments by expenditure type for random sampling based on the % of total payments times 153 (population for random sample).</t>
  </si>
  <si>
    <t xml:space="preserve">Payment to OFFICE OF NATURAL RESOURCES REVENUE for $108,406 covered 4 year period, which is not representative of normal operating results; thus, this payment </t>
  </si>
  <si>
    <t>was excluded from our analysis.</t>
  </si>
  <si>
    <t>As Filed by Company</t>
  </si>
  <si>
    <t>Manual input from below</t>
  </si>
  <si>
    <t>Garret, Schedule B.5.2, page 4 of 6</t>
  </si>
  <si>
    <t>Effect of Proxy Cost of Capital</t>
  </si>
  <si>
    <t>Company's Revenue Request</t>
  </si>
  <si>
    <t>Amortization of Tax Reform Regulatory Liability</t>
  </si>
  <si>
    <t>State Tax Reform</t>
  </si>
  <si>
    <t>Federal Tax Reform</t>
  </si>
  <si>
    <t>State and Federal Annual Amortization</t>
  </si>
  <si>
    <t>State and Federal Total Income Taxes</t>
  </si>
  <si>
    <t>Column A, line 2: Case No. 2018-00304, Application dated September 12, 2018, Exhibit 3</t>
  </si>
  <si>
    <t>Column A, line 3: Direct Testimony of Christopher M. Garrett, page 35, lines 12–13</t>
  </si>
  <si>
    <t>Column A, line 12: EDIT RMA Workpaper derived from Case No. 2018-00034 PSC  DR 2-1</t>
  </si>
  <si>
    <t>Update for Adjustments</t>
  </si>
  <si>
    <t>O&amp;M Expense</t>
  </si>
  <si>
    <t>Employee Retirement</t>
  </si>
  <si>
    <t>Remaining O&amp;M Expense</t>
  </si>
  <si>
    <t>Income Taxes (without Interest Synchronization)</t>
  </si>
  <si>
    <t xml:space="preserve">Interest Synchronization </t>
  </si>
  <si>
    <t>Check from Schedule 3</t>
  </si>
  <si>
    <t>Net (Lead)/</t>
  </si>
  <si>
    <t>CWC</t>
  </si>
  <si>
    <t>Lag Days</t>
  </si>
  <si>
    <t>Operating</t>
  </si>
  <si>
    <t>Column B, line 10: Schedule 3.18</t>
  </si>
  <si>
    <t>Column C: Net (Lead)/Lag Days Schedule 3.5.1 CWC WP</t>
  </si>
  <si>
    <t>Daily</t>
  </si>
  <si>
    <t>Column E, line 1: CWC WP</t>
  </si>
  <si>
    <t>Column B, lines 2-10: Schedule 3</t>
  </si>
  <si>
    <t>Steptoe &amp; Johnson LLC (Midwest Ozone Group)</t>
  </si>
  <si>
    <t>Midwest Ozone Group (MOG)</t>
  </si>
  <si>
    <t>Column A, line 1–7: Garrett, Scheudle F-1</t>
  </si>
  <si>
    <t>Utility Air Regulatory Group (UARG)</t>
  </si>
  <si>
    <t>Utility Water Act Group (UWAG)</t>
  </si>
  <si>
    <t>Utility Solid Waste Activities Group (USWAG)</t>
  </si>
  <si>
    <r>
      <t xml:space="preserve">Effect of Recommended </t>
    </r>
    <r>
      <rPr>
        <b/>
        <u/>
        <sz val="10"/>
        <color indexed="8"/>
        <rFont val="Arial"/>
        <family val="2"/>
      </rPr>
      <t>Gross-Up Conversion Factor</t>
    </r>
    <r>
      <rPr>
        <sz val="10"/>
        <color indexed="8"/>
        <rFont val="Arial"/>
        <family val="2"/>
      </rPr>
      <t xml:space="preserve"> on Company's  Revenue Deficiency</t>
    </r>
  </si>
  <si>
    <t>Effect of Proxy ROE on Company's  Revenue Deficiency</t>
  </si>
  <si>
    <t xml:space="preserve">Gross-Up Conversion Factor </t>
  </si>
  <si>
    <t>Computation of Gross- Up Conversion Factor</t>
  </si>
  <si>
    <t>Gross-Up Conversion Factor</t>
  </si>
  <si>
    <r>
      <t>Gross-Up Conversion Factor</t>
    </r>
    <r>
      <rPr>
        <sz val="10"/>
        <rFont val="Arial"/>
        <family val="2"/>
      </rPr>
      <t xml:space="preserve"> </t>
    </r>
  </si>
  <si>
    <r>
      <t>Gross-up Conversion Factor</t>
    </r>
    <r>
      <rPr>
        <sz val="10"/>
        <rFont val="Arial"/>
        <family val="2"/>
      </rPr>
      <t xml:space="preserve"> </t>
    </r>
  </si>
  <si>
    <t>LG&amp;E-Electric</t>
  </si>
  <si>
    <t>LG&amp;E-Gas</t>
  </si>
  <si>
    <t>M&amp;S and Stores Allocation</t>
  </si>
  <si>
    <t>M&amp;S</t>
  </si>
  <si>
    <t>Stores</t>
  </si>
  <si>
    <t>Total LG&amp;E</t>
  </si>
  <si>
    <t>Allocated Credit Card Rebate</t>
  </si>
  <si>
    <t>Prepayments</t>
  </si>
  <si>
    <t>Column A, lines 1 and 15: Garrett, Schedule B-5, page 2 of 2</t>
  </si>
  <si>
    <t xml:space="preserve">Working Capital </t>
  </si>
  <si>
    <t>Revenue Increase (Decrease)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</si>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</sst>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0.00000"/>
    <numFmt numFmtId="168" formatCode="0.0%"/>
    <numFmt numFmtId="169" formatCode="0.00000%"/>
    <numFmt numFmtId="170" formatCode="_(* #,##0,_);_(* \(#,##0,\);_(* &quot;-   &quot;_);_(@_)"/>
    <numFmt numFmtId="171" formatCode="0.0000%"/>
    <numFmt numFmtId="172" formatCode="_(* #,##0.0_);_(* \(#,##0.0\);_(* &quot;-&quot;??_);_(@_)"/>
    <numFmt numFmtId="173" formatCode="0.000000"/>
    <numFmt numFmtId="174" formatCode="0.0000000%"/>
    <numFmt numFmtId="175" formatCode="_(* #,##0.00_);_(* \(#,##0.00\);_(* &quot;-&quot;_);_(@_)"/>
    <numFmt numFmtId="176" formatCode="mm/dd/yyyy"/>
    <numFmt numFmtId="177" formatCode="0.000000%"/>
    <numFmt numFmtId="178" formatCode="0.0000000000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  <font>
      <i/>
      <sz val="9"/>
      <name val="Arial"/>
      <family val="2"/>
    </font>
    <font>
      <b/>
      <u/>
      <sz val="12"/>
      <name val="Arial"/>
      <family val="2"/>
    </font>
    <font>
      <sz val="10"/>
      <color theme="4" tint="0.59999389629810485"/>
      <name val="Arial"/>
      <family val="2"/>
    </font>
    <font>
      <i/>
      <sz val="8"/>
      <color theme="4" tint="0.59999389629810485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i/>
      <sz val="8"/>
      <color theme="3" tint="0.79998168889431442"/>
      <name val="Arial"/>
      <family val="2"/>
    </font>
    <font>
      <u/>
      <sz val="10"/>
      <name val="Arial"/>
      <family val="2"/>
    </font>
    <font>
      <sz val="10"/>
      <color theme="3" tint="0.79998168889431442"/>
      <name val="Arial"/>
      <family val="2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Accounting"/>
      <sz val="10"/>
      <color theme="1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205">
    <xf numFmtId="0" fontId="0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ont="0" applyBorder="0" applyAlignment="0" applyProtection="0"/>
    <xf numFmtId="170" fontId="3" fillId="0" borderId="0">
      <alignment wrapText="1"/>
    </xf>
    <xf numFmtId="0" fontId="3" fillId="0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33" fillId="0" borderId="0">
      <alignment vertical="center"/>
    </xf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/>
    <xf numFmtId="0" fontId="44" fillId="0" borderId="0"/>
    <xf numFmtId="44" fontId="44" fillId="0" borderId="0" applyFont="0" applyFill="0" applyBorder="0" applyAlignment="0" applyProtection="0"/>
  </cellStyleXfs>
  <cellXfs count="45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ill="1" applyBorder="1"/>
    <xf numFmtId="0" fontId="5" fillId="0" borderId="0" xfId="0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10" fontId="0" fillId="0" borderId="1" xfId="50" applyNumberFormat="1" applyFont="1" applyFill="1" applyBorder="1"/>
    <xf numFmtId="0" fontId="0" fillId="0" borderId="0" xfId="0" applyFill="1" applyAlignment="1">
      <alignment horizontal="center"/>
    </xf>
    <xf numFmtId="165" fontId="0" fillId="0" borderId="0" xfId="1" applyNumberFormat="1" applyFont="1" applyFill="1"/>
    <xf numFmtId="164" fontId="0" fillId="0" borderId="1" xfId="14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0" fillId="0" borderId="5" xfId="14" applyNumberFormat="1" applyFont="1" applyFill="1" applyBorder="1"/>
    <xf numFmtId="0" fontId="7" fillId="0" borderId="0" xfId="0" applyFont="1" applyFill="1"/>
    <xf numFmtId="0" fontId="9" fillId="0" borderId="0" xfId="0" applyFont="1" applyBorder="1"/>
    <xf numFmtId="0" fontId="10" fillId="0" borderId="0" xfId="0" applyFont="1" applyBorder="1"/>
    <xf numFmtId="167" fontId="0" fillId="0" borderId="1" xfId="0" applyNumberFormat="1" applyFill="1" applyBorder="1"/>
    <xf numFmtId="42" fontId="9" fillId="0" borderId="0" xfId="14" applyNumberFormat="1" applyFont="1" applyFill="1" applyBorder="1"/>
    <xf numFmtId="0" fontId="9" fillId="0" borderId="0" xfId="0" applyFont="1" applyFill="1"/>
    <xf numFmtId="10" fontId="0" fillId="0" borderId="0" xfId="0" applyNumberFormat="1" applyFill="1"/>
    <xf numFmtId="164" fontId="0" fillId="0" borderId="0" xfId="0" applyNumberFormat="1" applyFill="1" applyBorder="1"/>
    <xf numFmtId="0" fontId="12" fillId="0" borderId="0" xfId="0" applyFont="1" applyFill="1" applyAlignment="1"/>
    <xf numFmtId="5" fontId="0" fillId="0" borderId="0" xfId="0" applyNumberFormat="1" applyBorder="1"/>
    <xf numFmtId="7" fontId="0" fillId="0" borderId="0" xfId="0" applyNumberForma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5" fontId="3" fillId="0" borderId="0" xfId="1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165" fontId="0" fillId="0" borderId="0" xfId="1" applyNumberFormat="1" applyFont="1" applyFill="1" applyBorder="1"/>
    <xf numFmtId="10" fontId="0" fillId="0" borderId="0" xfId="50" applyNumberFormat="1" applyFont="1" applyFill="1" applyBorder="1"/>
    <xf numFmtId="164" fontId="0" fillId="0" borderId="0" xfId="14" applyNumberFormat="1" applyFont="1" applyFill="1" applyBorder="1"/>
    <xf numFmtId="164" fontId="0" fillId="0" borderId="0" xfId="14" applyNumberFormat="1" applyFont="1" applyFill="1"/>
    <xf numFmtId="164" fontId="0" fillId="0" borderId="4" xfId="0" applyNumberFormat="1" applyFill="1" applyBorder="1"/>
    <xf numFmtId="165" fontId="3" fillId="0" borderId="0" xfId="1" applyNumberFormat="1" applyFont="1" applyFill="1" applyAlignment="1">
      <alignment horizontal="right"/>
    </xf>
    <xf numFmtId="0" fontId="0" fillId="0" borderId="0" xfId="0" applyFont="1" applyFill="1"/>
    <xf numFmtId="0" fontId="5" fillId="0" borderId="3" xfId="0" applyFont="1" applyFill="1" applyBorder="1" applyAlignment="1">
      <alignment horizontal="center"/>
    </xf>
    <xf numFmtId="164" fontId="0" fillId="0" borderId="1" xfId="0" applyNumberFormat="1" applyFill="1" applyBorder="1"/>
    <xf numFmtId="42" fontId="9" fillId="0" borderId="5" xfId="14" applyNumberFormat="1" applyFont="1" applyFill="1" applyBorder="1"/>
    <xf numFmtId="9" fontId="9" fillId="0" borderId="1" xfId="14" applyNumberFormat="1" applyFont="1" applyFill="1" applyBorder="1"/>
    <xf numFmtId="165" fontId="9" fillId="0" borderId="0" xfId="1" applyNumberFormat="1" applyFont="1" applyFill="1" applyBorder="1"/>
    <xf numFmtId="165" fontId="10" fillId="0" borderId="0" xfId="1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6" xfId="0" applyNumberFormat="1" applyFill="1" applyBorder="1"/>
    <xf numFmtId="0" fontId="0" fillId="0" borderId="1" xfId="0" applyBorder="1"/>
    <xf numFmtId="164" fontId="3" fillId="0" borderId="0" xfId="14" applyNumberFormat="1" applyFont="1" applyFill="1" applyAlignment="1">
      <alignment horizontal="right"/>
    </xf>
    <xf numFmtId="0" fontId="5" fillId="0" borderId="1" xfId="0" applyFont="1" applyBorder="1" applyAlignment="1">
      <alignment horizontal="left"/>
    </xf>
    <xf numFmtId="0" fontId="25" fillId="2" borderId="0" xfId="0" applyFont="1" applyFill="1"/>
    <xf numFmtId="0" fontId="19" fillId="0" borderId="0" xfId="64" applyFill="1" applyAlignment="1" applyProtection="1"/>
    <xf numFmtId="0" fontId="11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164" fontId="0" fillId="0" borderId="4" xfId="14" applyNumberFormat="1" applyFont="1" applyFill="1" applyBorder="1"/>
    <xf numFmtId="0" fontId="0" fillId="0" borderId="0" xfId="0" applyFont="1" applyFill="1" applyAlignment="1">
      <alignment horizontal="left" indent="2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/>
    <xf numFmtId="0" fontId="5" fillId="0" borderId="0" xfId="0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/>
    </xf>
    <xf numFmtId="0" fontId="26" fillId="0" borderId="0" xfId="0" applyFont="1" applyFill="1" applyBorder="1" applyAlignment="1">
      <alignment horizontal="left" indent="1"/>
    </xf>
    <xf numFmtId="168" fontId="0" fillId="0" borderId="0" xfId="50" applyNumberFormat="1" applyFont="1" applyFill="1"/>
    <xf numFmtId="0" fontId="0" fillId="0" borderId="0" xfId="0" applyFont="1" applyFill="1" applyAlignment="1">
      <alignment horizontal="right" indent="1"/>
    </xf>
    <xf numFmtId="165" fontId="3" fillId="0" borderId="8" xfId="1" applyNumberFormat="1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left"/>
    </xf>
    <xf numFmtId="10" fontId="9" fillId="0" borderId="1" xfId="14" applyNumberFormat="1" applyFont="1" applyFill="1" applyBorder="1"/>
    <xf numFmtId="0" fontId="0" fillId="0" borderId="0" xfId="0" applyFill="1" applyAlignment="1">
      <alignment horizontal="left" indent="1"/>
    </xf>
    <xf numFmtId="0" fontId="29" fillId="0" borderId="0" xfId="0" applyFont="1" applyFill="1"/>
    <xf numFmtId="0" fontId="30" fillId="2" borderId="3" xfId="0" applyFont="1" applyFill="1" applyBorder="1" applyAlignment="1">
      <alignment horizontal="center" wrapText="1"/>
    </xf>
    <xf numFmtId="0" fontId="25" fillId="0" borderId="0" xfId="0" applyFont="1" applyFill="1"/>
    <xf numFmtId="0" fontId="6" fillId="0" borderId="0" xfId="0" applyFont="1" applyFill="1"/>
    <xf numFmtId="0" fontId="5" fillId="0" borderId="7" xfId="0" applyFont="1" applyFill="1" applyBorder="1" applyAlignment="1">
      <alignment horizontal="center"/>
    </xf>
    <xf numFmtId="169" fontId="0" fillId="0" borderId="0" xfId="50" applyNumberFormat="1" applyFont="1" applyFill="1" applyBorder="1"/>
    <xf numFmtId="165" fontId="13" fillId="0" borderId="0" xfId="1" applyNumberFormat="1" applyFont="1" applyFill="1" applyBorder="1"/>
    <xf numFmtId="167" fontId="0" fillId="0" borderId="0" xfId="0" applyNumberFormat="1" applyFill="1" applyBorder="1"/>
    <xf numFmtId="167" fontId="0" fillId="0" borderId="0" xfId="0" applyNumberFormat="1" applyFill="1"/>
    <xf numFmtId="0" fontId="24" fillId="0" borderId="0" xfId="0" applyFont="1" applyFill="1" applyAlignment="1">
      <alignment horizontal="right"/>
    </xf>
    <xf numFmtId="165" fontId="24" fillId="0" borderId="0" xfId="1" applyNumberFormat="1" applyFont="1" applyFill="1"/>
    <xf numFmtId="10" fontId="0" fillId="0" borderId="0" xfId="50" applyNumberFormat="1" applyFont="1" applyFill="1"/>
    <xf numFmtId="0" fontId="9" fillId="0" borderId="0" xfId="0" applyFont="1" applyFill="1" applyBorder="1"/>
    <xf numFmtId="41" fontId="9" fillId="0" borderId="0" xfId="1" applyNumberFormat="1" applyFont="1" applyFill="1" applyBorder="1"/>
    <xf numFmtId="0" fontId="6" fillId="0" borderId="0" xfId="0" applyFont="1" applyFill="1" applyBorder="1"/>
    <xf numFmtId="10" fontId="9" fillId="0" borderId="0" xfId="50" applyNumberFormat="1" applyFont="1" applyFill="1" applyBorder="1"/>
    <xf numFmtId="0" fontId="9" fillId="0" borderId="0" xfId="0" applyFont="1" applyFill="1" applyAlignment="1">
      <alignment horizontal="center"/>
    </xf>
    <xf numFmtId="10" fontId="9" fillId="0" borderId="2" xfId="50" applyNumberFormat="1" applyFont="1" applyFill="1" applyBorder="1"/>
    <xf numFmtId="42" fontId="0" fillId="0" borderId="0" xfId="0" applyNumberFormat="1" applyFill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/>
    <xf numFmtId="42" fontId="9" fillId="0" borderId="3" xfId="14" applyNumberFormat="1" applyFont="1" applyFill="1" applyBorder="1"/>
    <xf numFmtId="0" fontId="0" fillId="0" borderId="3" xfId="0" applyFill="1" applyBorder="1"/>
    <xf numFmtId="0" fontId="9" fillId="0" borderId="0" xfId="0" applyFont="1" applyFill="1" applyBorder="1" applyAlignment="1">
      <alignment horizontal="center"/>
    </xf>
    <xf numFmtId="41" fontId="9" fillId="0" borderId="0" xfId="12" applyNumberFormat="1" applyFont="1" applyFill="1" applyBorder="1"/>
    <xf numFmtId="165" fontId="0" fillId="0" borderId="0" xfId="12" applyNumberFormat="1" applyFont="1" applyFill="1"/>
    <xf numFmtId="42" fontId="9" fillId="0" borderId="0" xfId="26" applyNumberFormat="1" applyFont="1" applyFill="1" applyBorder="1"/>
    <xf numFmtId="0" fontId="5" fillId="0" borderId="1" xfId="0" applyFont="1" applyFill="1" applyBorder="1" applyAlignment="1">
      <alignment horizontal="left"/>
    </xf>
    <xf numFmtId="10" fontId="0" fillId="0" borderId="1" xfId="0" applyNumberFormat="1" applyFill="1" applyBorder="1"/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165" fontId="25" fillId="2" borderId="0" xfId="1" applyNumberFormat="1" applyFont="1" applyFill="1"/>
    <xf numFmtId="165" fontId="0" fillId="0" borderId="1" xfId="1" applyNumberFormat="1" applyFont="1" applyFill="1" applyBorder="1" applyAlignment="1">
      <alignment vertical="center"/>
    </xf>
    <xf numFmtId="165" fontId="0" fillId="0" borderId="1" xfId="0" applyNumberFormat="1" applyFill="1" applyBorder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164" fontId="3" fillId="0" borderId="0" xfId="14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164" fontId="5" fillId="0" borderId="5" xfId="0" applyNumberFormat="1" applyFont="1" applyFill="1" applyBorder="1"/>
    <xf numFmtId="164" fontId="3" fillId="0" borderId="1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/>
    <xf numFmtId="41" fontId="21" fillId="0" borderId="0" xfId="1" applyNumberFormat="1" applyFont="1" applyFill="1"/>
    <xf numFmtId="0" fontId="4" fillId="0" borderId="0" xfId="0" applyFont="1" applyFill="1"/>
    <xf numFmtId="42" fontId="4" fillId="0" borderId="0" xfId="0" applyNumberFormat="1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0" fillId="0" borderId="0" xfId="14" applyNumberFormat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43" fontId="0" fillId="0" borderId="0" xfId="0" applyNumberFormat="1" applyFill="1"/>
    <xf numFmtId="0" fontId="27" fillId="0" borderId="0" xfId="0" applyFont="1" applyFill="1"/>
    <xf numFmtId="171" fontId="27" fillId="0" borderId="0" xfId="50" applyNumberFormat="1" applyFont="1" applyFill="1"/>
    <xf numFmtId="0" fontId="10" fillId="0" borderId="0" xfId="0" applyFont="1" applyFill="1" applyBorder="1"/>
    <xf numFmtId="42" fontId="9" fillId="0" borderId="6" xfId="14" applyNumberFormat="1" applyFont="1" applyFill="1" applyBorder="1"/>
    <xf numFmtId="5" fontId="0" fillId="0" borderId="0" xfId="0" applyNumberFormat="1" applyFill="1" applyBorder="1"/>
    <xf numFmtId="7" fontId="0" fillId="0" borderId="0" xfId="0" applyNumberFormat="1" applyFill="1"/>
    <xf numFmtId="0" fontId="27" fillId="0" borderId="0" xfId="0" applyFont="1" applyFill="1" applyAlignment="1">
      <alignment horizontal="left"/>
    </xf>
    <xf numFmtId="10" fontId="3" fillId="0" borderId="1" xfId="5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3" fillId="0" borderId="0" xfId="14" applyNumberFormat="1" applyFont="1" applyFill="1" applyAlignment="1">
      <alignment horizontal="center"/>
    </xf>
    <xf numFmtId="164" fontId="3" fillId="0" borderId="0" xfId="14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164" fontId="25" fillId="2" borderId="0" xfId="14" applyNumberFormat="1" applyFont="1" applyFill="1"/>
    <xf numFmtId="164" fontId="25" fillId="2" borderId="2" xfId="14" applyNumberFormat="1" applyFont="1" applyFill="1" applyBorder="1"/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165" fontId="21" fillId="0" borderId="0" xfId="1" applyNumberFormat="1" applyFont="1" applyFill="1"/>
    <xf numFmtId="165" fontId="0" fillId="0" borderId="0" xfId="9" applyNumberFormat="1" applyFont="1" applyFill="1" applyBorder="1"/>
    <xf numFmtId="14" fontId="0" fillId="0" borderId="0" xfId="0" applyNumberFormat="1" applyFill="1" applyBorder="1"/>
    <xf numFmtId="0" fontId="29" fillId="0" borderId="0" xfId="0" applyFont="1"/>
    <xf numFmtId="10" fontId="25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3" fillId="0" borderId="0" xfId="5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165" fontId="25" fillId="0" borderId="0" xfId="1" applyNumberFormat="1" applyFont="1" applyFill="1" applyAlignment="1">
      <alignment horizontal="left"/>
    </xf>
    <xf numFmtId="164" fontId="5" fillId="0" borderId="0" xfId="0" applyNumberFormat="1" applyFont="1" applyFill="1" applyBorder="1"/>
    <xf numFmtId="0" fontId="5" fillId="0" borderId="0" xfId="0" applyFont="1" applyFill="1" applyBorder="1"/>
    <xf numFmtId="0" fontId="25" fillId="2" borderId="0" xfId="0" applyFont="1" applyFill="1" applyAlignment="1"/>
    <xf numFmtId="0" fontId="25" fillId="2" borderId="0" xfId="0" applyFont="1" applyFill="1" applyAlignment="1">
      <alignment horizontal="right"/>
    </xf>
    <xf numFmtId="0" fontId="30" fillId="2" borderId="0" xfId="0" applyFont="1" applyFill="1" applyAlignment="1">
      <alignment horizontal="center" wrapText="1"/>
    </xf>
    <xf numFmtId="0" fontId="25" fillId="2" borderId="0" xfId="0" applyNumberFormat="1" applyFont="1" applyFill="1"/>
    <xf numFmtId="164" fontId="25" fillId="2" borderId="0" xfId="0" applyNumberFormat="1" applyFont="1" applyFill="1"/>
    <xf numFmtId="164" fontId="25" fillId="2" borderId="2" xfId="0" applyNumberFormat="1" applyFont="1" applyFill="1" applyBorder="1"/>
    <xf numFmtId="0" fontId="5" fillId="0" borderId="3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71" fontId="0" fillId="0" borderId="1" xfId="50" applyNumberFormat="1" applyFont="1" applyFill="1" applyBorder="1"/>
    <xf numFmtId="165" fontId="24" fillId="0" borderId="1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164" fontId="3" fillId="0" borderId="1" xfId="14" applyNumberFormat="1" applyFont="1" applyFill="1" applyBorder="1" applyAlignment="1">
      <alignment horizontal="right"/>
    </xf>
    <xf numFmtId="164" fontId="3" fillId="0" borderId="6" xfId="14" applyNumberFormat="1" applyFont="1" applyFill="1" applyBorder="1" applyAlignment="1">
      <alignment horizontal="right"/>
    </xf>
    <xf numFmtId="164" fontId="3" fillId="0" borderId="0" xfId="14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4" fontId="9" fillId="0" borderId="5" xfId="14" applyNumberFormat="1" applyFont="1" applyFill="1" applyBorder="1"/>
    <xf numFmtId="10" fontId="3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41" fontId="21" fillId="4" borderId="9" xfId="0" applyNumberFormat="1" applyFont="1" applyFill="1" applyBorder="1"/>
    <xf numFmtId="0" fontId="5" fillId="0" borderId="0" xfId="0" applyFont="1" applyFill="1" applyAlignment="1">
      <alignment horizontal="center"/>
    </xf>
    <xf numFmtId="164" fontId="3" fillId="0" borderId="0" xfId="0" applyNumberFormat="1" applyFont="1"/>
    <xf numFmtId="0" fontId="9" fillId="0" borderId="0" xfId="0" applyFont="1" applyFill="1" applyBorder="1" applyAlignment="1">
      <alignment horizontal="left" indent="1"/>
    </xf>
    <xf numFmtId="165" fontId="0" fillId="0" borderId="0" xfId="0" applyNumberFormat="1" applyFill="1"/>
    <xf numFmtId="164" fontId="25" fillId="0" borderId="0" xfId="0" applyNumberFormat="1" applyFont="1" applyFill="1"/>
    <xf numFmtId="165" fontId="25" fillId="0" borderId="0" xfId="0" applyNumberFormat="1" applyFont="1" applyFill="1"/>
    <xf numFmtId="43" fontId="25" fillId="0" borderId="0" xfId="0" applyNumberFormat="1" applyFont="1" applyFill="1"/>
    <xf numFmtId="0" fontId="35" fillId="2" borderId="0" xfId="0" applyFont="1" applyFill="1"/>
    <xf numFmtId="0" fontId="30" fillId="2" borderId="0" xfId="0" applyFont="1" applyFill="1" applyBorder="1" applyAlignment="1">
      <alignment horizontal="center" wrapText="1"/>
    </xf>
    <xf numFmtId="0" fontId="25" fillId="3" borderId="0" xfId="0" applyFont="1" applyFill="1"/>
    <xf numFmtId="165" fontId="34" fillId="2" borderId="0" xfId="1" applyNumberFormat="1" applyFont="1" applyFill="1" applyAlignment="1">
      <alignment horizontal="right"/>
    </xf>
    <xf numFmtId="165" fontId="34" fillId="2" borderId="0" xfId="1" applyNumberFormat="1" applyFont="1" applyFill="1"/>
    <xf numFmtId="0" fontId="34" fillId="2" borderId="0" xfId="0" applyFont="1" applyFill="1"/>
    <xf numFmtId="165" fontId="28" fillId="2" borderId="0" xfId="1" applyNumberFormat="1" applyFont="1" applyFill="1" applyAlignment="1">
      <alignment horizontal="right"/>
    </xf>
    <xf numFmtId="165" fontId="28" fillId="2" borderId="0" xfId="1" applyNumberFormat="1" applyFont="1" applyFill="1"/>
    <xf numFmtId="0" fontId="28" fillId="2" borderId="0" xfId="0" applyFont="1" applyFill="1"/>
    <xf numFmtId="0" fontId="30" fillId="2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0" fillId="2" borderId="0" xfId="0" applyFill="1"/>
    <xf numFmtId="164" fontId="25" fillId="2" borderId="0" xfId="0" applyNumberFormat="1" applyFont="1" applyFill="1" applyBorder="1"/>
    <xf numFmtId="0" fontId="25" fillId="2" borderId="0" xfId="0" applyFont="1" applyFill="1" applyBorder="1"/>
    <xf numFmtId="165" fontId="25" fillId="2" borderId="1" xfId="1" applyNumberFormat="1" applyFont="1" applyFill="1" applyBorder="1"/>
    <xf numFmtId="0" fontId="36" fillId="0" borderId="0" xfId="0" applyFont="1" applyFill="1" applyAlignment="1">
      <alignment horizontal="left"/>
    </xf>
    <xf numFmtId="165" fontId="37" fillId="0" borderId="0" xfId="1" applyNumberFormat="1" applyFont="1" applyFill="1" applyAlignment="1">
      <alignment horizontal="right"/>
    </xf>
    <xf numFmtId="165" fontId="37" fillId="0" borderId="0" xfId="1" applyNumberFormat="1" applyFont="1" applyFill="1" applyAlignment="1">
      <alignment horizontal="left"/>
    </xf>
    <xf numFmtId="0" fontId="32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left"/>
    </xf>
    <xf numFmtId="10" fontId="3" fillId="0" borderId="1" xfId="0" applyNumberFormat="1" applyFont="1" applyFill="1" applyBorder="1" applyAlignment="1">
      <alignment horizontal="right"/>
    </xf>
    <xf numFmtId="171" fontId="3" fillId="0" borderId="0" xfId="0" applyNumberFormat="1" applyFont="1" applyFill="1"/>
    <xf numFmtId="173" fontId="3" fillId="0" borderId="6" xfId="0" applyNumberFormat="1" applyFont="1" applyFill="1" applyBorder="1"/>
    <xf numFmtId="0" fontId="39" fillId="0" borderId="0" xfId="0" applyFont="1" applyAlignment="1">
      <alignment horizontal="center" vertical="top"/>
    </xf>
    <xf numFmtId="10" fontId="3" fillId="0" borderId="0" xfId="50" applyNumberFormat="1" applyFont="1" applyFill="1" applyBorder="1" applyAlignment="1">
      <alignment vertical="top"/>
    </xf>
    <xf numFmtId="10" fontId="3" fillId="0" borderId="1" xfId="50" applyNumberFormat="1" applyFont="1" applyFill="1" applyBorder="1" applyAlignment="1">
      <alignment vertical="top"/>
    </xf>
    <xf numFmtId="10" fontId="3" fillId="0" borderId="0" xfId="0" applyNumberFormat="1" applyFont="1" applyFill="1" applyBorder="1" applyAlignment="1">
      <alignment horizontal="left"/>
    </xf>
    <xf numFmtId="171" fontId="3" fillId="0" borderId="0" xfId="0" applyNumberFormat="1" applyFont="1" applyFill="1" applyBorder="1"/>
    <xf numFmtId="173" fontId="3" fillId="0" borderId="0" xfId="0" applyNumberFormat="1" applyFont="1" applyFill="1" applyBorder="1"/>
    <xf numFmtId="10" fontId="3" fillId="0" borderId="4" xfId="0" applyNumberFormat="1" applyFont="1" applyFill="1" applyBorder="1" applyAlignment="1">
      <alignment horizontal="right"/>
    </xf>
    <xf numFmtId="0" fontId="38" fillId="0" borderId="0" xfId="0" applyFont="1" applyFill="1" applyAlignment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25" fillId="2" borderId="0" xfId="1" applyNumberFormat="1" applyFont="1" applyFill="1" applyBorder="1"/>
    <xf numFmtId="0" fontId="0" fillId="0" borderId="0" xfId="0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6" fillId="0" borderId="0" xfId="0" applyFont="1" applyFill="1"/>
    <xf numFmtId="165" fontId="37" fillId="0" borderId="0" xfId="1" applyNumberFormat="1" applyFont="1" applyFill="1"/>
    <xf numFmtId="0" fontId="39" fillId="0" borderId="0" xfId="0" applyFont="1"/>
    <xf numFmtId="10" fontId="9" fillId="0" borderId="0" xfId="1" applyNumberFormat="1" applyFont="1" applyFill="1" applyBorder="1"/>
    <xf numFmtId="9" fontId="0" fillId="0" borderId="0" xfId="50" applyFont="1" applyFill="1"/>
    <xf numFmtId="10" fontId="9" fillId="0" borderId="6" xfId="50" applyNumberFormat="1" applyFont="1" applyFill="1" applyBorder="1"/>
    <xf numFmtId="10" fontId="0" fillId="0" borderId="2" xfId="0" applyNumberFormat="1" applyFill="1" applyBorder="1"/>
    <xf numFmtId="166" fontId="0" fillId="0" borderId="0" xfId="50" applyNumberFormat="1" applyFont="1" applyFill="1" applyBorder="1"/>
    <xf numFmtId="173" fontId="0" fillId="0" borderId="1" xfId="0" applyNumberFormat="1" applyFill="1" applyBorder="1"/>
    <xf numFmtId="173" fontId="0" fillId="0" borderId="0" xfId="0" applyNumberFormat="1" applyFill="1" applyBorder="1"/>
    <xf numFmtId="173" fontId="0" fillId="0" borderId="0" xfId="0" applyNumberFormat="1" applyFill="1"/>
    <xf numFmtId="0" fontId="40" fillId="0" borderId="0" xfId="0" applyFont="1" applyFill="1" applyAlignment="1">
      <alignment horizontal="right"/>
    </xf>
    <xf numFmtId="0" fontId="40" fillId="0" borderId="0" xfId="0" applyFont="1" applyFill="1"/>
    <xf numFmtId="165" fontId="40" fillId="0" borderId="0" xfId="1" applyNumberFormat="1" applyFont="1" applyFill="1"/>
    <xf numFmtId="164" fontId="40" fillId="0" borderId="0" xfId="0" applyNumberFormat="1" applyFont="1" applyFill="1"/>
    <xf numFmtId="164" fontId="3" fillId="0" borderId="0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Fill="1" applyBorder="1"/>
    <xf numFmtId="165" fontId="9" fillId="0" borderId="2" xfId="0" applyNumberFormat="1" applyFont="1" applyFill="1" applyBorder="1"/>
    <xf numFmtId="0" fontId="3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 inden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28" fillId="2" borderId="0" xfId="1" applyNumberFormat="1" applyFont="1" applyFill="1" applyBorder="1"/>
    <xf numFmtId="0" fontId="30" fillId="2" borderId="0" xfId="0" applyFont="1" applyFill="1" applyBorder="1" applyAlignment="1">
      <alignment horizontal="center"/>
    </xf>
    <xf numFmtId="164" fontId="25" fillId="2" borderId="0" xfId="14" applyNumberFormat="1" applyFont="1" applyFill="1" applyBorder="1"/>
    <xf numFmtId="0" fontId="30" fillId="0" borderId="0" xfId="0" applyFont="1" applyFill="1"/>
    <xf numFmtId="0" fontId="35" fillId="0" borderId="0" xfId="0" applyFont="1" applyFill="1"/>
    <xf numFmtId="164" fontId="3" fillId="0" borderId="2" xfId="14" applyNumberFormat="1" applyFont="1" applyFill="1" applyBorder="1" applyAlignment="1">
      <alignment horizontal="left"/>
    </xf>
    <xf numFmtId="43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 inden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0" fillId="0" borderId="0" xfId="1" applyNumberFormat="1" applyFont="1" applyFill="1" applyBorder="1"/>
    <xf numFmtId="164" fontId="9" fillId="0" borderId="0" xfId="1" applyNumberFormat="1" applyFont="1" applyFill="1" applyBorder="1"/>
    <xf numFmtId="164" fontId="9" fillId="0" borderId="6" xfId="14" applyNumberFormat="1" applyFont="1" applyFill="1" applyBorder="1"/>
    <xf numFmtId="164" fontId="10" fillId="0" borderId="0" xfId="1" applyNumberFormat="1" applyFont="1" applyFill="1" applyBorder="1"/>
    <xf numFmtId="165" fontId="24" fillId="0" borderId="0" xfId="1" applyNumberFormat="1" applyFont="1" applyFill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3" fillId="0" borderId="1" xfId="1" applyNumberFormat="1" applyFont="1" applyBorder="1"/>
    <xf numFmtId="165" fontId="3" fillId="0" borderId="0" xfId="1" applyNumberFormat="1" applyFont="1" applyBorder="1"/>
    <xf numFmtId="164" fontId="3" fillId="0" borderId="4" xfId="0" applyNumberFormat="1" applyFont="1" applyBorder="1"/>
    <xf numFmtId="164" fontId="3" fillId="0" borderId="5" xfId="14" applyNumberFormat="1" applyFont="1" applyFill="1" applyBorder="1" applyAlignment="1">
      <alignment horizontal="right"/>
    </xf>
    <xf numFmtId="164" fontId="10" fillId="0" borderId="5" xfId="14" applyNumberFormat="1" applyFont="1" applyFill="1" applyBorder="1"/>
    <xf numFmtId="42" fontId="10" fillId="0" borderId="5" xfId="14" applyNumberFormat="1" applyFont="1" applyFill="1" applyBorder="1"/>
    <xf numFmtId="165" fontId="5" fillId="0" borderId="0" xfId="1" applyNumberFormat="1" applyFont="1" applyFill="1" applyBorder="1"/>
    <xf numFmtId="165" fontId="3" fillId="0" borderId="6" xfId="1" applyNumberFormat="1" applyFont="1" applyFill="1" applyBorder="1" applyAlignment="1">
      <alignment horizontal="right"/>
    </xf>
    <xf numFmtId="165" fontId="3" fillId="0" borderId="10" xfId="1" applyNumberFormat="1" applyFont="1" applyFill="1" applyBorder="1" applyAlignment="1">
      <alignment horizontal="right"/>
    </xf>
    <xf numFmtId="167" fontId="0" fillId="0" borderId="6" xfId="0" applyNumberFormat="1" applyFill="1" applyBorder="1"/>
    <xf numFmtId="10" fontId="0" fillId="0" borderId="6" xfId="50" applyNumberFormat="1" applyFont="1" applyFill="1" applyBorder="1"/>
    <xf numFmtId="164" fontId="3" fillId="0" borderId="6" xfId="0" applyNumberFormat="1" applyFont="1" applyBorder="1"/>
    <xf numFmtId="165" fontId="34" fillId="0" borderId="0" xfId="1" applyNumberFormat="1" applyFont="1" applyFill="1" applyBorder="1"/>
    <xf numFmtId="164" fontId="0" fillId="0" borderId="0" xfId="0" applyNumberFormat="1" applyFill="1"/>
    <xf numFmtId="0" fontId="3" fillId="0" borderId="0" xfId="0" applyFont="1" applyFill="1" applyBorder="1"/>
    <xf numFmtId="174" fontId="3" fillId="0" borderId="0" xfId="50" applyNumberFormat="1" applyFont="1" applyFill="1" applyAlignment="1">
      <alignment horizontal="right"/>
    </xf>
    <xf numFmtId="10" fontId="3" fillId="0" borderId="0" xfId="50" applyNumberFormat="1" applyFont="1" applyFill="1" applyAlignment="1">
      <alignment horizontal="right"/>
    </xf>
    <xf numFmtId="174" fontId="3" fillId="5" borderId="0" xfId="50" applyNumberFormat="1" applyFont="1" applyFill="1" applyAlignment="1">
      <alignment horizontal="right"/>
    </xf>
    <xf numFmtId="164" fontId="3" fillId="0" borderId="2" xfId="0" applyNumberFormat="1" applyFont="1" applyBorder="1"/>
    <xf numFmtId="0" fontId="41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4" fontId="9" fillId="0" borderId="0" xfId="14" applyNumberFormat="1" applyFont="1" applyFill="1" applyBorder="1"/>
    <xf numFmtId="164" fontId="3" fillId="0" borderId="0" xfId="0" applyNumberFormat="1" applyFont="1" applyFill="1"/>
    <xf numFmtId="164" fontId="3" fillId="0" borderId="2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2" fillId="0" borderId="0" xfId="0" applyFont="1" applyFill="1"/>
    <xf numFmtId="0" fontId="5" fillId="0" borderId="3" xfId="0" applyFont="1" applyFill="1" applyBorder="1" applyAlignment="1">
      <alignment horizontal="center"/>
    </xf>
    <xf numFmtId="44" fontId="3" fillId="0" borderId="0" xfId="0" applyNumberFormat="1" applyFont="1"/>
    <xf numFmtId="44" fontId="9" fillId="0" borderId="5" xfId="14" applyNumberFormat="1" applyFont="1" applyFill="1" applyBorder="1"/>
    <xf numFmtId="44" fontId="9" fillId="0" borderId="0" xfId="14" applyNumberFormat="1" applyFont="1" applyFill="1" applyBorder="1"/>
    <xf numFmtId="164" fontId="3" fillId="0" borderId="0" xfId="1" applyNumberFormat="1" applyFont="1" applyFill="1" applyAlignment="1">
      <alignment horizontal="right"/>
    </xf>
    <xf numFmtId="10" fontId="9" fillId="0" borderId="1" xfId="50" applyNumberFormat="1" applyFont="1" applyFill="1" applyBorder="1"/>
    <xf numFmtId="9" fontId="9" fillId="0" borderId="1" xfId="50" applyNumberFormat="1" applyFont="1" applyFill="1" applyBorder="1"/>
    <xf numFmtId="165" fontId="3" fillId="0" borderId="0" xfId="1" applyNumberFormat="1" applyFont="1" applyFill="1" applyAlignment="1">
      <alignment horizontal="center"/>
    </xf>
    <xf numFmtId="165" fontId="0" fillId="0" borderId="2" xfId="0" applyNumberFormat="1" applyFill="1" applyBorder="1"/>
    <xf numFmtId="168" fontId="0" fillId="0" borderId="2" xfId="50" applyNumberFormat="1" applyFont="1" applyFill="1" applyBorder="1"/>
    <xf numFmtId="168" fontId="3" fillId="0" borderId="1" xfId="50" applyNumberFormat="1" applyFont="1" applyFill="1" applyBorder="1" applyAlignment="1">
      <alignment horizontal="right"/>
    </xf>
    <xf numFmtId="166" fontId="3" fillId="0" borderId="0" xfId="50" applyNumberFormat="1" applyFont="1" applyFill="1" applyBorder="1" applyAlignment="1">
      <alignment vertical="top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165" fontId="0" fillId="0" borderId="2" xfId="1" applyNumberFormat="1" applyFont="1" applyFill="1" applyBorder="1"/>
    <xf numFmtId="0" fontId="3" fillId="0" borderId="0" xfId="1203" applyFont="1" applyFill="1" applyAlignment="1">
      <alignment horizontal="center"/>
    </xf>
    <xf numFmtId="0" fontId="3" fillId="0" borderId="0" xfId="1203" applyFont="1" applyFill="1"/>
    <xf numFmtId="41" fontId="3" fillId="0" borderId="0" xfId="1203" applyNumberFormat="1" applyFont="1" applyFill="1"/>
    <xf numFmtId="10" fontId="3" fillId="0" borderId="0" xfId="1203" applyNumberFormat="1" applyFont="1" applyFill="1"/>
    <xf numFmtId="175" fontId="3" fillId="0" borderId="0" xfId="1203" applyNumberFormat="1" applyFont="1" applyFill="1"/>
    <xf numFmtId="0" fontId="3" fillId="0" borderId="0" xfId="1203" applyFont="1" applyFill="1" applyAlignment="1">
      <alignment horizontal="left" indent="1"/>
    </xf>
    <xf numFmtId="164" fontId="3" fillId="0" borderId="0" xfId="1204" applyNumberFormat="1" applyFont="1" applyFill="1" applyAlignment="1">
      <alignment horizontal="left"/>
    </xf>
    <xf numFmtId="41" fontId="3" fillId="0" borderId="0" xfId="1203" applyNumberFormat="1" applyFont="1" applyFill="1" applyAlignment="1">
      <alignment horizontal="left" indent="1"/>
    </xf>
    <xf numFmtId="166" fontId="3" fillId="0" borderId="0" xfId="1203" applyNumberFormat="1" applyFont="1" applyFill="1" applyAlignment="1">
      <alignment horizontal="right"/>
    </xf>
    <xf numFmtId="10" fontId="3" fillId="0" borderId="0" xfId="1203" applyNumberFormat="1" applyFont="1" applyFill="1" applyAlignment="1">
      <alignment horizontal="right"/>
    </xf>
    <xf numFmtId="164" fontId="3" fillId="0" borderId="0" xfId="1204" applyNumberFormat="1" applyFont="1" applyFill="1"/>
    <xf numFmtId="164" fontId="3" fillId="0" borderId="0" xfId="1204" applyNumberFormat="1" applyFont="1" applyFill="1" applyBorder="1" applyAlignment="1">
      <alignment horizontal="left"/>
    </xf>
    <xf numFmtId="164" fontId="3" fillId="0" borderId="1" xfId="1204" applyNumberFormat="1" applyFont="1" applyFill="1" applyBorder="1" applyAlignment="1">
      <alignment horizontal="left"/>
    </xf>
    <xf numFmtId="41" fontId="3" fillId="0" borderId="0" xfId="1203" applyNumberFormat="1" applyFont="1" applyFill="1" applyBorder="1"/>
    <xf numFmtId="164" fontId="3" fillId="0" borderId="0" xfId="1204" applyNumberFormat="1" applyFont="1" applyFill="1" applyBorder="1"/>
    <xf numFmtId="164" fontId="3" fillId="0" borderId="1" xfId="1204" applyNumberFormat="1" applyFont="1" applyFill="1" applyBorder="1"/>
    <xf numFmtId="0" fontId="3" fillId="0" borderId="0" xfId="1203" applyFont="1" applyFill="1" applyAlignment="1">
      <alignment horizontal="left" indent="2"/>
    </xf>
    <xf numFmtId="41" fontId="3" fillId="0" borderId="0" xfId="1203" applyNumberFormat="1" applyFont="1" applyFill="1" applyAlignment="1">
      <alignment horizontal="left" indent="2"/>
    </xf>
    <xf numFmtId="41" fontId="3" fillId="0" borderId="0" xfId="1204" applyNumberFormat="1" applyFont="1" applyFill="1" applyAlignment="1">
      <alignment horizontal="right"/>
    </xf>
    <xf numFmtId="164" fontId="3" fillId="0" borderId="0" xfId="1203" applyNumberFormat="1" applyFont="1" applyFill="1"/>
    <xf numFmtId="164" fontId="3" fillId="0" borderId="0" xfId="1204" applyNumberFormat="1" applyFont="1" applyFill="1" applyAlignment="1">
      <alignment horizontal="left" indent="1"/>
    </xf>
    <xf numFmtId="164" fontId="3" fillId="0" borderId="8" xfId="1204" applyNumberFormat="1" applyFont="1" applyFill="1" applyBorder="1" applyAlignment="1">
      <alignment horizontal="left"/>
    </xf>
    <xf numFmtId="41" fontId="3" fillId="0" borderId="0" xfId="1203" applyNumberFormat="1" applyFont="1" applyFill="1" applyAlignment="1">
      <alignment horizontal="left"/>
    </xf>
    <xf numFmtId="41" fontId="3" fillId="0" borderId="0" xfId="1203" applyNumberFormat="1" applyFont="1" applyFill="1" applyBorder="1" applyAlignment="1">
      <alignment horizontal="left" indent="1"/>
    </xf>
    <xf numFmtId="44" fontId="3" fillId="0" borderId="0" xfId="1204" applyNumberFormat="1" applyFont="1" applyFill="1"/>
    <xf numFmtId="164" fontId="3" fillId="0" borderId="5" xfId="1204" applyNumberFormat="1" applyFont="1" applyFill="1" applyBorder="1"/>
    <xf numFmtId="172" fontId="3" fillId="0" borderId="1" xfId="1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0" fontId="0" fillId="0" borderId="0" xfId="0" applyNumberFormat="1" applyFill="1" applyBorder="1"/>
    <xf numFmtId="164" fontId="0" fillId="0" borderId="6" xfId="14" applyNumberFormat="1" applyFont="1" applyFill="1" applyBorder="1"/>
    <xf numFmtId="10" fontId="9" fillId="5" borderId="0" xfId="50" applyNumberFormat="1" applyFont="1" applyFill="1" applyBorder="1"/>
    <xf numFmtId="0" fontId="6" fillId="0" borderId="0" xfId="0" applyFont="1" applyFill="1" applyAlignment="1">
      <alignment horizontal="left"/>
    </xf>
    <xf numFmtId="164" fontId="3" fillId="0" borderId="0" xfId="14" applyNumberFormat="1" applyFont="1" applyFill="1" applyBorder="1"/>
    <xf numFmtId="165" fontId="3" fillId="0" borderId="1" xfId="1" applyNumberFormat="1" applyFont="1" applyFill="1" applyBorder="1"/>
    <xf numFmtId="0" fontId="5" fillId="0" borderId="0" xfId="0" applyFont="1" applyFill="1" applyBorder="1" applyAlignment="1">
      <alignment horizontal="left"/>
    </xf>
    <xf numFmtId="0" fontId="45" fillId="0" borderId="3" xfId="0" applyFont="1" applyBorder="1" applyAlignment="1"/>
    <xf numFmtId="0" fontId="3" fillId="0" borderId="0" xfId="0" applyFont="1"/>
    <xf numFmtId="0" fontId="3" fillId="6" borderId="0" xfId="0" applyFont="1" applyFill="1"/>
    <xf numFmtId="0" fontId="3" fillId="0" borderId="0" xfId="101" applyFont="1" applyBorder="1"/>
    <xf numFmtId="0" fontId="3" fillId="0" borderId="0" xfId="101" applyFont="1" applyBorder="1" applyAlignment="1">
      <alignment horizontal="center"/>
    </xf>
    <xf numFmtId="165" fontId="3" fillId="0" borderId="0" xfId="101" applyNumberFormat="1" applyFont="1" applyBorder="1" applyAlignment="1">
      <alignment horizontal="center"/>
    </xf>
    <xf numFmtId="0" fontId="3" fillId="0" borderId="0" xfId="101" applyFont="1" applyFill="1" applyBorder="1" applyAlignment="1">
      <alignment horizontal="center"/>
    </xf>
    <xf numFmtId="0" fontId="3" fillId="0" borderId="0" xfId="101" applyFont="1" applyAlignment="1">
      <alignment horizontal="center"/>
    </xf>
    <xf numFmtId="43" fontId="3" fillId="0" borderId="0" xfId="1" applyNumberFormat="1" applyFont="1" applyAlignment="1">
      <alignment horizontal="center"/>
    </xf>
    <xf numFmtId="172" fontId="3" fillId="6" borderId="0" xfId="1" applyNumberFormat="1" applyFont="1" applyFill="1"/>
    <xf numFmtId="165" fontId="3" fillId="6" borderId="0" xfId="1" applyNumberFormat="1" applyFont="1" applyFill="1"/>
    <xf numFmtId="0" fontId="3" fillId="0" borderId="0" xfId="101" applyFont="1"/>
    <xf numFmtId="165" fontId="3" fillId="0" borderId="0" xfId="101" applyNumberFormat="1" applyFont="1"/>
    <xf numFmtId="165" fontId="3" fillId="6" borderId="0" xfId="101" applyNumberFormat="1" applyFont="1" applyFill="1"/>
    <xf numFmtId="164" fontId="3" fillId="0" borderId="2" xfId="1204" applyNumberFormat="1" applyFont="1" applyBorder="1"/>
    <xf numFmtId="164" fontId="3" fillId="6" borderId="2" xfId="1204" applyNumberFormat="1" applyFont="1" applyFill="1" applyBorder="1"/>
    <xf numFmtId="165" fontId="3" fillId="0" borderId="0" xfId="0" applyNumberFormat="1" applyFont="1" applyFill="1"/>
    <xf numFmtId="165" fontId="3" fillId="0" borderId="0" xfId="0" applyNumberFormat="1" applyFont="1"/>
    <xf numFmtId="0" fontId="46" fillId="0" borderId="0" xfId="0" applyFont="1"/>
    <xf numFmtId="165" fontId="47" fillId="0" borderId="0" xfId="101" applyNumberFormat="1" applyFont="1" applyBorder="1" applyAlignment="1">
      <alignment horizontal="center" wrapText="1"/>
    </xf>
    <xf numFmtId="165" fontId="47" fillId="0" borderId="0" xfId="101" applyNumberFormat="1" applyFont="1" applyFill="1" applyBorder="1" applyAlignment="1">
      <alignment horizontal="center" wrapText="1"/>
    </xf>
    <xf numFmtId="165" fontId="47" fillId="6" borderId="0" xfId="101" applyNumberFormat="1" applyFont="1" applyFill="1" applyBorder="1" applyAlignment="1">
      <alignment horizontal="center" wrapText="1"/>
    </xf>
    <xf numFmtId="0" fontId="45" fillId="0" borderId="0" xfId="101" applyFont="1" applyBorder="1"/>
    <xf numFmtId="0" fontId="45" fillId="0" borderId="0" xfId="101" quotePrefix="1" applyFont="1" applyBorder="1" applyAlignment="1">
      <alignment horizontal="center" vertical="top"/>
    </xf>
    <xf numFmtId="165" fontId="45" fillId="0" borderId="0" xfId="101" quotePrefix="1" applyNumberFormat="1" applyFont="1" applyBorder="1" applyAlignment="1">
      <alignment horizontal="center" vertical="top"/>
    </xf>
    <xf numFmtId="0" fontId="45" fillId="0" borderId="0" xfId="101" quotePrefix="1" applyFont="1" applyBorder="1" applyAlignment="1">
      <alignment horizontal="center" vertical="top" wrapText="1"/>
    </xf>
    <xf numFmtId="43" fontId="5" fillId="0" borderId="0" xfId="9" quotePrefix="1" applyFont="1" applyFill="1" applyAlignment="1">
      <alignment horizontal="center" vertical="top"/>
    </xf>
    <xf numFmtId="0" fontId="48" fillId="7" borderId="0" xfId="101" applyFont="1" applyFill="1"/>
    <xf numFmtId="176" fontId="48" fillId="7" borderId="0" xfId="101" applyNumberFormat="1" applyFont="1" applyFill="1" applyAlignment="1">
      <alignment horizontal="center"/>
    </xf>
    <xf numFmtId="164" fontId="48" fillId="7" borderId="0" xfId="1204" applyNumberFormat="1" applyFont="1" applyFill="1"/>
    <xf numFmtId="43" fontId="3" fillId="0" borderId="0" xfId="1" applyFont="1" applyFill="1"/>
    <xf numFmtId="43" fontId="3" fillId="0" borderId="0" xfId="110" applyNumberFormat="1" applyFont="1" applyFill="1"/>
    <xf numFmtId="43" fontId="5" fillId="0" borderId="2" xfId="101" applyNumberFormat="1" applyFont="1" applyFill="1" applyBorder="1"/>
    <xf numFmtId="43" fontId="5" fillId="6" borderId="2" xfId="101" applyNumberFormat="1" applyFont="1" applyFill="1" applyBorder="1"/>
    <xf numFmtId="0" fontId="5" fillId="0" borderId="3" xfId="1202" applyFont="1" applyFill="1" applyBorder="1" applyAlignment="1">
      <alignment horizontal="center" wrapText="1"/>
    </xf>
    <xf numFmtId="0" fontId="3" fillId="0" borderId="1" xfId="1202" applyFont="1" applyFill="1" applyBorder="1" applyAlignment="1">
      <alignment horizontal="left" wrapText="1"/>
    </xf>
    <xf numFmtId="0" fontId="40" fillId="0" borderId="0" xfId="0" applyFont="1" applyFill="1" applyAlignment="1">
      <alignment horizontal="left"/>
    </xf>
    <xf numFmtId="165" fontId="40" fillId="0" borderId="0" xfId="1" applyNumberFormat="1" applyFont="1" applyFill="1" applyAlignment="1">
      <alignment horizontal="right"/>
    </xf>
    <xf numFmtId="175" fontId="3" fillId="5" borderId="6" xfId="1203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165" fontId="0" fillId="0" borderId="0" xfId="0" applyNumberFormat="1" applyFill="1" applyBorder="1"/>
    <xf numFmtId="0" fontId="25" fillId="8" borderId="0" xfId="0" applyFont="1" applyFill="1"/>
    <xf numFmtId="0" fontId="3" fillId="0" borderId="0" xfId="164" applyFont="1" applyFill="1" applyAlignment="1">
      <alignment horizontal="left"/>
    </xf>
    <xf numFmtId="0" fontId="5" fillId="0" borderId="0" xfId="164" applyFont="1" applyFill="1" applyAlignment="1">
      <alignment horizontal="center"/>
    </xf>
    <xf numFmtId="164" fontId="3" fillId="0" borderId="0" xfId="122" applyNumberFormat="1" applyFont="1" applyFill="1" applyAlignment="1">
      <alignment horizontal="center"/>
    </xf>
    <xf numFmtId="0" fontId="3" fillId="0" borderId="0" xfId="164" applyFont="1" applyFill="1"/>
    <xf numFmtId="172" fontId="3" fillId="0" borderId="1" xfId="165" applyNumberFormat="1" applyFont="1" applyFill="1" applyBorder="1" applyAlignment="1">
      <alignment horizontal="center"/>
    </xf>
    <xf numFmtId="172" fontId="3" fillId="0" borderId="0" xfId="165" applyNumberFormat="1" applyFont="1" applyFill="1" applyBorder="1" applyAlignment="1">
      <alignment horizontal="center"/>
    </xf>
    <xf numFmtId="172" fontId="5" fillId="0" borderId="0" xfId="164" applyNumberFormat="1" applyFont="1" applyFill="1" applyAlignment="1">
      <alignment horizontal="center"/>
    </xf>
    <xf numFmtId="164" fontId="3" fillId="0" borderId="0" xfId="164" applyNumberFormat="1" applyFont="1"/>
    <xf numFmtId="164" fontId="3" fillId="0" borderId="0" xfId="122" applyNumberFormat="1" applyFont="1" applyFill="1" applyAlignment="1">
      <alignment horizontal="right"/>
    </xf>
    <xf numFmtId="164" fontId="3" fillId="0" borderId="9" xfId="122" applyNumberFormat="1" applyFont="1" applyFill="1" applyBorder="1" applyAlignment="1">
      <alignment horizontal="right"/>
    </xf>
    <xf numFmtId="165" fontId="3" fillId="0" borderId="0" xfId="165" applyNumberFormat="1" applyFont="1" applyFill="1" applyAlignment="1">
      <alignment horizontal="right"/>
    </xf>
    <xf numFmtId="0" fontId="9" fillId="0" borderId="0" xfId="164" applyFont="1" applyFill="1"/>
    <xf numFmtId="10" fontId="9" fillId="0" borderId="1" xfId="122" applyNumberFormat="1" applyFont="1" applyFill="1" applyBorder="1"/>
    <xf numFmtId="10" fontId="1" fillId="0" borderId="0" xfId="164" applyNumberFormat="1" applyFill="1"/>
    <xf numFmtId="42" fontId="9" fillId="0" borderId="5" xfId="122" applyNumberFormat="1" applyFont="1" applyFill="1" applyBorder="1"/>
    <xf numFmtId="0" fontId="1" fillId="0" borderId="0" xfId="164" applyFill="1" applyBorder="1"/>
    <xf numFmtId="165" fontId="0" fillId="0" borderId="0" xfId="165" applyNumberFormat="1" applyFont="1" applyFill="1" applyBorder="1"/>
    <xf numFmtId="42" fontId="9" fillId="0" borderId="0" xfId="122" applyNumberFormat="1" applyFont="1" applyFill="1" applyBorder="1"/>
    <xf numFmtId="0" fontId="1" fillId="0" borderId="0" xfId="164" applyFill="1"/>
    <xf numFmtId="9" fontId="9" fillId="0" borderId="1" xfId="122" applyNumberFormat="1" applyFont="1" applyFill="1" applyBorder="1"/>
    <xf numFmtId="0" fontId="9" fillId="0" borderId="0" xfId="164" applyFont="1" applyFill="1" applyBorder="1"/>
    <xf numFmtId="0" fontId="10" fillId="0" borderId="0" xfId="164" applyFont="1" applyFill="1" applyBorder="1"/>
    <xf numFmtId="165" fontId="9" fillId="0" borderId="0" xfId="165" applyNumberFormat="1" applyFont="1" applyFill="1" applyBorder="1"/>
    <xf numFmtId="42" fontId="9" fillId="0" borderId="9" xfId="122" applyNumberFormat="1" applyFont="1" applyFill="1" applyBorder="1"/>
    <xf numFmtId="165" fontId="10" fillId="0" borderId="0" xfId="165" applyNumberFormat="1" applyFont="1" applyFill="1" applyBorder="1"/>
    <xf numFmtId="164" fontId="5" fillId="0" borderId="6" xfId="0" applyNumberFormat="1" applyFont="1" applyFill="1" applyBorder="1" applyAlignment="1">
      <alignment horizontal="center"/>
    </xf>
    <xf numFmtId="42" fontId="5" fillId="0" borderId="6" xfId="0" applyNumberFormat="1" applyFont="1" applyFill="1" applyBorder="1" applyAlignment="1">
      <alignment horizontal="center"/>
    </xf>
    <xf numFmtId="41" fontId="3" fillId="4" borderId="9" xfId="0" applyNumberFormat="1" applyFont="1" applyFill="1" applyBorder="1"/>
    <xf numFmtId="165" fontId="24" fillId="0" borderId="0" xfId="1" applyNumberFormat="1" applyFont="1" applyFill="1" applyAlignment="1">
      <alignment horizontal="left"/>
    </xf>
    <xf numFmtId="164" fontId="3" fillId="0" borderId="1" xfId="14" applyNumberFormat="1" applyFont="1" applyFill="1" applyBorder="1" applyAlignment="1">
      <alignment horizontal="left"/>
    </xf>
    <xf numFmtId="43" fontId="3" fillId="0" borderId="0" xfId="1" applyFont="1" applyFill="1" applyBorder="1" applyAlignment="1">
      <alignment horizontal="right"/>
    </xf>
    <xf numFmtId="0" fontId="41" fillId="0" borderId="0" xfId="0" applyFont="1" applyFill="1" applyAlignment="1">
      <alignment horizontal="left"/>
    </xf>
    <xf numFmtId="177" fontId="25" fillId="2" borderId="0" xfId="0" applyNumberFormat="1" applyFont="1" applyFill="1"/>
    <xf numFmtId="178" fontId="25" fillId="2" borderId="0" xfId="0" applyNumberFormat="1" applyFont="1" applyFill="1"/>
    <xf numFmtId="0" fontId="5" fillId="0" borderId="1" xfId="0" applyNumberFormat="1" applyFont="1" applyFill="1" applyBorder="1" applyAlignment="1">
      <alignment horizontal="center"/>
    </xf>
    <xf numFmtId="42" fontId="9" fillId="0" borderId="9" xfId="14" applyNumberFormat="1" applyFont="1" applyFill="1" applyBorder="1"/>
    <xf numFmtId="164" fontId="3" fillId="0" borderId="0" xfId="14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3" xfId="0" applyFont="1" applyBorder="1" applyAlignment="1">
      <alignment horizontal="center"/>
    </xf>
    <xf numFmtId="0" fontId="3" fillId="0" borderId="0" xfId="0" applyFont="1" applyFill="1" applyAlignment="1">
      <alignment horizontal="left" wrapText="1" indent="1"/>
    </xf>
    <xf numFmtId="0" fontId="12" fillId="0" borderId="0" xfId="0" applyFont="1" applyFill="1" applyAlignment="1">
      <alignment horizontal="center"/>
    </xf>
  </cellXfs>
  <cellStyles count="1205">
    <cellStyle name="Comma" xfId="1" builtinId="3"/>
    <cellStyle name="Comma 10" xfId="172" xr:uid="{00000000-0005-0000-0000-000001000000}"/>
    <cellStyle name="Comma 2" xfId="58" xr:uid="{00000000-0005-0000-0000-000002000000}"/>
    <cellStyle name="Comma 2 2" xfId="165" xr:uid="{00000000-0005-0000-0000-000003000000}"/>
    <cellStyle name="Comma 3" xfId="2" xr:uid="{00000000-0005-0000-0000-000004000000}"/>
    <cellStyle name="Comma 3 2" xfId="3" xr:uid="{00000000-0005-0000-0000-000005000000}"/>
    <cellStyle name="Comma 3 2 2" xfId="110" xr:uid="{00000000-0005-0000-0000-000006000000}"/>
    <cellStyle name="Comma 3 3" xfId="4" xr:uid="{00000000-0005-0000-0000-000007000000}"/>
    <cellStyle name="Comma 3 3 2" xfId="111" xr:uid="{00000000-0005-0000-0000-000008000000}"/>
    <cellStyle name="Comma 3 4" xfId="5" xr:uid="{00000000-0005-0000-0000-000009000000}"/>
    <cellStyle name="Comma 3 4 2" xfId="112" xr:uid="{00000000-0005-0000-0000-00000A000000}"/>
    <cellStyle name="Comma 3 5" xfId="6" xr:uid="{00000000-0005-0000-0000-00000B000000}"/>
    <cellStyle name="Comma 3 5 2" xfId="113" xr:uid="{00000000-0005-0000-0000-00000C000000}"/>
    <cellStyle name="Comma 3 6" xfId="7" xr:uid="{00000000-0005-0000-0000-00000D000000}"/>
    <cellStyle name="Comma 3 6 2" xfId="114" xr:uid="{00000000-0005-0000-0000-00000E000000}"/>
    <cellStyle name="Comma 3 7" xfId="8" xr:uid="{00000000-0005-0000-0000-00000F000000}"/>
    <cellStyle name="Comma 3 7 2" xfId="115" xr:uid="{00000000-0005-0000-0000-000010000000}"/>
    <cellStyle name="Comma 3 8" xfId="109" xr:uid="{00000000-0005-0000-0000-000011000000}"/>
    <cellStyle name="Comma 4" xfId="9" xr:uid="{00000000-0005-0000-0000-000012000000}"/>
    <cellStyle name="Comma 4 2" xfId="10" xr:uid="{00000000-0005-0000-0000-000013000000}"/>
    <cellStyle name="Comma 4 2 2" xfId="117" xr:uid="{00000000-0005-0000-0000-000014000000}"/>
    <cellStyle name="Comma 4 3" xfId="11" xr:uid="{00000000-0005-0000-0000-000015000000}"/>
    <cellStyle name="Comma 4 3 2" xfId="118" xr:uid="{00000000-0005-0000-0000-000016000000}"/>
    <cellStyle name="Comma 4 4" xfId="116" xr:uid="{00000000-0005-0000-0000-000017000000}"/>
    <cellStyle name="Comma 5" xfId="12" xr:uid="{00000000-0005-0000-0000-000018000000}"/>
    <cellStyle name="Comma 5 2" xfId="119" xr:uid="{00000000-0005-0000-0000-000019000000}"/>
    <cellStyle name="Comma 6" xfId="13" xr:uid="{00000000-0005-0000-0000-00001A000000}"/>
    <cellStyle name="Comma 6 2" xfId="120" xr:uid="{00000000-0005-0000-0000-00001B000000}"/>
    <cellStyle name="Comma 7" xfId="61" xr:uid="{00000000-0005-0000-0000-00001C000000}"/>
    <cellStyle name="Comma 7 2" xfId="168" xr:uid="{00000000-0005-0000-0000-00001D000000}"/>
    <cellStyle name="Comma 8" xfId="108" xr:uid="{00000000-0005-0000-0000-00001E000000}"/>
    <cellStyle name="Comma 9" xfId="105" xr:uid="{00000000-0005-0000-0000-00001F000000}"/>
    <cellStyle name="Currency" xfId="14" builtinId="4"/>
    <cellStyle name="Currency 164 2" xfId="1204" xr:uid="{C711D0B9-A882-F94D-8908-193C817FD545}"/>
    <cellStyle name="Currency 2" xfId="59" xr:uid="{00000000-0005-0000-0000-000021000000}"/>
    <cellStyle name="Currency 2 2" xfId="15" xr:uid="{00000000-0005-0000-0000-000022000000}"/>
    <cellStyle name="Currency 2 2 2" xfId="122" xr:uid="{00000000-0005-0000-0000-000023000000}"/>
    <cellStyle name="Currency 2 3" xfId="16" xr:uid="{00000000-0005-0000-0000-000024000000}"/>
    <cellStyle name="Currency 2 3 2" xfId="123" xr:uid="{00000000-0005-0000-0000-000025000000}"/>
    <cellStyle name="Currency 2 4" xfId="166" xr:uid="{00000000-0005-0000-0000-000026000000}"/>
    <cellStyle name="Currency 3" xfId="121" xr:uid="{00000000-0005-0000-0000-000027000000}"/>
    <cellStyle name="Currency 38 2" xfId="17" xr:uid="{00000000-0005-0000-0000-000028000000}"/>
    <cellStyle name="Currency 38 2 2" xfId="124" xr:uid="{00000000-0005-0000-0000-000029000000}"/>
    <cellStyle name="Currency 38 3" xfId="18" xr:uid="{00000000-0005-0000-0000-00002A000000}"/>
    <cellStyle name="Currency 38 3 2" xfId="125" xr:uid="{00000000-0005-0000-0000-00002B000000}"/>
    <cellStyle name="Currency 38 4" xfId="19" xr:uid="{00000000-0005-0000-0000-00002C000000}"/>
    <cellStyle name="Currency 38 4 2" xfId="126" xr:uid="{00000000-0005-0000-0000-00002D000000}"/>
    <cellStyle name="Currency 38 5" xfId="20" xr:uid="{00000000-0005-0000-0000-00002E000000}"/>
    <cellStyle name="Currency 38 5 2" xfId="127" xr:uid="{00000000-0005-0000-0000-00002F000000}"/>
    <cellStyle name="Currency 38 6" xfId="21" xr:uid="{00000000-0005-0000-0000-000030000000}"/>
    <cellStyle name="Currency 38 6 2" xfId="128" xr:uid="{00000000-0005-0000-0000-000031000000}"/>
    <cellStyle name="Currency 38 7" xfId="22" xr:uid="{00000000-0005-0000-0000-000032000000}"/>
    <cellStyle name="Currency 38 7 2" xfId="129" xr:uid="{00000000-0005-0000-0000-000033000000}"/>
    <cellStyle name="Currency 4" xfId="106" xr:uid="{00000000-0005-0000-0000-000034000000}"/>
    <cellStyle name="Currency 40" xfId="23" xr:uid="{00000000-0005-0000-0000-000035000000}"/>
    <cellStyle name="Currency 40 2" xfId="24" xr:uid="{00000000-0005-0000-0000-000036000000}"/>
    <cellStyle name="Currency 40 2 2" xfId="131" xr:uid="{00000000-0005-0000-0000-000037000000}"/>
    <cellStyle name="Currency 40 3" xfId="25" xr:uid="{00000000-0005-0000-0000-000038000000}"/>
    <cellStyle name="Currency 40 3 2" xfId="132" xr:uid="{00000000-0005-0000-0000-000039000000}"/>
    <cellStyle name="Currency 40 4" xfId="130" xr:uid="{00000000-0005-0000-0000-00003A000000}"/>
    <cellStyle name="Currency 41" xfId="26" xr:uid="{00000000-0005-0000-0000-00003B000000}"/>
    <cellStyle name="Currency 41 2" xfId="133" xr:uid="{00000000-0005-0000-0000-00003C000000}"/>
    <cellStyle name="Currency 42" xfId="27" xr:uid="{00000000-0005-0000-0000-00003D000000}"/>
    <cellStyle name="Currency 42 2" xfId="134" xr:uid="{00000000-0005-0000-0000-00003E000000}"/>
    <cellStyle name="Currency 43" xfId="28" xr:uid="{00000000-0005-0000-0000-00003F000000}"/>
    <cellStyle name="Currency 43 2" xfId="135" xr:uid="{00000000-0005-0000-0000-000040000000}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Hyperlink" xfId="64" builtinId="8"/>
    <cellStyle name="Normal" xfId="0" builtinId="0"/>
    <cellStyle name="Normal 2" xfId="57" xr:uid="{00000000-0005-0000-0000-00006A040000}"/>
    <cellStyle name="Normal 2 2" xfId="29" xr:uid="{00000000-0005-0000-0000-00006B040000}"/>
    <cellStyle name="Normal 2 2 2" xfId="136" xr:uid="{00000000-0005-0000-0000-00006C040000}"/>
    <cellStyle name="Normal 2 3" xfId="30" xr:uid="{00000000-0005-0000-0000-00006D040000}"/>
    <cellStyle name="Normal 2 3 2" xfId="137" xr:uid="{00000000-0005-0000-0000-00006E040000}"/>
    <cellStyle name="Normal 2 4" xfId="164" xr:uid="{00000000-0005-0000-0000-00006F040000}"/>
    <cellStyle name="Normal 3" xfId="63" xr:uid="{00000000-0005-0000-0000-000070040000}"/>
    <cellStyle name="Normal 37" xfId="31" xr:uid="{00000000-0005-0000-0000-000071040000}"/>
    <cellStyle name="Normal 37 2" xfId="32" xr:uid="{00000000-0005-0000-0000-000072040000}"/>
    <cellStyle name="Normal 37 2 2" xfId="139" xr:uid="{00000000-0005-0000-0000-000073040000}"/>
    <cellStyle name="Normal 37 3" xfId="33" xr:uid="{00000000-0005-0000-0000-000074040000}"/>
    <cellStyle name="Normal 37 3 2" xfId="140" xr:uid="{00000000-0005-0000-0000-000075040000}"/>
    <cellStyle name="Normal 37 4" xfId="34" xr:uid="{00000000-0005-0000-0000-000076040000}"/>
    <cellStyle name="Normal 37 4 2" xfId="141" xr:uid="{00000000-0005-0000-0000-000077040000}"/>
    <cellStyle name="Normal 37 5" xfId="35" xr:uid="{00000000-0005-0000-0000-000078040000}"/>
    <cellStyle name="Normal 37 5 2" xfId="142" xr:uid="{00000000-0005-0000-0000-000079040000}"/>
    <cellStyle name="Normal 37 6" xfId="36" xr:uid="{00000000-0005-0000-0000-00007A040000}"/>
    <cellStyle name="Normal 37 6 2" xfId="143" xr:uid="{00000000-0005-0000-0000-00007B040000}"/>
    <cellStyle name="Normal 37 7" xfId="37" xr:uid="{00000000-0005-0000-0000-00007C040000}"/>
    <cellStyle name="Normal 37 7 2" xfId="144" xr:uid="{00000000-0005-0000-0000-00007D040000}"/>
    <cellStyle name="Normal 37 8" xfId="138" xr:uid="{00000000-0005-0000-0000-00007E040000}"/>
    <cellStyle name="Normal 38" xfId="38" xr:uid="{00000000-0005-0000-0000-00007F040000}"/>
    <cellStyle name="Normal 38 2" xfId="39" xr:uid="{00000000-0005-0000-0000-000080040000}"/>
    <cellStyle name="Normal 38 2 2" xfId="146" xr:uid="{00000000-0005-0000-0000-000081040000}"/>
    <cellStyle name="Normal 38 3" xfId="40" xr:uid="{00000000-0005-0000-0000-000082040000}"/>
    <cellStyle name="Normal 38 3 2" xfId="147" xr:uid="{00000000-0005-0000-0000-000083040000}"/>
    <cellStyle name="Normal 38 4" xfId="41" xr:uid="{00000000-0005-0000-0000-000084040000}"/>
    <cellStyle name="Normal 38 4 2" xfId="148" xr:uid="{00000000-0005-0000-0000-000085040000}"/>
    <cellStyle name="Normal 38 5" xfId="42" xr:uid="{00000000-0005-0000-0000-000086040000}"/>
    <cellStyle name="Normal 38 5 2" xfId="149" xr:uid="{00000000-0005-0000-0000-000087040000}"/>
    <cellStyle name="Normal 38 6" xfId="43" xr:uid="{00000000-0005-0000-0000-000088040000}"/>
    <cellStyle name="Normal 38 6 2" xfId="150" xr:uid="{00000000-0005-0000-0000-000089040000}"/>
    <cellStyle name="Normal 38 7" xfId="44" xr:uid="{00000000-0005-0000-0000-00008A040000}"/>
    <cellStyle name="Normal 38 7 2" xfId="151" xr:uid="{00000000-0005-0000-0000-00008B040000}"/>
    <cellStyle name="Normal 38 8" xfId="145" xr:uid="{00000000-0005-0000-0000-00008C040000}"/>
    <cellStyle name="Normal 4" xfId="101" xr:uid="{00000000-0005-0000-0000-00008D040000}"/>
    <cellStyle name="Normal 4 2" xfId="170" xr:uid="{00000000-0005-0000-0000-00008E040000}"/>
    <cellStyle name="Normal 40" xfId="45" xr:uid="{00000000-0005-0000-0000-00008F040000}"/>
    <cellStyle name="Normal 40 2" xfId="46" xr:uid="{00000000-0005-0000-0000-000090040000}"/>
    <cellStyle name="Normal 40 2 2" xfId="153" xr:uid="{00000000-0005-0000-0000-000091040000}"/>
    <cellStyle name="Normal 40 3" xfId="47" xr:uid="{00000000-0005-0000-0000-000092040000}"/>
    <cellStyle name="Normal 40 3 2" xfId="154" xr:uid="{00000000-0005-0000-0000-000093040000}"/>
    <cellStyle name="Normal 40 4" xfId="152" xr:uid="{00000000-0005-0000-0000-000094040000}"/>
    <cellStyle name="Normal 41" xfId="48" xr:uid="{00000000-0005-0000-0000-000095040000}"/>
    <cellStyle name="Normal 41 2" xfId="155" xr:uid="{00000000-0005-0000-0000-000096040000}"/>
    <cellStyle name="Normal 42" xfId="49" xr:uid="{00000000-0005-0000-0000-000097040000}"/>
    <cellStyle name="Normal 42 2" xfId="156" xr:uid="{00000000-0005-0000-0000-000098040000}"/>
    <cellStyle name="Normal 48" xfId="1202" xr:uid="{09CF3D6D-6D60-FD41-9F40-F2C06CF978AC}"/>
    <cellStyle name="Normal 5" xfId="103" xr:uid="{00000000-0005-0000-0000-000099040000}"/>
    <cellStyle name="Normal 6" xfId="107" xr:uid="{00000000-0005-0000-0000-00009A040000}"/>
    <cellStyle name="Normal 7" xfId="104" xr:uid="{00000000-0005-0000-0000-00009B040000}"/>
    <cellStyle name="Normal 74 2" xfId="1203" xr:uid="{8E0E2957-21AF-C748-AD7B-C277873CEB23}"/>
    <cellStyle name="Normal 8" xfId="171" xr:uid="{00000000-0005-0000-0000-00009C040000}"/>
    <cellStyle name="Normal 9" xfId="1173" xr:uid="{00000000-0005-0000-0000-00009D040000}"/>
    <cellStyle name="Percent" xfId="50" builtinId="5"/>
    <cellStyle name="Percent 2" xfId="60" xr:uid="{00000000-0005-0000-0000-00009F040000}"/>
    <cellStyle name="Percent 2 2" xfId="51" xr:uid="{00000000-0005-0000-0000-0000A0040000}"/>
    <cellStyle name="Percent 2 2 2" xfId="158" xr:uid="{00000000-0005-0000-0000-0000A1040000}"/>
    <cellStyle name="Percent 2 3" xfId="52" xr:uid="{00000000-0005-0000-0000-0000A2040000}"/>
    <cellStyle name="Percent 2 3 2" xfId="159" xr:uid="{00000000-0005-0000-0000-0000A3040000}"/>
    <cellStyle name="Percent 2 4" xfId="167" xr:uid="{00000000-0005-0000-0000-0000A4040000}"/>
    <cellStyle name="Percent 3" xfId="62" xr:uid="{00000000-0005-0000-0000-0000A5040000}"/>
    <cellStyle name="Percent 3 2" xfId="169" xr:uid="{00000000-0005-0000-0000-0000A6040000}"/>
    <cellStyle name="Percent 4" xfId="157" xr:uid="{00000000-0005-0000-0000-0000A7040000}"/>
    <cellStyle name="Percent 5" xfId="53" xr:uid="{00000000-0005-0000-0000-0000A8040000}"/>
    <cellStyle name="Percent 5 2" xfId="54" xr:uid="{00000000-0005-0000-0000-0000A9040000}"/>
    <cellStyle name="Percent 5 2 2" xfId="161" xr:uid="{00000000-0005-0000-0000-0000AA040000}"/>
    <cellStyle name="Percent 5 3" xfId="55" xr:uid="{00000000-0005-0000-0000-0000AB040000}"/>
    <cellStyle name="Percent 5 3 2" xfId="162" xr:uid="{00000000-0005-0000-0000-0000AC040000}"/>
    <cellStyle name="Percent 5 4" xfId="160" xr:uid="{00000000-0005-0000-0000-0000AD040000}"/>
    <cellStyle name="Percent 6" xfId="56" xr:uid="{00000000-0005-0000-0000-0000AE040000}"/>
    <cellStyle name="Percent 6 2" xfId="163" xr:uid="{00000000-0005-0000-0000-0000AF040000}"/>
    <cellStyle name="Percent 8" xfId="1174" xr:uid="{00000000-0005-0000-0000-0000B0040000}"/>
    <cellStyle name="Thousands" xfId="102" xr:uid="{00000000-0005-0000-0000-0000B104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namullinax/ownCloud/Projects/New%20Hampshire/DG%2017-048%20-%20Liberty%20Gas%20/Work%20Product/Model/WP%20Supplemental%20Attachment%20Staff%20Tech%20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RR-Index"/>
      <sheetName val="Schedule RC"/>
      <sheetName val="Track"/>
      <sheetName val="Temp"/>
      <sheetName val="Step-EN"/>
      <sheetName val="Step-K"/>
      <sheetName val="RR-1"/>
      <sheetName val="RR-EN-2"/>
      <sheetName val="RR-K-2"/>
      <sheetName val="RR-EN-2-1"/>
      <sheetName val="RR-K-2-1"/>
      <sheetName val="RR-4"/>
      <sheetName val="RR-EN-5"/>
      <sheetName val="RR-EN-5-1"/>
      <sheetName val="RR-EN-5-2"/>
      <sheetName val="RR-K-5"/>
      <sheetName val="RR-K-5-1"/>
      <sheetName val="RR-K-5-2"/>
      <sheetName val="RR-EN-3"/>
      <sheetName val="RR-EN-3-1"/>
      <sheetName val="RR-EN-3-2"/>
      <sheetName val="RR-EN-3-3"/>
      <sheetName val="RR-EN-3-4"/>
      <sheetName val="RR-EN-3-5"/>
      <sheetName val="RR-EN-3-6"/>
      <sheetName val="RR-3-EN-7"/>
      <sheetName val="RR-3-EN-8"/>
      <sheetName val="RR-3-EN-9"/>
      <sheetName val="RR-3-EN-10"/>
      <sheetName val="Keene Start"/>
      <sheetName val="RR-K-3"/>
      <sheetName val="RR-3-K-1"/>
      <sheetName val="RR-3-K-2"/>
      <sheetName val="RR-3-K-3"/>
      <sheetName val="RR-3-K-4"/>
      <sheetName val="RR-3-K-5"/>
      <sheetName val="RR-3-K-6"/>
      <sheetName val="RR-3-K-7"/>
      <sheetName val="RR-3-K-8"/>
      <sheetName val="RR-3-K-9"/>
      <sheetName val="RR-3-K-10"/>
      <sheetName val="RR-Step-EN-WP1"/>
      <sheetName val="RR-Step-EN-WP2"/>
      <sheetName val="RR-EN-2-1-WP"/>
      <sheetName val="RR-EN-5WP1"/>
      <sheetName val="RR-EN-3-04WP"/>
      <sheetName val="RR-EN-3-04WP2"/>
      <sheetName val="RR-EN-3-05WP1"/>
      <sheetName val="RR-EN-3-05WP2"/>
      <sheetName val="RR-EN-3-05WP3 - FA SL"/>
      <sheetName val="RR-EN-3-07WP"/>
      <sheetName val="RR-EN-3-10WP"/>
      <sheetName val="RR-Step-K-WP1"/>
      <sheetName val="RR-Step-K-WP2"/>
      <sheetName val="RR-K-2-1WP"/>
      <sheetName val="RR-K-5WP2"/>
      <sheetName val="RR-3-K-4WP"/>
      <sheetName val="RR-3-K-4WP2"/>
      <sheetName val="RR-3-K-6WP"/>
      <sheetName val="TB2016-EN"/>
      <sheetName val="TB2016-K"/>
    </sheetNames>
    <sheetDataSet>
      <sheetData sheetId="0" refreshError="1">
        <row r="6">
          <cell r="B6" t="str">
            <v>Liberty Utilities (EnergyNorth)</v>
          </cell>
        </row>
        <row r="24">
          <cell r="B24">
            <v>5</v>
          </cell>
        </row>
        <row r="27">
          <cell r="B27">
            <v>4.4249999999999998E-2</v>
          </cell>
        </row>
        <row r="28">
          <cell r="B28">
            <v>0.5</v>
          </cell>
        </row>
        <row r="31">
          <cell r="B31">
            <v>0.39410000000000001</v>
          </cell>
        </row>
        <row r="32">
          <cell r="B32">
            <v>0.10299999999999999</v>
          </cell>
        </row>
      </sheetData>
      <sheetData sheetId="1" refreshError="1">
        <row r="5">
          <cell r="B5" t="str">
            <v>Title</v>
          </cell>
          <cell r="D5" t="str">
            <v>Reference</v>
          </cell>
          <cell r="F5" t="str">
            <v>Short</v>
          </cell>
          <cell r="H5" t="str">
            <v>Print</v>
          </cell>
        </row>
        <row r="6">
          <cell r="B6" t="str">
            <v>Summary Schedules</v>
          </cell>
        </row>
        <row r="7">
          <cell r="B7" t="str">
            <v>Index to Revenue Requirement Schedules</v>
          </cell>
          <cell r="D7" t="str">
            <v>Index</v>
          </cell>
          <cell r="F7" t="str">
            <v>Index</v>
          </cell>
          <cell r="H7" t="str">
            <v>IN</v>
          </cell>
        </row>
        <row r="8">
          <cell r="B8" t="str">
            <v>Revenue Deficiency and Revenue Requirement</v>
          </cell>
          <cell r="D8" t="str">
            <v>Schedule RR-1</v>
          </cell>
          <cell r="F8" t="str">
            <v>RR-1</v>
          </cell>
          <cell r="H8" t="str">
            <v>RR</v>
          </cell>
        </row>
        <row r="9">
          <cell r="B9" t="str">
            <v>Operating Income Statement - EnergyNorth</v>
          </cell>
          <cell r="D9" t="str">
            <v>Schedule RR-EN-2</v>
          </cell>
          <cell r="F9" t="str">
            <v>RR-EN-2</v>
          </cell>
          <cell r="H9" t="str">
            <v>RR</v>
          </cell>
        </row>
        <row r="10">
          <cell r="B10" t="str">
            <v>Operating Income Statement - Keene</v>
          </cell>
          <cell r="D10" t="str">
            <v>Schedule RR-K-2</v>
          </cell>
          <cell r="F10" t="str">
            <v>RR-K-2</v>
          </cell>
          <cell r="H10" t="str">
            <v>RR</v>
          </cell>
        </row>
        <row r="11">
          <cell r="B11" t="str">
            <v>Operating Income Statement - Detail - EnergyNorth</v>
          </cell>
          <cell r="D11" t="str">
            <v>Schedule RR-EN-2-1</v>
          </cell>
          <cell r="F11" t="str">
            <v>RR-EN-2-1</v>
          </cell>
          <cell r="H11" t="str">
            <v>RR</v>
          </cell>
        </row>
        <row r="12">
          <cell r="B12" t="str">
            <v>Operating Income Statement - Detail- Keene</v>
          </cell>
          <cell r="D12" t="str">
            <v>Schedule RR-K-2-1</v>
          </cell>
          <cell r="F12" t="str">
            <v>RR-K-2-1</v>
          </cell>
          <cell r="H12" t="str">
            <v>RR</v>
          </cell>
        </row>
        <row r="13">
          <cell r="B13" t="str">
            <v>Summary of Adjustments</v>
          </cell>
          <cell r="D13" t="str">
            <v>Schedule RR-EN-3</v>
          </cell>
          <cell r="F13" t="str">
            <v>RR-EN-3</v>
          </cell>
          <cell r="H13" t="str">
            <v>RR</v>
          </cell>
        </row>
        <row r="14">
          <cell r="B14" t="str">
            <v>Summary of Adjustments - Keene</v>
          </cell>
          <cell r="D14" t="str">
            <v>Schedule RR-K-3</v>
          </cell>
          <cell r="F14" t="str">
            <v>RR-K-3</v>
          </cell>
          <cell r="H14" t="str">
            <v>RR</v>
          </cell>
        </row>
        <row r="16">
          <cell r="B16" t="str">
            <v>Adjustments - EnergyNorth</v>
          </cell>
        </row>
        <row r="17">
          <cell r="B17" t="str">
            <v>Adjustment 1 - Revenue Adjustments</v>
          </cell>
          <cell r="D17" t="str">
            <v>Schedule RR-EN-3-1</v>
          </cell>
          <cell r="F17" t="str">
            <v>RR-EN-3-1</v>
          </cell>
          <cell r="H17" t="str">
            <v>AD</v>
          </cell>
        </row>
        <row r="18">
          <cell r="B18" t="str">
            <v>Adjustment 2 - Salary and Wage Expense</v>
          </cell>
          <cell r="D18" t="str">
            <v>Schedule RR-EN-3-2</v>
          </cell>
          <cell r="F18" t="str">
            <v>RR-EN-3-2</v>
          </cell>
          <cell r="H18" t="str">
            <v>AD</v>
          </cell>
        </row>
        <row r="19">
          <cell r="B19" t="str">
            <v>Adjustment 3 - Payroll Tax Expense</v>
          </cell>
          <cell r="D19" t="str">
            <v>Schedule RR-EN-3-3</v>
          </cell>
          <cell r="F19" t="str">
            <v>RR-EN-3-3</v>
          </cell>
          <cell r="H19" t="str">
            <v>AD</v>
          </cell>
        </row>
        <row r="20">
          <cell r="B20" t="str">
            <v>Adjustment 4 - Pension and Benefits Expense</v>
          </cell>
          <cell r="D20" t="str">
            <v>Schedule RR-EN-3-4</v>
          </cell>
          <cell r="F20" t="str">
            <v>RR-EN-3-4</v>
          </cell>
          <cell r="H20" t="str">
            <v>AD</v>
          </cell>
        </row>
        <row r="21">
          <cell r="B21" t="str">
            <v>Adjustment 5 - Depreciation Expense</v>
          </cell>
          <cell r="D21" t="str">
            <v>Schedule RR-EN-3-5</v>
          </cell>
          <cell r="F21" t="str">
            <v>RR-EN-3-5</v>
          </cell>
          <cell r="H21" t="str">
            <v>AD</v>
          </cell>
        </row>
        <row r="22">
          <cell r="B22" t="str">
            <v>Adjustment 6 - Amortization Expense</v>
          </cell>
          <cell r="D22" t="str">
            <v>Schedule RR-EN-3-6</v>
          </cell>
          <cell r="F22" t="str">
            <v>RR-EN-3-6</v>
          </cell>
          <cell r="H22" t="str">
            <v>AD</v>
          </cell>
        </row>
        <row r="23">
          <cell r="B23" t="str">
            <v>Adjustment 7 - Property Tax</v>
          </cell>
          <cell r="D23" t="str">
            <v>Schedule RR-EN-3-7</v>
          </cell>
          <cell r="F23" t="str">
            <v>RR-EN-3-7</v>
          </cell>
          <cell r="H23" t="str">
            <v>AD</v>
          </cell>
        </row>
        <row r="24">
          <cell r="B24" t="str">
            <v>Adjustment 8 - Income Tax Expense - Historical Test Year</v>
          </cell>
          <cell r="D24" t="str">
            <v>Schedule RR-EN-3-8</v>
          </cell>
          <cell r="F24" t="str">
            <v>RR-EN-3-8</v>
          </cell>
          <cell r="H24" t="str">
            <v>AD</v>
          </cell>
        </row>
        <row r="25">
          <cell r="B25" t="str">
            <v>Adjustment 9 - Income Tax Expense - Pro Forma Test Year at Current Rates</v>
          </cell>
          <cell r="D25" t="str">
            <v>Schedule RR-EN-3-9</v>
          </cell>
          <cell r="F25" t="str">
            <v>RR-EN-3-9</v>
          </cell>
          <cell r="H25" t="str">
            <v>AD</v>
          </cell>
        </row>
        <row r="26">
          <cell r="B26" t="str">
            <v>Adjustment 10 - Other Adjustments</v>
          </cell>
          <cell r="D26" t="str">
            <v>Schedule RR-EN-3-10</v>
          </cell>
          <cell r="F26" t="str">
            <v>RR-EN-3-10</v>
          </cell>
          <cell r="H26" t="str">
            <v>AD</v>
          </cell>
        </row>
        <row r="28">
          <cell r="B28" t="str">
            <v>Adjustments - Keene</v>
          </cell>
        </row>
        <row r="29">
          <cell r="B29" t="str">
            <v>Adjustment 1 - Salary and Wage</v>
          </cell>
          <cell r="D29" t="str">
            <v>Schedule RR-K-3-1</v>
          </cell>
          <cell r="F29" t="str">
            <v>RR-K-3-1</v>
          </cell>
          <cell r="H29" t="str">
            <v>AD</v>
          </cell>
        </row>
        <row r="30">
          <cell r="B30" t="str">
            <v>Adjustment 2 - Payroll Tax</v>
          </cell>
          <cell r="D30" t="str">
            <v>Schedule RR-K-3-2</v>
          </cell>
          <cell r="F30" t="str">
            <v>RR-K-3-2</v>
          </cell>
          <cell r="H30" t="str">
            <v>AD</v>
          </cell>
        </row>
        <row r="31">
          <cell r="B31" t="str">
            <v>Adjustment 3 - Benefits</v>
          </cell>
          <cell r="D31" t="str">
            <v>Schedule RR-K-3-3</v>
          </cell>
          <cell r="F31" t="str">
            <v>RR-K-3-3</v>
          </cell>
          <cell r="H31" t="str">
            <v>AD</v>
          </cell>
        </row>
        <row r="32">
          <cell r="B32" t="str">
            <v>Adjustment 4 - Depreciation</v>
          </cell>
          <cell r="D32" t="str">
            <v>Schedule RR-K-3-4</v>
          </cell>
          <cell r="F32" t="str">
            <v>RR-K-3-4</v>
          </cell>
          <cell r="H32" t="str">
            <v>AD</v>
          </cell>
        </row>
        <row r="33">
          <cell r="B33" t="str">
            <v>Adjustment 5 - Amortization</v>
          </cell>
          <cell r="D33" t="str">
            <v>Schedule RR-K-3-5</v>
          </cell>
          <cell r="F33" t="str">
            <v>RR-K-3-5</v>
          </cell>
          <cell r="H33" t="str">
            <v>AD</v>
          </cell>
        </row>
        <row r="34">
          <cell r="B34" t="str">
            <v>Adjustment 6 - Property Tax</v>
          </cell>
          <cell r="D34" t="str">
            <v>Schedule RR-K-3-6</v>
          </cell>
          <cell r="F34" t="str">
            <v>RR-K-3-6</v>
          </cell>
          <cell r="H34" t="str">
            <v>AD</v>
          </cell>
        </row>
        <row r="35">
          <cell r="B35" t="str">
            <v>Adjustment 7 - Uncollectible Accounts Expense</v>
          </cell>
          <cell r="D35" t="str">
            <v>Schedule RR-K-3-7</v>
          </cell>
          <cell r="F35" t="str">
            <v>RR-K-3-7</v>
          </cell>
          <cell r="H35" t="str">
            <v>AD</v>
          </cell>
        </row>
        <row r="36">
          <cell r="B36" t="str">
            <v>Adjustment 8 - Income Tax Expense - Historical Test Year</v>
          </cell>
          <cell r="D36" t="str">
            <v>Schedule RR-K-3-8</v>
          </cell>
          <cell r="F36" t="str">
            <v>RR-K-3-8</v>
          </cell>
          <cell r="H36" t="str">
            <v>AD</v>
          </cell>
        </row>
        <row r="37">
          <cell r="B37" t="str">
            <v>Adjustment 9 - Income Tax Expense- Pro Forma Test Year at Current Rates</v>
          </cell>
          <cell r="D37" t="str">
            <v>Schedule RR-K-3-9</v>
          </cell>
          <cell r="F37" t="str">
            <v>RR-K-3-9</v>
          </cell>
          <cell r="H37" t="str">
            <v>AD</v>
          </cell>
        </row>
        <row r="38">
          <cell r="B38" t="str">
            <v>Adjustment 10 - Other Adjustments</v>
          </cell>
          <cell r="D38" t="str">
            <v>Schedule RR-K-3-10</v>
          </cell>
          <cell r="F38" t="str">
            <v>RR-K-3-10</v>
          </cell>
          <cell r="H38" t="str">
            <v>AD</v>
          </cell>
        </row>
        <row r="40">
          <cell r="B40" t="str">
            <v>Cost of Capital</v>
          </cell>
        </row>
        <row r="41">
          <cell r="B41" t="str">
            <v>Weighted Average Cost of Capital</v>
          </cell>
          <cell r="D41" t="str">
            <v>Schedule RR-4</v>
          </cell>
          <cell r="F41" t="str">
            <v>RR-4</v>
          </cell>
          <cell r="H41" t="str">
            <v>RR</v>
          </cell>
        </row>
        <row r="43">
          <cell r="B43" t="str">
            <v>Rate Base</v>
          </cell>
        </row>
        <row r="44">
          <cell r="B44" t="str">
            <v>Rate Base - EnergyNorth</v>
          </cell>
          <cell r="D44" t="str">
            <v>Schedule RR-EN-5</v>
          </cell>
          <cell r="F44" t="str">
            <v>RR-EN-5</v>
          </cell>
          <cell r="H44" t="str">
            <v>RR</v>
          </cell>
        </row>
        <row r="45">
          <cell r="B45" t="str">
            <v>Rate Base - Keene</v>
          </cell>
          <cell r="D45" t="str">
            <v>Schedule RR-K-5</v>
          </cell>
          <cell r="F45" t="str">
            <v>RR-K-5</v>
          </cell>
          <cell r="H45" t="str">
            <v>RR</v>
          </cell>
        </row>
        <row r="46">
          <cell r="B46" t="str">
            <v>Rate Base Quarterly Balances - EnergyNorth</v>
          </cell>
          <cell r="D46" t="str">
            <v>Schedule RR-EN-5-1</v>
          </cell>
          <cell r="F46" t="str">
            <v>RR-EN-5-1</v>
          </cell>
          <cell r="H46" t="str">
            <v>RR</v>
          </cell>
        </row>
        <row r="47">
          <cell r="B47" t="str">
            <v>Rate Base Quarterly Balances - Keene</v>
          </cell>
          <cell r="D47" t="str">
            <v>Schedule RR-K-5-1</v>
          </cell>
          <cell r="F47" t="str">
            <v>RR-K-5-1</v>
          </cell>
          <cell r="H47" t="str">
            <v>RR</v>
          </cell>
        </row>
        <row r="48">
          <cell r="B48" t="str">
            <v>Cash Working Capital - EnergyNorth</v>
          </cell>
          <cell r="D48" t="str">
            <v>Schedule RR-EN-5-2</v>
          </cell>
          <cell r="F48" t="str">
            <v>RR-EN-5-2</v>
          </cell>
          <cell r="H48" t="str">
            <v>RR</v>
          </cell>
        </row>
        <row r="49">
          <cell r="B49" t="str">
            <v>Cash Working Capital - Keene</v>
          </cell>
          <cell r="D49" t="str">
            <v>Schedule RR-K-5-2</v>
          </cell>
          <cell r="F49" t="str">
            <v>RR-K-5-2</v>
          </cell>
          <cell r="H49" t="str">
            <v>RR</v>
          </cell>
        </row>
        <row r="51">
          <cell r="B51" t="str">
            <v>Step Increase</v>
          </cell>
        </row>
        <row r="52">
          <cell r="B52" t="str">
            <v>Step Increase - EnergyNorth</v>
          </cell>
          <cell r="D52" t="str">
            <v>Schedule Step-EN</v>
          </cell>
          <cell r="F52" t="str">
            <v>Step-EN</v>
          </cell>
          <cell r="H52" t="str">
            <v>RR</v>
          </cell>
        </row>
        <row r="53">
          <cell r="B53" t="str">
            <v>Step Increase - Keene</v>
          </cell>
          <cell r="D53" t="str">
            <v>Schedule Step-K</v>
          </cell>
          <cell r="F53" t="str">
            <v>Step-K</v>
          </cell>
          <cell r="H53" t="str">
            <v>RR</v>
          </cell>
        </row>
        <row r="55">
          <cell r="B55" t="str">
            <v>Rate Case Expense</v>
          </cell>
        </row>
        <row r="56">
          <cell r="B56" t="str">
            <v>Rate Case Expense</v>
          </cell>
          <cell r="D56" t="str">
            <v>Schedule RC</v>
          </cell>
          <cell r="F56" t="str">
            <v>Schedule RC</v>
          </cell>
          <cell r="H56" t="str">
            <v>RR</v>
          </cell>
        </row>
        <row r="58">
          <cell r="B58" t="str">
            <v>Temporary Rates</v>
          </cell>
        </row>
        <row r="59">
          <cell r="B59" t="str">
            <v>Temporary Rate Increase</v>
          </cell>
          <cell r="D59" t="str">
            <v>Schedule T</v>
          </cell>
          <cell r="F59" t="str">
            <v>T</v>
          </cell>
          <cell r="H59" t="str">
            <v>RR</v>
          </cell>
        </row>
        <row r="61">
          <cell r="B61" t="str">
            <v>Global Inputs</v>
          </cell>
          <cell r="D61" t="str">
            <v>Global Inputs</v>
          </cell>
          <cell r="F61" t="str">
            <v>Global</v>
          </cell>
          <cell r="H61" t="str">
            <v>No print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K44"/>
  <sheetViews>
    <sheetView topLeftCell="A8" zoomScale="119" zoomScaleNormal="119" zoomScalePageLayoutView="119" workbookViewId="0">
      <selection activeCell="F40" sqref="F40"/>
    </sheetView>
  </sheetViews>
  <sheetFormatPr baseColWidth="10" defaultRowHeight="16"/>
  <cols>
    <col min="1" max="1" width="3" style="83" customWidth="1"/>
    <col min="2" max="2" width="13.6640625" style="83" customWidth="1"/>
    <col min="3" max="3" width="49" style="83" customWidth="1"/>
    <col min="4" max="4" width="14.83203125" style="83" bestFit="1" customWidth="1"/>
    <col min="5" max="5" width="1.33203125" style="83" customWidth="1"/>
    <col min="6" max="6" width="14.1640625" style="83" customWidth="1"/>
    <col min="7" max="7" width="1.33203125" style="83" customWidth="1"/>
    <col min="8" max="8" width="14.5" style="83" customWidth="1"/>
    <col min="9" max="9" width="1.33203125" style="83" customWidth="1"/>
    <col min="10" max="10" width="8.33203125" style="83" customWidth="1"/>
    <col min="11" max="11" width="44.5" style="83" customWidth="1"/>
    <col min="12" max="14" width="11.6640625" style="83" bestFit="1" customWidth="1"/>
    <col min="15" max="15" width="10.83203125" style="83"/>
    <col min="16" max="16" width="2.5" style="83" customWidth="1"/>
    <col min="17" max="16384" width="10.83203125" style="83"/>
  </cols>
  <sheetData>
    <row r="1" spans="2:10" ht="20">
      <c r="B1" s="444" t="str">
        <f>+'Sch 1'!B1:J1</f>
        <v>-</v>
      </c>
      <c r="C1" s="444"/>
      <c r="D1" s="444"/>
      <c r="E1" s="444"/>
      <c r="F1" s="444"/>
      <c r="G1" s="444"/>
      <c r="H1" s="444"/>
    </row>
    <row r="2" spans="2:10" ht="20">
      <c r="B2" s="261"/>
      <c r="C2" s="261"/>
      <c r="D2" s="261"/>
      <c r="E2" s="261"/>
      <c r="F2" s="261"/>
      <c r="G2" s="261"/>
      <c r="H2" s="261"/>
    </row>
    <row r="3" spans="2:10" ht="20">
      <c r="B3" s="268" t="str">
        <f>+'Sch 1.1'!B3</f>
        <v>Kentucky Public Service Commission</v>
      </c>
      <c r="C3" s="261"/>
      <c r="D3" s="261"/>
      <c r="E3" s="261"/>
      <c r="F3" s="261"/>
      <c r="G3" s="261"/>
      <c r="H3" s="261"/>
    </row>
    <row r="4" spans="2:10" ht="20">
      <c r="C4" s="261"/>
      <c r="D4" s="261"/>
      <c r="E4" s="261"/>
      <c r="F4" s="261"/>
      <c r="G4" s="261"/>
      <c r="H4" s="261"/>
    </row>
    <row r="5" spans="2:10" ht="20">
      <c r="B5" s="269" t="str">
        <f>+'Sch 1.1'!B5</f>
        <v>Louisville Gas and Electric Company–Electric</v>
      </c>
      <c r="C5" s="261"/>
      <c r="D5" s="261"/>
      <c r="E5" s="261"/>
      <c r="F5" s="261"/>
      <c r="G5" s="261"/>
      <c r="H5" s="261"/>
    </row>
    <row r="6" spans="2:10" ht="20">
      <c r="B6" s="268" t="str">
        <f>+'Sch 1.1'!B6</f>
        <v>Base Period ending December 31, 2018; Fully Forecasted Test Period ending April 30, 2020</v>
      </c>
      <c r="C6" s="261"/>
      <c r="D6" s="261"/>
      <c r="E6" s="261"/>
      <c r="F6" s="261"/>
      <c r="G6" s="261"/>
      <c r="H6" s="261"/>
    </row>
    <row r="7" spans="2:10">
      <c r="B7" s="83" t="s">
        <v>94</v>
      </c>
      <c r="J7" s="81" t="s">
        <v>122</v>
      </c>
    </row>
    <row r="9" spans="2:10">
      <c r="B9" s="58"/>
      <c r="C9" s="58"/>
      <c r="D9" s="58"/>
      <c r="E9" s="58"/>
      <c r="F9" s="58"/>
      <c r="G9" s="58"/>
      <c r="H9" s="58"/>
      <c r="I9" s="58"/>
    </row>
    <row r="10" spans="2:10">
      <c r="B10" s="169"/>
      <c r="C10" s="170" t="s">
        <v>162</v>
      </c>
      <c r="D10" s="58"/>
      <c r="E10" s="58"/>
      <c r="F10" s="58"/>
      <c r="G10" s="58"/>
      <c r="H10" s="437">
        <f>+'Sch 1.1'!J32</f>
        <v>7.2374214717142712E-2</v>
      </c>
      <c r="I10" s="58"/>
    </row>
    <row r="11" spans="2:10">
      <c r="B11" s="169"/>
      <c r="C11" s="170" t="s">
        <v>1</v>
      </c>
      <c r="D11" s="58"/>
      <c r="E11" s="58"/>
      <c r="F11" s="58"/>
      <c r="G11" s="58"/>
      <c r="H11" s="438">
        <f>+'Sch 1.1'!J52</f>
        <v>1.3379036836716185</v>
      </c>
      <c r="I11" s="58"/>
    </row>
    <row r="12" spans="2:10" ht="40" customHeight="1" thickBot="1">
      <c r="B12" s="58"/>
      <c r="C12" s="58"/>
      <c r="D12" s="82" t="s">
        <v>21</v>
      </c>
      <c r="E12" s="171"/>
      <c r="F12" s="82" t="s">
        <v>41</v>
      </c>
      <c r="G12" s="171"/>
      <c r="H12" s="82" t="s">
        <v>24</v>
      </c>
      <c r="I12" s="58"/>
    </row>
    <row r="13" spans="2:10">
      <c r="B13" s="58"/>
      <c r="C13" s="204"/>
      <c r="D13" s="205"/>
      <c r="E13" s="171"/>
      <c r="F13" s="205"/>
      <c r="G13" s="171"/>
      <c r="H13" s="205"/>
      <c r="I13" s="58"/>
      <c r="J13" s="83" t="s">
        <v>103</v>
      </c>
    </row>
    <row r="14" spans="2:10">
      <c r="B14" s="58"/>
      <c r="C14" s="404" t="s">
        <v>567</v>
      </c>
      <c r="D14" s="114">
        <v>0</v>
      </c>
      <c r="E14" s="171"/>
      <c r="F14" s="114">
        <v>0</v>
      </c>
      <c r="G14" s="171"/>
      <c r="H14" s="150">
        <f>+'Sch 2.1'!H23</f>
        <v>-13190744.153665882</v>
      </c>
      <c r="I14" s="58"/>
      <c r="J14" s="160">
        <f>+'Sch 2'!J23</f>
        <v>9.7000000000000003E-2</v>
      </c>
    </row>
    <row r="15" spans="2:10">
      <c r="B15" s="58" t="s">
        <v>43</v>
      </c>
      <c r="C15" s="58" t="str">
        <f>+'3.1 Slippage'!B7</f>
        <v>Slippage</v>
      </c>
      <c r="D15" s="150">
        <f>+'3.1 Slippage'!H15</f>
        <v>-10460477</v>
      </c>
      <c r="E15" s="150"/>
      <c r="F15" s="150">
        <f>+'3.1 Slippage'!H29</f>
        <v>243174</v>
      </c>
      <c r="G15" s="150"/>
      <c r="H15" s="114">
        <f t="shared" ref="H15:H32" si="0">(D15*$H$10-F15)*$H$11</f>
        <v>-1338228.5379802396</v>
      </c>
      <c r="I15" s="58"/>
    </row>
    <row r="16" spans="2:10">
      <c r="B16" s="58" t="s">
        <v>44</v>
      </c>
      <c r="C16" s="58"/>
      <c r="D16" s="114">
        <v>0</v>
      </c>
      <c r="E16" s="114"/>
      <c r="F16" s="114">
        <v>0</v>
      </c>
      <c r="G16" s="114"/>
      <c r="H16" s="114">
        <f t="shared" si="0"/>
        <v>0</v>
      </c>
      <c r="I16" s="58"/>
    </row>
    <row r="17" spans="2:11">
      <c r="B17" s="58" t="s">
        <v>45</v>
      </c>
      <c r="C17" s="58"/>
      <c r="D17" s="114">
        <v>0</v>
      </c>
      <c r="E17" s="114"/>
      <c r="F17" s="114">
        <v>0</v>
      </c>
      <c r="G17" s="114"/>
      <c r="H17" s="114">
        <f t="shared" si="0"/>
        <v>0</v>
      </c>
      <c r="I17" s="58"/>
    </row>
    <row r="18" spans="2:11">
      <c r="B18" s="58" t="s">
        <v>46</v>
      </c>
      <c r="C18" s="58"/>
      <c r="D18" s="114">
        <v>0</v>
      </c>
      <c r="E18" s="114"/>
      <c r="F18" s="114">
        <v>0</v>
      </c>
      <c r="G18" s="114"/>
      <c r="H18" s="114">
        <f t="shared" si="0"/>
        <v>0</v>
      </c>
      <c r="I18" s="58"/>
    </row>
    <row r="19" spans="2:11">
      <c r="B19" s="58" t="s">
        <v>47</v>
      </c>
      <c r="C19" s="58" t="str">
        <f>+'3.5 CWC'!B7</f>
        <v xml:space="preserve">Working Capital </v>
      </c>
      <c r="D19" s="114">
        <f>+'3.5 CWC'!N35</f>
        <v>-43534934.140640631</v>
      </c>
      <c r="E19" s="114"/>
      <c r="F19" s="114">
        <v>0</v>
      </c>
      <c r="G19" s="114"/>
      <c r="H19" s="114">
        <f t="shared" si="0"/>
        <v>-4215475.851924073</v>
      </c>
      <c r="I19" s="58"/>
    </row>
    <row r="20" spans="2:11">
      <c r="B20" s="58" t="s">
        <v>48</v>
      </c>
      <c r="C20" s="58" t="str">
        <f>+'3.6 Late Pymt'!B7</f>
        <v>Late Payment Credit</v>
      </c>
      <c r="D20" s="114">
        <v>0</v>
      </c>
      <c r="E20" s="114"/>
      <c r="F20" s="114">
        <f>+'3.6 Late Pymt'!H24</f>
        <v>173410</v>
      </c>
      <c r="G20" s="114"/>
      <c r="H20" s="114">
        <f t="shared" si="0"/>
        <v>-232005.87778549537</v>
      </c>
      <c r="I20" s="58"/>
    </row>
    <row r="21" spans="2:11">
      <c r="B21" s="58" t="s">
        <v>50</v>
      </c>
      <c r="C21" s="172" t="str">
        <f>+'3.7 401(k)'!B7</f>
        <v>Employee Retirement Plans</v>
      </c>
      <c r="D21" s="114">
        <v>0</v>
      </c>
      <c r="E21" s="114"/>
      <c r="F21" s="114">
        <f>+'3.7 401(k)'!H24</f>
        <v>1027966</v>
      </c>
      <c r="G21" s="114"/>
      <c r="H21" s="114">
        <f t="shared" si="0"/>
        <v>-1375319.4980891789</v>
      </c>
      <c r="I21" s="58"/>
    </row>
    <row r="22" spans="2:11">
      <c r="B22" s="58" t="s">
        <v>51</v>
      </c>
      <c r="C22" s="58" t="str">
        <f>+'3.8 D&amp;O'!B7</f>
        <v>Directors and Officers Liability Insurance</v>
      </c>
      <c r="D22" s="114">
        <v>0</v>
      </c>
      <c r="E22" s="114"/>
      <c r="F22" s="114">
        <f>+'3.8 D&amp;O'!H26</f>
        <v>73711.387022052149</v>
      </c>
      <c r="G22" s="114"/>
      <c r="H22" s="114">
        <f t="shared" si="0"/>
        <v>-98618.736225347908</v>
      </c>
      <c r="I22" s="58"/>
    </row>
    <row r="23" spans="2:11">
      <c r="B23" s="58" t="s">
        <v>54</v>
      </c>
      <c r="C23" s="58" t="str">
        <f>+'3.9 Dues'!B7</f>
        <v>Dues for EEI and EPRI</v>
      </c>
      <c r="D23" s="114">
        <v>0</v>
      </c>
      <c r="E23" s="114"/>
      <c r="F23" s="114">
        <f>+'3.9 Dues'!H31</f>
        <v>954402.45445999992</v>
      </c>
      <c r="G23" s="114"/>
      <c r="H23" s="114">
        <f t="shared" si="0"/>
        <v>-1276898.5595272679</v>
      </c>
      <c r="I23" s="58"/>
      <c r="K23" s="201"/>
    </row>
    <row r="24" spans="2:11">
      <c r="B24" s="58" t="s">
        <v>55</v>
      </c>
      <c r="C24" s="58" t="str">
        <f>+'3.10 Legal'!B7</f>
        <v>Outside Counsel Expense</v>
      </c>
      <c r="D24" s="114">
        <v>0</v>
      </c>
      <c r="E24" s="114"/>
      <c r="F24" s="114">
        <f>+'3.10 Legal'!H26</f>
        <v>253648.36981934117</v>
      </c>
      <c r="G24" s="114"/>
      <c r="H24" s="114">
        <f t="shared" si="0"/>
        <v>-339357.0883385975</v>
      </c>
      <c r="I24" s="58"/>
    </row>
    <row r="25" spans="2:11">
      <c r="B25" s="58" t="s">
        <v>56</v>
      </c>
      <c r="C25" s="58" t="str">
        <f>+'3.11 Rebate'!B7</f>
        <v>Credit Card Rebate</v>
      </c>
      <c r="D25" s="114">
        <v>0</v>
      </c>
      <c r="E25" s="114"/>
      <c r="F25" s="114">
        <f>+'3.11 Rebate'!H26</f>
        <v>180022.85122669872</v>
      </c>
      <c r="G25" s="114"/>
      <c r="H25" s="114">
        <f t="shared" si="0"/>
        <v>-240853.23580126796</v>
      </c>
      <c r="I25" s="58"/>
    </row>
    <row r="26" spans="2:11">
      <c r="B26" s="58" t="s">
        <v>57</v>
      </c>
      <c r="C26" s="58" t="str">
        <f>+'3.12 Econ Dev'!B7</f>
        <v>Economic Development</v>
      </c>
      <c r="D26" s="114">
        <v>0</v>
      </c>
      <c r="E26" s="114"/>
      <c r="F26" s="114">
        <f>+'3.12 Econ Dev'!H26</f>
        <v>414262.64339445776</v>
      </c>
      <c r="G26" s="114"/>
      <c r="H26" s="114">
        <f t="shared" si="0"/>
        <v>-554243.51660498709</v>
      </c>
      <c r="I26" s="58"/>
    </row>
    <row r="27" spans="2:11">
      <c r="B27" s="58" t="s">
        <v>58</v>
      </c>
      <c r="C27" s="58" t="str">
        <f>+'3.13 Ed'!B7</f>
        <v>Customer Education</v>
      </c>
      <c r="D27" s="114">
        <v>0</v>
      </c>
      <c r="E27" s="114"/>
      <c r="F27" s="114">
        <f>+'3.13 Ed'!H26</f>
        <v>435060.84392869112</v>
      </c>
      <c r="G27" s="114"/>
      <c r="H27" s="114">
        <f t="shared" si="0"/>
        <v>-582069.50571347889</v>
      </c>
      <c r="I27" s="58"/>
    </row>
    <row r="28" spans="2:11">
      <c r="B28" s="58" t="s">
        <v>59</v>
      </c>
      <c r="C28" s="58"/>
      <c r="D28" s="114">
        <v>0</v>
      </c>
      <c r="E28" s="114"/>
      <c r="F28" s="114">
        <v>0</v>
      </c>
      <c r="G28" s="114"/>
      <c r="H28" s="114">
        <f t="shared" si="0"/>
        <v>0</v>
      </c>
      <c r="I28" s="58"/>
    </row>
    <row r="29" spans="2:11">
      <c r="B29" s="58" t="s">
        <v>60</v>
      </c>
      <c r="C29" s="58" t="str">
        <f>+'3.15 MMD'!B7</f>
        <v xml:space="preserve">Merger Mitigation Depancaking </v>
      </c>
      <c r="D29" s="114">
        <v>0</v>
      </c>
      <c r="E29" s="114"/>
      <c r="F29" s="114">
        <f>+'3.15 MMD'!H24</f>
        <v>6737621</v>
      </c>
      <c r="G29" s="114"/>
      <c r="H29" s="114">
        <f t="shared" si="0"/>
        <v>-9014287.9550832547</v>
      </c>
      <c r="I29" s="58"/>
    </row>
    <row r="30" spans="2:11">
      <c r="B30" s="58" t="s">
        <v>347</v>
      </c>
      <c r="C30" s="58" t="str">
        <f>+'3.16 Storm'!B7</f>
        <v>Amortization of Storm Damage Regulatory Asset</v>
      </c>
      <c r="D30" s="114">
        <v>0</v>
      </c>
      <c r="E30" s="114"/>
      <c r="F30" s="114">
        <f>+'3.16 Storm'!H31</f>
        <v>174244.40000000002</v>
      </c>
      <c r="G30" s="114"/>
      <c r="H30" s="114">
        <f t="shared" si="0"/>
        <v>-233122.22461915101</v>
      </c>
      <c r="I30" s="58"/>
    </row>
    <row r="31" spans="2:11">
      <c r="B31" s="58" t="s">
        <v>349</v>
      </c>
      <c r="C31" s="58" t="str">
        <f>+'3.17 EDIT'!B7</f>
        <v>Amortization of Tax Reform Regulatory Liability</v>
      </c>
      <c r="D31" s="114">
        <v>0</v>
      </c>
      <c r="E31" s="114"/>
      <c r="F31" s="114">
        <f>+'3.17 EDIT'!H45</f>
        <v>2430103.0731707318</v>
      </c>
      <c r="G31" s="114"/>
      <c r="H31" s="114">
        <f t="shared" si="0"/>
        <v>-3251243.8532968429</v>
      </c>
      <c r="I31" s="58"/>
    </row>
    <row r="32" spans="2:11">
      <c r="B32" s="58" t="s">
        <v>352</v>
      </c>
      <c r="C32" s="58" t="str">
        <f>+'3.18 Int Sychn'!B7</f>
        <v>Interest Synchronization</v>
      </c>
      <c r="D32" s="114">
        <v>0</v>
      </c>
      <c r="E32" s="114"/>
      <c r="F32" s="114">
        <f>+'3.18 Int Sychn'!H30</f>
        <v>-284559</v>
      </c>
      <c r="G32" s="114"/>
      <c r="H32" s="114">
        <f t="shared" si="0"/>
        <v>380712.5343219121</v>
      </c>
      <c r="I32" s="58"/>
    </row>
    <row r="33" spans="1:11">
      <c r="B33" s="58"/>
      <c r="C33" s="58"/>
      <c r="D33" s="114"/>
      <c r="E33" s="114"/>
      <c r="F33" s="114"/>
      <c r="G33" s="114"/>
      <c r="H33" s="114"/>
      <c r="I33" s="58"/>
    </row>
    <row r="34" spans="1:11" ht="17" thickBot="1">
      <c r="B34" s="58"/>
      <c r="C34" s="58"/>
      <c r="D34" s="151">
        <f>SUM(D14:D33)</f>
        <v>-53995411.140640631</v>
      </c>
      <c r="E34" s="114"/>
      <c r="F34" s="151">
        <f>SUM(F14:F33)</f>
        <v>12813068.023021974</v>
      </c>
      <c r="G34" s="114"/>
      <c r="H34" s="151">
        <f>SUM(H14:H33)</f>
        <v>-35561756.060333155</v>
      </c>
      <c r="I34" s="58"/>
      <c r="K34" s="202"/>
    </row>
    <row r="35" spans="1:11" ht="17" thickTop="1">
      <c r="B35" s="58"/>
      <c r="C35" s="58"/>
      <c r="D35" s="58"/>
      <c r="E35" s="58"/>
      <c r="F35" s="58"/>
      <c r="G35" s="58"/>
      <c r="H35" s="58"/>
      <c r="I35" s="58"/>
      <c r="K35" s="203"/>
    </row>
    <row r="36" spans="1:11">
      <c r="A36" s="206"/>
      <c r="B36" s="58"/>
      <c r="C36" s="207" t="s">
        <v>81</v>
      </c>
      <c r="D36" s="208">
        <f>+'Sch 1.1'!H26</f>
        <v>-53995411.140640631</v>
      </c>
      <c r="E36" s="208"/>
      <c r="F36" s="208">
        <f>+'Sch 1.1'!H49</f>
        <v>12813068.023021974</v>
      </c>
      <c r="G36" s="209"/>
      <c r="H36" s="208">
        <f>+'Sch 1.1'!H53</f>
        <v>-35561756.060333103</v>
      </c>
      <c r="I36" s="58"/>
    </row>
    <row r="37" spans="1:11">
      <c r="A37" s="206"/>
      <c r="B37" s="58"/>
      <c r="C37" s="207"/>
      <c r="D37" s="208">
        <f>+D36-D34</f>
        <v>0</v>
      </c>
      <c r="E37" s="208"/>
      <c r="F37" s="208">
        <f>+F36-F34</f>
        <v>0</v>
      </c>
      <c r="G37" s="209"/>
      <c r="H37" s="208">
        <f>+H36-H34</f>
        <v>0</v>
      </c>
      <c r="I37" s="58"/>
    </row>
    <row r="38" spans="1:11">
      <c r="B38" s="58"/>
      <c r="C38" s="210"/>
      <c r="D38" s="211"/>
      <c r="E38" s="211"/>
      <c r="F38" s="265"/>
      <c r="G38" s="212"/>
      <c r="H38" s="211"/>
      <c r="I38" s="58"/>
    </row>
    <row r="39" spans="1:11">
      <c r="C39" s="58"/>
      <c r="D39" s="213"/>
      <c r="E39" s="214"/>
      <c r="F39" s="266"/>
      <c r="G39" s="58"/>
    </row>
    <row r="40" spans="1:11">
      <c r="C40" s="58" t="s">
        <v>568</v>
      </c>
      <c r="D40" s="173">
        <f>+'Sch 1.1'!F55</f>
        <v>34887485.053885646</v>
      </c>
      <c r="E40" s="58"/>
      <c r="F40" s="267"/>
      <c r="G40" s="58"/>
    </row>
    <row r="41" spans="1:11">
      <c r="C41" s="58" t="s">
        <v>161</v>
      </c>
      <c r="D41" s="218">
        <f>+H34</f>
        <v>-35561756.060333155</v>
      </c>
      <c r="E41" s="58"/>
      <c r="F41" s="237"/>
      <c r="G41" s="58"/>
    </row>
    <row r="42" spans="1:11" ht="17" thickBot="1">
      <c r="C42" s="83" t="s">
        <v>357</v>
      </c>
      <c r="D42" s="174">
        <f>+D40+D41</f>
        <v>-674271.00644750893</v>
      </c>
      <c r="E42" s="58"/>
      <c r="F42" s="216"/>
      <c r="G42" s="58"/>
    </row>
    <row r="43" spans="1:11" ht="17" thickTop="1">
      <c r="C43" s="58"/>
      <c r="D43" s="216"/>
      <c r="E43" s="217"/>
      <c r="F43" s="216"/>
      <c r="G43" s="58"/>
    </row>
    <row r="44" spans="1:11">
      <c r="C44" s="207" t="s">
        <v>81</v>
      </c>
      <c r="D44" s="207">
        <f>+'Sch 1.1'!J55</f>
        <v>-674271.00644745515</v>
      </c>
      <c r="E44" s="217"/>
      <c r="F44" s="216"/>
      <c r="G44" s="58"/>
    </row>
  </sheetData>
  <mergeCells count="1">
    <mergeCell ref="B1:H1"/>
  </mergeCells>
  <phoneticPr fontId="4" type="noConversion"/>
  <pageMargins left="0.75" right="0.75" top="1" bottom="1" header="0.5" footer="0.5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58C87-0014-9549-8135-4A378C04C493}">
  <sheetPr codeName="Sheet9">
    <pageSetUpPr fitToPage="1"/>
  </sheetPr>
  <dimension ref="A1:T63"/>
  <sheetViews>
    <sheetView workbookViewId="0">
      <selection activeCell="S51" sqref="S51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4.83203125" style="32" customWidth="1"/>
    <col min="11" max="11" width="2.83203125" style="32" customWidth="1"/>
    <col min="12" max="12" width="8.83203125" style="32"/>
    <col min="13" max="13" width="41.6640625" style="32" bestFit="1" customWidth="1"/>
    <col min="14" max="15" width="14.6640625" style="32" bestFit="1" customWidth="1"/>
    <col min="16" max="16" width="12.6640625" style="32" bestFit="1" customWidth="1"/>
    <col min="17" max="17" width="2" style="32" customWidth="1"/>
    <col min="18" max="18" width="14.6640625" style="32" bestFit="1" customWidth="1"/>
    <col min="19" max="19" width="14.1640625" style="32" customWidth="1"/>
    <col min="20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196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 t="s">
        <v>43</v>
      </c>
    </row>
    <row r="7" spans="2:11">
      <c r="B7" s="26" t="s">
        <v>328</v>
      </c>
    </row>
    <row r="8" spans="2:11">
      <c r="B8" s="26"/>
    </row>
    <row r="9" spans="2:11">
      <c r="B9" s="11"/>
      <c r="C9" s="11"/>
      <c r="D9" s="11"/>
      <c r="E9" s="11"/>
      <c r="F9" s="275" t="s">
        <v>19</v>
      </c>
      <c r="G9" s="11"/>
      <c r="H9" s="275"/>
      <c r="I9" s="11"/>
      <c r="J9" s="275" t="s">
        <v>25</v>
      </c>
    </row>
    <row r="10" spans="2:11" ht="14" thickBot="1">
      <c r="B10" s="273" t="s">
        <v>18</v>
      </c>
      <c r="C10" s="275"/>
      <c r="D10" s="273" t="s">
        <v>17</v>
      </c>
      <c r="E10" s="275"/>
      <c r="F10" s="273" t="s">
        <v>65</v>
      </c>
      <c r="G10" s="275"/>
      <c r="H10" s="273" t="s">
        <v>20</v>
      </c>
      <c r="I10" s="275"/>
      <c r="J10" s="273" t="s">
        <v>26</v>
      </c>
    </row>
    <row r="11" spans="2:11">
      <c r="B11" s="275"/>
      <c r="C11" s="275"/>
      <c r="D11" s="11"/>
      <c r="E11" s="275"/>
      <c r="F11" s="275" t="s">
        <v>9</v>
      </c>
      <c r="G11" s="275"/>
      <c r="H11" s="275" t="s">
        <v>10</v>
      </c>
      <c r="I11" s="275"/>
      <c r="J11" s="5" t="s">
        <v>11</v>
      </c>
    </row>
    <row r="12" spans="2:11" ht="14" thickBot="1">
      <c r="B12" s="145">
        <v>1</v>
      </c>
      <c r="C12" s="275"/>
      <c r="D12" s="188" t="s">
        <v>21</v>
      </c>
      <c r="E12" s="275"/>
      <c r="F12" s="258"/>
      <c r="G12" s="274"/>
      <c r="H12" s="258"/>
      <c r="I12" s="274"/>
      <c r="J12" s="259"/>
    </row>
    <row r="13" spans="2:11" ht="14" thickBot="1">
      <c r="B13" s="145">
        <v>2</v>
      </c>
      <c r="C13" s="34"/>
      <c r="D13" s="34" t="s">
        <v>185</v>
      </c>
      <c r="E13" s="34"/>
      <c r="F13" s="257">
        <v>2593434547</v>
      </c>
      <c r="G13" s="274"/>
      <c r="H13" s="294">
        <f>+J13-F13</f>
        <v>-10460477</v>
      </c>
      <c r="I13" s="274"/>
      <c r="J13" s="257">
        <v>2582974070</v>
      </c>
    </row>
    <row r="14" spans="2:11">
      <c r="B14" s="145"/>
      <c r="C14" s="34"/>
      <c r="D14" s="53"/>
      <c r="E14" s="34"/>
      <c r="F14" s="43"/>
      <c r="G14" s="43"/>
      <c r="H14" s="43"/>
      <c r="I14" s="43"/>
      <c r="J14" s="43"/>
    </row>
    <row r="15" spans="2:11" ht="14" thickBot="1">
      <c r="B15" s="145">
        <v>3</v>
      </c>
      <c r="C15" s="34"/>
      <c r="D15" s="11" t="s">
        <v>66</v>
      </c>
      <c r="E15" s="11"/>
      <c r="F15" s="122">
        <f>+F13</f>
        <v>2593434547</v>
      </c>
      <c r="G15" s="11"/>
      <c r="H15" s="122">
        <f>+J15-F15</f>
        <v>-10460477</v>
      </c>
      <c r="I15" s="11"/>
      <c r="J15" s="122">
        <f>+J13</f>
        <v>2582974070</v>
      </c>
    </row>
    <row r="16" spans="2:11" ht="14" thickTop="1">
      <c r="B16" s="145"/>
      <c r="C16" s="275"/>
      <c r="D16" s="11"/>
      <c r="E16" s="275"/>
      <c r="F16" s="275"/>
      <c r="G16" s="275"/>
      <c r="H16" s="275"/>
      <c r="I16" s="275"/>
      <c r="J16" s="275"/>
    </row>
    <row r="17" spans="1:11" ht="14" thickBot="1">
      <c r="B17" s="145">
        <v>4</v>
      </c>
      <c r="C17" s="275"/>
      <c r="D17" s="188" t="s">
        <v>99</v>
      </c>
      <c r="E17" s="275"/>
      <c r="F17" s="275"/>
      <c r="G17" s="275"/>
      <c r="H17" s="275"/>
      <c r="I17" s="275"/>
      <c r="J17" s="275"/>
    </row>
    <row r="18" spans="1:11" ht="14" thickBot="1">
      <c r="B18" s="145">
        <v>5</v>
      </c>
      <c r="C18" s="275"/>
      <c r="D18" s="44" t="s">
        <v>144</v>
      </c>
      <c r="E18" s="275"/>
      <c r="F18" s="198">
        <v>991948599</v>
      </c>
      <c r="G18" s="275"/>
      <c r="H18" s="190">
        <f>+J18-F18</f>
        <v>-1521</v>
      </c>
      <c r="I18" s="275"/>
      <c r="J18" s="198">
        <v>991947078</v>
      </c>
    </row>
    <row r="19" spans="1:11">
      <c r="B19" s="145">
        <v>6</v>
      </c>
      <c r="C19" s="275"/>
      <c r="D19" s="26" t="s">
        <v>145</v>
      </c>
      <c r="E19" s="275"/>
      <c r="F19" s="284">
        <v>21774257</v>
      </c>
      <c r="G19" s="275"/>
      <c r="H19" s="147">
        <f>+J19-F19</f>
        <v>0</v>
      </c>
      <c r="I19" s="275"/>
      <c r="J19" s="284">
        <v>21774257</v>
      </c>
    </row>
    <row r="20" spans="1:11">
      <c r="B20" s="145"/>
      <c r="C20" s="275"/>
      <c r="D20" s="11"/>
      <c r="E20" s="275"/>
      <c r="F20" s="285">
        <f>+F18+F19-1</f>
        <v>1013722855</v>
      </c>
      <c r="G20" s="275"/>
      <c r="H20" s="274"/>
      <c r="I20" s="275"/>
      <c r="J20" s="285">
        <f>+J18+J19-1</f>
        <v>1013721334</v>
      </c>
    </row>
    <row r="21" spans="1:11">
      <c r="B21" s="145">
        <v>7</v>
      </c>
      <c r="C21" s="275"/>
      <c r="D21" s="188" t="s">
        <v>100</v>
      </c>
      <c r="E21" s="275"/>
      <c r="F21" s="275"/>
      <c r="G21" s="275"/>
      <c r="H21" s="274"/>
      <c r="I21" s="275"/>
      <c r="J21" s="5"/>
    </row>
    <row r="22" spans="1:11" ht="14" thickBot="1">
      <c r="B22" s="145">
        <v>8</v>
      </c>
      <c r="C22" s="275"/>
      <c r="D22" s="26" t="s">
        <v>146</v>
      </c>
      <c r="E22" s="275"/>
      <c r="F22" s="198">
        <v>627292494</v>
      </c>
      <c r="G22" s="275"/>
      <c r="H22" s="147">
        <f t="shared" ref="H22" si="0">+J22-F22</f>
        <v>0</v>
      </c>
      <c r="I22" s="275"/>
      <c r="J22" s="198">
        <v>627292494</v>
      </c>
    </row>
    <row r="23" spans="1:11" ht="14" thickBot="1">
      <c r="B23" s="145">
        <v>9</v>
      </c>
      <c r="C23" s="275"/>
      <c r="D23" s="26" t="s">
        <v>147</v>
      </c>
      <c r="E23" s="275"/>
      <c r="F23" s="284">
        <v>155800380</v>
      </c>
      <c r="G23" s="56"/>
      <c r="H23" s="290">
        <f>+J23-F23</f>
        <v>-320798</v>
      </c>
      <c r="I23" s="56"/>
      <c r="J23" s="284">
        <v>155479582</v>
      </c>
    </row>
    <row r="24" spans="1:11" ht="14" thickBot="1">
      <c r="A24" s="34"/>
      <c r="B24" s="145">
        <v>10</v>
      </c>
      <c r="C24" s="275"/>
      <c r="D24" s="26" t="s">
        <v>176</v>
      </c>
      <c r="E24" s="275"/>
      <c r="F24" s="284">
        <v>34932925</v>
      </c>
      <c r="G24" s="56"/>
      <c r="H24" s="290">
        <f t="shared" ref="H24:H26" si="1">+J24-F24</f>
        <v>-66860</v>
      </c>
      <c r="I24" s="56"/>
      <c r="J24" s="284">
        <v>34866065</v>
      </c>
      <c r="K24" s="148"/>
    </row>
    <row r="25" spans="1:11" ht="14" thickBot="1">
      <c r="A25" s="34"/>
      <c r="B25" s="145">
        <v>11</v>
      </c>
      <c r="C25" s="275"/>
      <c r="D25" s="26" t="s">
        <v>152</v>
      </c>
      <c r="E25" s="275"/>
      <c r="F25" s="284">
        <v>25285777</v>
      </c>
      <c r="G25" s="56"/>
      <c r="H25" s="290">
        <f t="shared" si="1"/>
        <v>142963</v>
      </c>
      <c r="I25" s="56"/>
      <c r="J25" s="284">
        <v>25428740</v>
      </c>
      <c r="K25" s="148"/>
    </row>
    <row r="26" spans="1:11">
      <c r="A26" s="34"/>
      <c r="B26" s="145">
        <v>12</v>
      </c>
      <c r="C26" s="275"/>
      <c r="D26" s="26" t="s">
        <v>175</v>
      </c>
      <c r="E26" s="275"/>
      <c r="F26" s="283">
        <v>-1004121</v>
      </c>
      <c r="G26" s="56"/>
      <c r="H26" s="291">
        <f t="shared" si="1"/>
        <v>0</v>
      </c>
      <c r="I26" s="56"/>
      <c r="J26" s="283">
        <v>-1004121</v>
      </c>
      <c r="K26" s="148"/>
    </row>
    <row r="27" spans="1:11" ht="14" thickBot="1">
      <c r="A27" s="34"/>
      <c r="B27" s="145">
        <v>13</v>
      </c>
      <c r="C27" s="34"/>
      <c r="D27" s="26" t="s">
        <v>36</v>
      </c>
      <c r="E27" s="275"/>
      <c r="F27" s="285">
        <f>SUM(F22:F26)</f>
        <v>842307455</v>
      </c>
      <c r="G27" s="56"/>
      <c r="H27" s="286">
        <f>+J27-F27</f>
        <v>-244695</v>
      </c>
      <c r="I27" s="56"/>
      <c r="J27" s="285">
        <f>SUM(J22:J26)</f>
        <v>842062760</v>
      </c>
      <c r="K27" s="148"/>
    </row>
    <row r="28" spans="1:11" ht="14" thickTop="1">
      <c r="A28" s="34"/>
      <c r="B28" s="145"/>
      <c r="C28" s="34"/>
      <c r="D28" s="34"/>
      <c r="E28" s="34"/>
      <c r="F28" s="43"/>
      <c r="G28" s="43"/>
      <c r="H28" s="43"/>
      <c r="I28" s="43"/>
      <c r="J28" s="43"/>
      <c r="K28" s="167"/>
    </row>
    <row r="29" spans="1:11" s="34" customFormat="1" ht="14" thickBot="1">
      <c r="B29" s="145">
        <v>14</v>
      </c>
      <c r="C29" s="32"/>
      <c r="D29" s="137" t="s">
        <v>2</v>
      </c>
      <c r="E29" s="137"/>
      <c r="F29" s="287">
        <f>+F20-F27</f>
        <v>171415400</v>
      </c>
      <c r="G29" s="168"/>
      <c r="H29" s="288">
        <f>+J29-F29</f>
        <v>243174</v>
      </c>
      <c r="I29" s="289"/>
      <c r="J29" s="287">
        <f>+J20-J27</f>
        <v>171658574</v>
      </c>
    </row>
    <row r="30" spans="1:11" s="34" customFormat="1" ht="14" thickTop="1">
      <c r="B30" s="145"/>
      <c r="C30" s="275"/>
      <c r="D30" s="11"/>
      <c r="E30" s="275"/>
      <c r="F30" s="275"/>
      <c r="G30" s="275"/>
      <c r="H30" s="275"/>
      <c r="I30" s="275"/>
      <c r="J30" s="5"/>
    </row>
    <row r="31" spans="1:11">
      <c r="K31" s="4"/>
    </row>
    <row r="32" spans="1:11">
      <c r="B32" s="108" t="s">
        <v>79</v>
      </c>
      <c r="C32" s="69"/>
      <c r="D32" s="69"/>
      <c r="E32" s="69"/>
      <c r="F32" s="69"/>
      <c r="G32" s="69"/>
      <c r="H32" s="69"/>
      <c r="I32" s="69"/>
      <c r="J32" s="69"/>
      <c r="K32" s="4"/>
    </row>
    <row r="33" spans="2:20">
      <c r="B33" s="63" t="s">
        <v>173</v>
      </c>
      <c r="C33" s="4"/>
      <c r="D33" s="4"/>
      <c r="E33" s="4"/>
      <c r="F33" s="4"/>
      <c r="G33" s="4"/>
      <c r="H33" s="4"/>
      <c r="I33" s="4"/>
      <c r="J33" s="4"/>
    </row>
    <row r="34" spans="2:20">
      <c r="B34" s="63" t="s">
        <v>177</v>
      </c>
      <c r="C34" s="4"/>
      <c r="D34" s="4"/>
      <c r="E34" s="4"/>
      <c r="F34" s="4"/>
      <c r="G34" s="4"/>
      <c r="H34" s="4"/>
      <c r="I34" s="4"/>
      <c r="J34" s="4"/>
    </row>
    <row r="35" spans="2:20">
      <c r="B35" s="63" t="s">
        <v>174</v>
      </c>
      <c r="C35" s="34"/>
      <c r="D35" s="34"/>
      <c r="E35" s="34"/>
      <c r="F35" s="43"/>
      <c r="G35" s="43"/>
      <c r="H35" s="43"/>
      <c r="I35" s="43"/>
      <c r="J35" s="43"/>
    </row>
    <row r="36" spans="2:20" s="34" customFormat="1">
      <c r="B36" s="63"/>
      <c r="F36" s="43"/>
      <c r="G36" s="43"/>
      <c r="H36" s="43"/>
      <c r="I36" s="43"/>
      <c r="J36" s="43"/>
    </row>
    <row r="37" spans="2:20">
      <c r="B37" s="63"/>
    </row>
    <row r="38" spans="2:20">
      <c r="O38" s="282" t="s">
        <v>183</v>
      </c>
      <c r="P38" s="4"/>
      <c r="R38" s="282" t="s">
        <v>183</v>
      </c>
    </row>
    <row r="39" spans="2:20" ht="14" thickBot="1">
      <c r="M39" s="26"/>
      <c r="N39" s="281" t="s">
        <v>178</v>
      </c>
      <c r="O39" s="281" t="s">
        <v>179</v>
      </c>
      <c r="P39" s="281" t="s">
        <v>69</v>
      </c>
      <c r="Q39" s="26"/>
      <c r="R39" s="281" t="s">
        <v>180</v>
      </c>
    </row>
    <row r="40" spans="2:20">
      <c r="M40" s="26"/>
      <c r="N40" s="26"/>
      <c r="O40" s="26"/>
      <c r="P40" s="297"/>
      <c r="Q40" s="26"/>
    </row>
    <row r="41" spans="2:20">
      <c r="M41" s="26" t="s">
        <v>164</v>
      </c>
      <c r="N41" s="257">
        <f>+F13</f>
        <v>2593434547</v>
      </c>
      <c r="O41" s="257">
        <f>+J13</f>
        <v>2582974070</v>
      </c>
      <c r="P41" s="257">
        <f>+O41-N41</f>
        <v>-10460477</v>
      </c>
      <c r="Q41" s="26"/>
      <c r="R41" s="257">
        <f>+O41</f>
        <v>2582974070</v>
      </c>
    </row>
    <row r="42" spans="2:20">
      <c r="M42" s="26" t="s">
        <v>22</v>
      </c>
      <c r="N42" s="298">
        <f>+'Sch 2'!L17</f>
        <v>7.6178470192420772E-2</v>
      </c>
      <c r="O42" s="298">
        <f>+N42</f>
        <v>7.6178470192420772E-2</v>
      </c>
      <c r="P42" s="299"/>
      <c r="Q42" s="26"/>
      <c r="R42" s="300">
        <v>7.620341124033421E-2</v>
      </c>
      <c r="T42" s="32" t="s">
        <v>184</v>
      </c>
    </row>
    <row r="43" spans="2:20" ht="14" thickBot="1">
      <c r="M43" s="26" t="s">
        <v>181</v>
      </c>
      <c r="N43" s="301">
        <f>+N41*N42</f>
        <v>197563876.33463377</v>
      </c>
      <c r="O43" s="301">
        <f>+O41*O42</f>
        <v>196767013.19929075</v>
      </c>
      <c r="P43" s="301">
        <f>+O43-N43</f>
        <v>-796863.13534301519</v>
      </c>
      <c r="Q43" s="26"/>
      <c r="R43" s="301">
        <f>+R41*R42</f>
        <v>196831435.27932981</v>
      </c>
    </row>
    <row r="44" spans="2:20" ht="14" thickTop="1">
      <c r="M44" s="26"/>
      <c r="N44" s="110"/>
      <c r="O44" s="110"/>
      <c r="P44" s="110"/>
      <c r="Q44" s="26"/>
      <c r="R44" s="110"/>
    </row>
    <row r="45" spans="2:20">
      <c r="M45" s="302" t="s">
        <v>99</v>
      </c>
      <c r="N45" s="110"/>
      <c r="O45" s="110"/>
      <c r="P45" s="110"/>
      <c r="Q45" s="26"/>
      <c r="R45" s="110"/>
    </row>
    <row r="46" spans="2:20">
      <c r="M46" s="26" t="s">
        <v>144</v>
      </c>
      <c r="N46" s="198">
        <f>+F18</f>
        <v>991948599</v>
      </c>
      <c r="O46" s="198">
        <f>+J18</f>
        <v>991947078</v>
      </c>
      <c r="P46" s="198">
        <f>+O46-N46</f>
        <v>-1521</v>
      </c>
      <c r="Q46" s="26"/>
      <c r="R46" s="257">
        <f t="shared" ref="R46:R47" si="2">+O46</f>
        <v>991947078</v>
      </c>
    </row>
    <row r="47" spans="2:20">
      <c r="M47" s="26" t="s">
        <v>145</v>
      </c>
      <c r="N47" s="198">
        <f>+F19</f>
        <v>21774257</v>
      </c>
      <c r="O47" s="198">
        <f>+J19</f>
        <v>21774257</v>
      </c>
      <c r="P47" s="284">
        <f>+O47-N47</f>
        <v>0</v>
      </c>
      <c r="Q47" s="26"/>
      <c r="R47" s="257">
        <f t="shared" si="2"/>
        <v>21774257</v>
      </c>
    </row>
    <row r="48" spans="2:20">
      <c r="M48" s="26"/>
      <c r="N48" s="285">
        <f>+N46+N47-1</f>
        <v>1013722855</v>
      </c>
      <c r="O48" s="285">
        <f>+O46+O47</f>
        <v>1013721335</v>
      </c>
      <c r="P48" s="285">
        <f>+P46+P47</f>
        <v>-1521</v>
      </c>
      <c r="Q48" s="26"/>
      <c r="R48" s="285">
        <f>+R46+R47</f>
        <v>1013721335</v>
      </c>
    </row>
    <row r="49" spans="13:19">
      <c r="M49" s="302" t="s">
        <v>100</v>
      </c>
      <c r="N49" s="110"/>
      <c r="O49" s="303"/>
      <c r="P49" s="303"/>
      <c r="Q49" s="26"/>
      <c r="R49" s="303"/>
    </row>
    <row r="50" spans="13:19">
      <c r="M50" s="26" t="s">
        <v>146</v>
      </c>
      <c r="N50" s="198">
        <f>+F22</f>
        <v>627292494</v>
      </c>
      <c r="O50" s="198">
        <f>+J22</f>
        <v>627292494</v>
      </c>
      <c r="P50" s="198">
        <f>+O50-N50</f>
        <v>0</v>
      </c>
      <c r="Q50" s="26"/>
      <c r="R50" s="257">
        <f t="shared" ref="R50:R53" si="3">+O50</f>
        <v>627292494</v>
      </c>
    </row>
    <row r="51" spans="13:19">
      <c r="M51" s="26" t="s">
        <v>147</v>
      </c>
      <c r="N51" s="198">
        <f t="shared" ref="N51:N53" si="4">+F23</f>
        <v>155800380</v>
      </c>
      <c r="O51" s="198">
        <f t="shared" ref="O51:O53" si="5">+J23</f>
        <v>155479582</v>
      </c>
      <c r="P51" s="284">
        <f>+O51-N51</f>
        <v>-320798</v>
      </c>
      <c r="Q51" s="26"/>
      <c r="R51" s="257">
        <f t="shared" si="3"/>
        <v>155479582</v>
      </c>
    </row>
    <row r="52" spans="13:19">
      <c r="M52" s="26" t="s">
        <v>176</v>
      </c>
      <c r="N52" s="198">
        <f t="shared" si="4"/>
        <v>34932925</v>
      </c>
      <c r="O52" s="198">
        <f t="shared" si="5"/>
        <v>34866065</v>
      </c>
      <c r="P52" s="284">
        <f>+O52-N52</f>
        <v>-66860</v>
      </c>
      <c r="Q52" s="26"/>
      <c r="R52" s="257">
        <f t="shared" si="3"/>
        <v>34866065</v>
      </c>
    </row>
    <row r="53" spans="13:19">
      <c r="M53" s="26" t="s">
        <v>152</v>
      </c>
      <c r="N53" s="198">
        <f t="shared" si="4"/>
        <v>25285777</v>
      </c>
      <c r="O53" s="198">
        <f t="shared" si="5"/>
        <v>25428740</v>
      </c>
      <c r="P53" s="284">
        <f>+O53-N53</f>
        <v>142963</v>
      </c>
      <c r="Q53" s="26"/>
      <c r="R53" s="257">
        <f t="shared" si="3"/>
        <v>25428740</v>
      </c>
    </row>
    <row r="54" spans="13:19">
      <c r="M54" s="26" t="s">
        <v>36</v>
      </c>
      <c r="N54" s="285">
        <f>SUM(N50:N53)</f>
        <v>843311576</v>
      </c>
      <c r="O54" s="285">
        <f>SUM(O50:O53)</f>
        <v>843066881</v>
      </c>
      <c r="P54" s="285">
        <f>+O54-N54</f>
        <v>-244695</v>
      </c>
      <c r="Q54" s="26"/>
      <c r="R54" s="285">
        <f>SUM(R50:R53)</f>
        <v>843066881</v>
      </c>
    </row>
    <row r="55" spans="13:19">
      <c r="M55" s="34"/>
      <c r="N55" s="43"/>
      <c r="O55" s="43"/>
      <c r="P55" s="43"/>
      <c r="Q55" s="26"/>
      <c r="R55" s="43"/>
    </row>
    <row r="56" spans="13:19">
      <c r="M56" s="93" t="s">
        <v>62</v>
      </c>
      <c r="N56" s="304">
        <f>+N48-N54</f>
        <v>170411279</v>
      </c>
      <c r="O56" s="304">
        <f>+O48-O54+1</f>
        <v>170654455</v>
      </c>
      <c r="P56" s="304">
        <f>+O56-N56</f>
        <v>243176</v>
      </c>
      <c r="Q56" s="26"/>
      <c r="R56" s="304">
        <f>+R48-R54+1</f>
        <v>170654455</v>
      </c>
    </row>
    <row r="57" spans="13:19">
      <c r="M57" s="26"/>
      <c r="N57" s="26"/>
      <c r="O57" s="26"/>
      <c r="P57" s="26"/>
      <c r="Q57" s="26"/>
      <c r="R57" s="26"/>
    </row>
    <row r="58" spans="13:19">
      <c r="M58" s="37" t="s">
        <v>87</v>
      </c>
      <c r="N58" s="305">
        <f>+N43-N56</f>
        <v>27152597.334633768</v>
      </c>
      <c r="O58" s="305">
        <f>+O43-O56</f>
        <v>26112558.199290752</v>
      </c>
      <c r="P58" s="304">
        <f>+O58-N58</f>
        <v>-1040039.1353430152</v>
      </c>
      <c r="Q58" s="26"/>
      <c r="R58" s="305">
        <f>+R43-R56</f>
        <v>26176980.279329807</v>
      </c>
    </row>
    <row r="59" spans="13:19">
      <c r="M59" s="64" t="s">
        <v>85</v>
      </c>
      <c r="N59" s="26">
        <v>1.3375544948124221</v>
      </c>
      <c r="O59" s="26">
        <f>+N59</f>
        <v>1.3375544948124221</v>
      </c>
      <c r="P59" s="26"/>
      <c r="Q59" s="26"/>
      <c r="R59" s="26">
        <f>+O59</f>
        <v>1.3375544948124221</v>
      </c>
    </row>
    <row r="60" spans="13:19" ht="14" thickBot="1">
      <c r="N60" s="306">
        <f>+N58*N59</f>
        <v>36318078.610771187</v>
      </c>
      <c r="O60" s="306">
        <f>+O58*O59</f>
        <v>34926969.590512313</v>
      </c>
      <c r="P60" s="306">
        <f>+O60-N60</f>
        <v>-1391109.0202588737</v>
      </c>
      <c r="R60" s="306">
        <f>+R58*R59</f>
        <v>35013137.633233711</v>
      </c>
      <c r="S60" s="296">
        <f>+R60-N60</f>
        <v>-1304940.9775374755</v>
      </c>
    </row>
    <row r="61" spans="13:19" ht="14" thickTop="1"/>
    <row r="62" spans="13:19">
      <c r="M62" s="26" t="s">
        <v>182</v>
      </c>
      <c r="P62" s="147">
        <v>-1304937</v>
      </c>
      <c r="S62" s="147">
        <f>+P62</f>
        <v>-1304937</v>
      </c>
    </row>
    <row r="63" spans="13:19">
      <c r="M63" s="26" t="s">
        <v>69</v>
      </c>
      <c r="P63" s="296">
        <f>+P60-P62</f>
        <v>-86172.020258873701</v>
      </c>
      <c r="S63" s="296">
        <f>+S60-S62</f>
        <v>-3.9775374755263329</v>
      </c>
    </row>
  </sheetData>
  <mergeCells count="1">
    <mergeCell ref="B1:J1"/>
  </mergeCells>
  <pageMargins left="0.7" right="0.7" top="0.75" bottom="0.75" header="0.3" footer="0.3"/>
  <pageSetup scale="86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F42A-177D-BC46-A3B2-52996995DDA8}">
  <sheetPr>
    <pageSetUpPr fitToPage="1"/>
  </sheetPr>
  <dimension ref="B1:K8"/>
  <sheetViews>
    <sheetView workbookViewId="0">
      <selection activeCell="D8" sqref="D8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329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/>
    </row>
    <row r="7" spans="2:11">
      <c r="B7" s="26"/>
    </row>
    <row r="8" spans="2:11" ht="14">
      <c r="D8" s="23" t="s">
        <v>330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2CA0-3603-C940-9BAC-725BB1BD410C}">
  <sheetPr>
    <pageSetUpPr fitToPage="1"/>
  </sheetPr>
  <dimension ref="B1:K8"/>
  <sheetViews>
    <sheetView workbookViewId="0">
      <selection activeCell="D15" sqref="D15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197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/>
    </row>
    <row r="7" spans="2:11">
      <c r="B7" s="26"/>
    </row>
    <row r="8" spans="2:11" ht="14">
      <c r="D8" s="23" t="s">
        <v>330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171ED-3C12-E942-854A-11831ABB09E8}">
  <sheetPr>
    <pageSetUpPr fitToPage="1"/>
  </sheetPr>
  <dimension ref="B1:K8"/>
  <sheetViews>
    <sheetView workbookViewId="0">
      <selection activeCell="F38" sqref="F38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331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/>
    </row>
    <row r="7" spans="2:11">
      <c r="B7" s="26"/>
    </row>
    <row r="8" spans="2:11" ht="14">
      <c r="D8" s="23" t="s">
        <v>330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3" tint="0.59999389629810485"/>
    <pageSetUpPr fitToPage="1"/>
  </sheetPr>
  <dimension ref="B1:U60"/>
  <sheetViews>
    <sheetView topLeftCell="A6" zoomScale="117" zoomScaleNormal="117" zoomScalePageLayoutView="171" workbookViewId="0">
      <selection activeCell="F30" sqref="F30:F35"/>
    </sheetView>
  </sheetViews>
  <sheetFormatPr baseColWidth="10" defaultColWidth="8.83203125" defaultRowHeight="13"/>
  <cols>
    <col min="1" max="1" width="2.83203125" style="32" customWidth="1"/>
    <col min="2" max="2" width="5.6640625" style="32" customWidth="1"/>
    <col min="3" max="3" width="1.33203125" style="32" customWidth="1"/>
    <col min="4" max="4" width="37.5" style="32" customWidth="1"/>
    <col min="5" max="5" width="1.33203125" style="32" customWidth="1"/>
    <col min="6" max="6" width="14" style="32" customWidth="1"/>
    <col min="7" max="7" width="1.33203125" style="32" customWidth="1"/>
    <col min="8" max="8" width="12.83203125" style="32" customWidth="1"/>
    <col min="9" max="9" width="1.33203125" style="32" customWidth="1"/>
    <col min="10" max="10" width="10.1640625" style="32" customWidth="1"/>
    <col min="11" max="11" width="1.33203125" style="32" customWidth="1"/>
    <col min="12" max="12" width="11.33203125" style="32" customWidth="1"/>
    <col min="13" max="13" width="1.33203125" style="32" customWidth="1"/>
    <col min="14" max="14" width="12.6640625" style="32" customWidth="1"/>
    <col min="15" max="15" width="1.33203125" style="32" customWidth="1"/>
    <col min="16" max="16" width="12.6640625" style="32" customWidth="1"/>
    <col min="17" max="17" width="2.83203125" style="32" customWidth="1"/>
    <col min="18" max="18" width="11.33203125" style="32" bestFit="1" customWidth="1"/>
    <col min="19" max="19" width="12.5" style="32" customWidth="1"/>
    <col min="20" max="20" width="8.83203125" style="32"/>
    <col min="21" max="21" width="12" style="32" customWidth="1"/>
    <col min="22" max="16384" width="8.83203125" style="32"/>
  </cols>
  <sheetData>
    <row r="1" spans="2:19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23"/>
      <c r="R1" s="23"/>
    </row>
    <row r="2" spans="2:19" ht="16">
      <c r="B2" s="159"/>
    </row>
    <row r="3" spans="2:19">
      <c r="B3" s="11" t="str">
        <f>+'Sch 1.1'!B3</f>
        <v>Kentucky Public Service Commission</v>
      </c>
      <c r="P3" s="183" t="str">
        <f>+'Sch 1.1'!J3</f>
        <v>Case No. 2018-00295</v>
      </c>
    </row>
    <row r="4" spans="2:19">
      <c r="P4" s="35" t="s">
        <v>332</v>
      </c>
    </row>
    <row r="5" spans="2:19">
      <c r="B5" s="84" t="str">
        <f>+'Sch 1.1'!B5</f>
        <v>Louisville Gas and Electric Company–Electric</v>
      </c>
      <c r="P5" s="184" t="s">
        <v>35</v>
      </c>
    </row>
    <row r="6" spans="2:19">
      <c r="B6" s="11" t="s">
        <v>47</v>
      </c>
    </row>
    <row r="7" spans="2:19">
      <c r="B7" s="44" t="s">
        <v>615</v>
      </c>
    </row>
    <row r="8" spans="2:19">
      <c r="B8" s="26"/>
    </row>
    <row r="9" spans="2:19">
      <c r="B9" s="11"/>
      <c r="C9" s="11"/>
      <c r="D9" s="11"/>
      <c r="E9" s="11"/>
      <c r="F9" s="309" t="s">
        <v>19</v>
      </c>
      <c r="G9" s="11"/>
      <c r="H9" s="309" t="s">
        <v>587</v>
      </c>
      <c r="I9" s="11"/>
      <c r="J9" s="309" t="s">
        <v>159</v>
      </c>
      <c r="K9" s="11"/>
      <c r="L9" s="309" t="s">
        <v>584</v>
      </c>
      <c r="M9" s="11"/>
      <c r="N9" s="309" t="s">
        <v>585</v>
      </c>
      <c r="O9" s="11"/>
      <c r="P9" s="309" t="s">
        <v>25</v>
      </c>
    </row>
    <row r="10" spans="2:19" ht="14" thickBot="1">
      <c r="B10" s="45" t="s">
        <v>18</v>
      </c>
      <c r="C10" s="12"/>
      <c r="D10" s="45" t="s">
        <v>17</v>
      </c>
      <c r="E10" s="12"/>
      <c r="F10" s="307" t="s">
        <v>65</v>
      </c>
      <c r="G10" s="309"/>
      <c r="H10" s="307" t="s">
        <v>100</v>
      </c>
      <c r="I10" s="309"/>
      <c r="J10" s="307" t="s">
        <v>590</v>
      </c>
      <c r="K10" s="309"/>
      <c r="L10" s="307" t="s">
        <v>586</v>
      </c>
      <c r="M10" s="309"/>
      <c r="N10" s="307" t="s">
        <v>20</v>
      </c>
      <c r="O10" s="309"/>
      <c r="P10" s="307" t="s">
        <v>26</v>
      </c>
    </row>
    <row r="11" spans="2:19">
      <c r="B11" s="12"/>
      <c r="C11" s="12"/>
      <c r="D11" s="11"/>
      <c r="E11" s="12"/>
      <c r="F11" s="309" t="s">
        <v>9</v>
      </c>
      <c r="G11" s="309"/>
      <c r="H11" s="309" t="s">
        <v>10</v>
      </c>
      <c r="I11" s="309"/>
      <c r="J11" s="5" t="s">
        <v>11</v>
      </c>
      <c r="K11" s="309"/>
      <c r="L11" s="5" t="s">
        <v>12</v>
      </c>
      <c r="N11" s="5" t="s">
        <v>13</v>
      </c>
      <c r="P11" s="5" t="s">
        <v>14</v>
      </c>
    </row>
    <row r="12" spans="2:19" s="34" customFormat="1"/>
    <row r="13" spans="2:19" s="34" customFormat="1">
      <c r="B13" s="110">
        <v>1</v>
      </c>
      <c r="D13" s="34" t="s">
        <v>97</v>
      </c>
      <c r="F13" s="119">
        <f>+'3.5.1 CWC WP'!T82</f>
        <v>114229324.67864679</v>
      </c>
      <c r="N13" s="120">
        <f>+P13-F13</f>
        <v>-30712840.12955761</v>
      </c>
      <c r="P13" s="120">
        <f>+'3.5.1 CWC WP'!AJ82</f>
        <v>83516484.549089178</v>
      </c>
      <c r="S13" s="398">
        <f>+'3.5.1 CWC WP'!AL82</f>
        <v>-30712840.12955761</v>
      </c>
    </row>
    <row r="14" spans="2:19" s="34" customFormat="1">
      <c r="B14" s="110"/>
    </row>
    <row r="15" spans="2:19" s="34" customFormat="1">
      <c r="B15" s="110">
        <v>2</v>
      </c>
      <c r="D15" s="436" t="s">
        <v>577</v>
      </c>
      <c r="J15" s="72"/>
      <c r="L15" s="435"/>
    </row>
    <row r="16" spans="2:19" s="34" customFormat="1">
      <c r="B16" s="110">
        <v>3</v>
      </c>
      <c r="D16" s="34" t="s">
        <v>578</v>
      </c>
      <c r="H16" s="434">
        <f>+'Sch 3'!AW43</f>
        <v>-13748132.949851241</v>
      </c>
      <c r="J16" s="72"/>
      <c r="L16" s="435"/>
    </row>
    <row r="17" spans="2:21" s="34" customFormat="1">
      <c r="B17" s="110">
        <v>4</v>
      </c>
      <c r="D17" s="63" t="s">
        <v>579</v>
      </c>
      <c r="H17" s="72">
        <f>+'Sch 3'!N43</f>
        <v>-1369708</v>
      </c>
      <c r="J17" s="72">
        <f>+H17/366</f>
        <v>-3742.3715846994537</v>
      </c>
      <c r="L17" s="435">
        <f>+'3.5.1 CWC WP'!AH21</f>
        <v>20.66065544546441</v>
      </c>
      <c r="N17" s="78">
        <f>+J17*L17</f>
        <v>-77319.849860372036</v>
      </c>
      <c r="P17" s="78">
        <f t="shared" ref="P17:P20" si="0">+F17+N17</f>
        <v>-77319.849860372036</v>
      </c>
    </row>
    <row r="18" spans="2:21" s="34" customFormat="1">
      <c r="B18" s="110">
        <v>5</v>
      </c>
      <c r="D18" s="63" t="s">
        <v>187</v>
      </c>
      <c r="F18" s="141"/>
      <c r="H18" s="72">
        <f>+'Sch 3'!P43</f>
        <v>-98216.387022052149</v>
      </c>
      <c r="J18" s="72">
        <f t="shared" ref="J18:J27" si="1">+H18/366</f>
        <v>-268.35078421325721</v>
      </c>
      <c r="L18" s="435">
        <f>+'3.5.1 CWC WP'!AH25</f>
        <v>18.251629829016487</v>
      </c>
      <c r="N18" s="78">
        <f t="shared" ref="N18:N27" si="2">+J18*L18</f>
        <v>-4897.8391777866518</v>
      </c>
      <c r="P18" s="78">
        <f t="shared" si="0"/>
        <v>-4897.8391777866518</v>
      </c>
    </row>
    <row r="19" spans="2:21" s="34" customFormat="1">
      <c r="B19" s="110">
        <v>6</v>
      </c>
      <c r="D19" s="63" t="s">
        <v>226</v>
      </c>
      <c r="F19" s="141"/>
      <c r="H19" s="72">
        <f>-'Sch 3'!T43</f>
        <v>337972.36981934117</v>
      </c>
      <c r="J19" s="72">
        <f t="shared" si="1"/>
        <v>923.42177546268078</v>
      </c>
      <c r="L19" s="435">
        <f>+'3.5.1 CWC WP'!AH25</f>
        <v>18.251629829016487</v>
      </c>
      <c r="N19" s="78">
        <f t="shared" ref="N19" si="3">+J19*L19</f>
        <v>16853.952421798029</v>
      </c>
      <c r="P19" s="78">
        <f t="shared" ref="P19" si="4">+F19+N19</f>
        <v>16853.952421798029</v>
      </c>
    </row>
    <row r="20" spans="2:21" s="34" customFormat="1">
      <c r="B20" s="110">
        <v>7</v>
      </c>
      <c r="D20" s="63" t="s">
        <v>580</v>
      </c>
      <c r="H20" s="72">
        <f>+H16-H17-H18-H19</f>
        <v>-12618180.93264853</v>
      </c>
      <c r="J20" s="72">
        <f t="shared" si="1"/>
        <v>-34475.904187564287</v>
      </c>
      <c r="L20" s="435">
        <f>+'3.5.1 CWC WP'!AH26</f>
        <v>-9.9303511097953319</v>
      </c>
      <c r="N20" s="78">
        <f t="shared" si="2"/>
        <v>342357.83341017656</v>
      </c>
      <c r="P20" s="78">
        <f t="shared" si="0"/>
        <v>342357.83341017656</v>
      </c>
    </row>
    <row r="21" spans="2:21" s="34" customFormat="1">
      <c r="B21" s="110"/>
      <c r="H21" s="72"/>
      <c r="J21" s="72"/>
      <c r="L21" s="435"/>
    </row>
    <row r="22" spans="2:21" s="34" customFormat="1">
      <c r="B22" s="110">
        <v>8</v>
      </c>
      <c r="D22" s="34" t="s">
        <v>147</v>
      </c>
      <c r="H22" s="72">
        <f>+'Sch 3'!AW44</f>
        <v>-2774443.0731707318</v>
      </c>
      <c r="J22" s="72">
        <f t="shared" si="1"/>
        <v>-7580.4455551112887</v>
      </c>
      <c r="L22" s="435">
        <f>+'3.5.1 CWC WP'!AH30</f>
        <v>0</v>
      </c>
      <c r="N22" s="78">
        <f t="shared" si="2"/>
        <v>0</v>
      </c>
      <c r="P22" s="78">
        <f t="shared" ref="P22" si="5">+F22+N22</f>
        <v>0</v>
      </c>
    </row>
    <row r="23" spans="2:21" s="34" customFormat="1">
      <c r="B23" s="110"/>
      <c r="H23" s="72"/>
      <c r="J23" s="72"/>
      <c r="L23" s="435"/>
    </row>
    <row r="24" spans="2:21" s="34" customFormat="1">
      <c r="B24" s="110">
        <v>9</v>
      </c>
      <c r="D24" s="34" t="s">
        <v>176</v>
      </c>
      <c r="H24" s="72">
        <f>+'Sch 3'!AW46</f>
        <v>-66860</v>
      </c>
      <c r="J24" s="72">
        <f t="shared" si="1"/>
        <v>-182.6775956284153</v>
      </c>
      <c r="L24" s="435">
        <f>+'3.5.1 CWC WP'!AH43</f>
        <v>-172.61437521804265</v>
      </c>
      <c r="N24" s="78">
        <f t="shared" si="2"/>
        <v>31532.779035733147</v>
      </c>
      <c r="P24" s="78">
        <f t="shared" ref="P24" si="6">+F24+N24</f>
        <v>31532.779035733147</v>
      </c>
    </row>
    <row r="25" spans="2:21" s="34" customFormat="1">
      <c r="B25" s="110"/>
      <c r="H25" s="72"/>
      <c r="J25" s="72"/>
      <c r="L25" s="435"/>
    </row>
    <row r="26" spans="2:21" s="34" customFormat="1">
      <c r="B26" s="110">
        <v>10</v>
      </c>
      <c r="D26" s="34" t="s">
        <v>581</v>
      </c>
      <c r="H26" s="72">
        <f>+'Sch 3'!BA47</f>
        <v>3721347</v>
      </c>
      <c r="J26" s="72">
        <f t="shared" si="1"/>
        <v>10167.61475409836</v>
      </c>
      <c r="L26" s="435">
        <f>+'3.5.1 CWC WP'!AH37</f>
        <v>6.1483333333333334</v>
      </c>
      <c r="N26" s="78">
        <f t="shared" si="2"/>
        <v>62513.884713114756</v>
      </c>
      <c r="P26" s="78">
        <f t="shared" ref="P26:P27" si="7">+F26+N26</f>
        <v>62513.884713114756</v>
      </c>
    </row>
    <row r="27" spans="2:21" s="34" customFormat="1">
      <c r="B27" s="110">
        <v>11</v>
      </c>
      <c r="D27" s="34" t="s">
        <v>582</v>
      </c>
      <c r="H27" s="432">
        <v>284559</v>
      </c>
      <c r="J27" s="72">
        <f t="shared" si="1"/>
        <v>777.48360655737702</v>
      </c>
      <c r="L27" s="435">
        <f>+'3.5.1 CWC WP'!AH37</f>
        <v>6.1483333333333334</v>
      </c>
      <c r="N27" s="78">
        <f t="shared" si="2"/>
        <v>4780.2283743169401</v>
      </c>
      <c r="P27" s="78">
        <f t="shared" si="7"/>
        <v>4780.2283743169401</v>
      </c>
      <c r="S27" s="141" t="s">
        <v>565</v>
      </c>
    </row>
    <row r="28" spans="2:21" s="34" customFormat="1">
      <c r="B28" s="110"/>
      <c r="H28" s="119"/>
      <c r="J28" s="72"/>
      <c r="L28" s="435"/>
    </row>
    <row r="29" spans="2:21" s="34" customFormat="1">
      <c r="B29" s="110">
        <v>12</v>
      </c>
      <c r="D29" s="34" t="s">
        <v>36</v>
      </c>
      <c r="H29" s="77">
        <f>SUM(H17:H27)</f>
        <v>-12583530.023021974</v>
      </c>
      <c r="J29" s="72"/>
      <c r="L29" s="435"/>
    </row>
    <row r="30" spans="2:21" s="34" customFormat="1" ht="14" thickBot="1">
      <c r="B30" s="110"/>
      <c r="D30" s="90" t="s">
        <v>583</v>
      </c>
      <c r="F30" s="443"/>
      <c r="H30" s="433">
        <f>+'Sch 3'!AW49-H29</f>
        <v>0</v>
      </c>
      <c r="L30" s="435"/>
      <c r="P30" s="443"/>
      <c r="T30" s="141"/>
    </row>
    <row r="31" spans="2:21" s="34" customFormat="1" ht="14" thickBot="1">
      <c r="B31" s="110">
        <v>13</v>
      </c>
      <c r="D31" s="34" t="s">
        <v>97</v>
      </c>
      <c r="F31" s="441">
        <f>SUM(F13:F30)</f>
        <v>114229324.67864679</v>
      </c>
      <c r="N31" s="121">
        <f>+P31-F31</f>
        <v>-30337019.140640631</v>
      </c>
      <c r="P31" s="441">
        <f>SUM(P13:P30)</f>
        <v>83892305.538006157</v>
      </c>
      <c r="U31" s="78"/>
    </row>
    <row r="32" spans="2:21" s="34" customFormat="1" ht="14" thickBot="1">
      <c r="B32" s="110"/>
      <c r="F32" s="441"/>
      <c r="N32" s="442"/>
      <c r="P32" s="441"/>
      <c r="U32" s="78"/>
    </row>
    <row r="33" spans="2:21" s="34" customFormat="1" ht="14" thickBot="1">
      <c r="B33" s="110">
        <v>14</v>
      </c>
      <c r="D33" s="34" t="s">
        <v>613</v>
      </c>
      <c r="F33" s="434">
        <v>13197915</v>
      </c>
      <c r="N33" s="121">
        <f>-F33</f>
        <v>-13197915</v>
      </c>
      <c r="P33" s="434">
        <f>+F33+N33</f>
        <v>0</v>
      </c>
      <c r="U33" s="78"/>
    </row>
    <row r="34" spans="2:21" s="34" customFormat="1">
      <c r="B34" s="110"/>
      <c r="D34" s="53"/>
      <c r="F34" s="441"/>
      <c r="P34" s="441"/>
    </row>
    <row r="35" spans="2:21" s="34" customFormat="1" ht="14" thickBot="1">
      <c r="B35" s="110">
        <v>15</v>
      </c>
      <c r="D35" s="11" t="s">
        <v>66</v>
      </c>
      <c r="E35" s="11"/>
      <c r="F35" s="122">
        <f>+F31+F33</f>
        <v>127427239.67864679</v>
      </c>
      <c r="G35" s="11"/>
      <c r="H35" s="11"/>
      <c r="I35" s="11"/>
      <c r="J35" s="11"/>
      <c r="K35" s="11"/>
      <c r="L35" s="11"/>
      <c r="M35" s="11"/>
      <c r="N35" s="122">
        <f>+P35-F35</f>
        <v>-43534934.140640631</v>
      </c>
      <c r="O35" s="11"/>
      <c r="P35" s="122">
        <f>+P31+P33</f>
        <v>83892305.538006157</v>
      </c>
    </row>
    <row r="36" spans="2:21" s="34" customFormat="1" ht="14" thickTop="1">
      <c r="B36" s="110"/>
      <c r="D36" s="53"/>
      <c r="F36" s="119"/>
    </row>
    <row r="37" spans="2:21" s="34" customFormat="1"/>
    <row r="38" spans="2:21" s="34" customFormat="1">
      <c r="B38" s="108" t="s">
        <v>79</v>
      </c>
      <c r="C38" s="112"/>
      <c r="D38" s="112"/>
      <c r="E38" s="112"/>
      <c r="F38" s="123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2:21" s="34" customFormat="1">
      <c r="B39" s="63" t="s">
        <v>614</v>
      </c>
    </row>
    <row r="40" spans="2:21" s="34" customFormat="1">
      <c r="B40" s="63" t="s">
        <v>591</v>
      </c>
    </row>
    <row r="41" spans="2:21" s="34" customFormat="1">
      <c r="B41" s="63" t="s">
        <v>592</v>
      </c>
    </row>
    <row r="42" spans="2:21" s="34" customFormat="1">
      <c r="B42" s="63" t="s">
        <v>588</v>
      </c>
    </row>
    <row r="43" spans="2:21" s="34" customFormat="1">
      <c r="B43" s="63" t="s">
        <v>589</v>
      </c>
    </row>
    <row r="44" spans="2:21" s="34" customFormat="1">
      <c r="B44" s="63"/>
    </row>
    <row r="45" spans="2:21" s="34" customFormat="1">
      <c r="B45" s="63"/>
      <c r="D45" s="184" t="s">
        <v>91</v>
      </c>
    </row>
    <row r="46" spans="2:21" s="34" customFormat="1">
      <c r="B46" s="63"/>
      <c r="D46" s="32"/>
      <c r="E46" s="32"/>
      <c r="F46" s="124" t="s">
        <v>72</v>
      </c>
      <c r="G46" s="125"/>
      <c r="H46" s="124" t="s">
        <v>70</v>
      </c>
      <c r="I46" s="125"/>
      <c r="J46" s="195" t="s">
        <v>71</v>
      </c>
    </row>
    <row r="47" spans="2:21" s="34" customFormat="1">
      <c r="B47" s="63"/>
      <c r="D47" s="75" t="s">
        <v>82</v>
      </c>
      <c r="E47" s="32"/>
      <c r="F47" s="126">
        <f>+'Sch 3'!BA47</f>
        <v>3721347</v>
      </c>
      <c r="G47" s="125"/>
      <c r="H47" s="156">
        <f>+'Sch 3'!BC47</f>
        <v>4005906</v>
      </c>
      <c r="I47" s="125"/>
      <c r="J47" s="196">
        <f>+H47-F47</f>
        <v>284559</v>
      </c>
      <c r="L47" s="34" t="s">
        <v>112</v>
      </c>
    </row>
    <row r="48" spans="2:21" s="34" customFormat="1">
      <c r="B48" s="63"/>
      <c r="D48" s="32"/>
      <c r="E48" s="32"/>
      <c r="F48" s="32"/>
      <c r="G48" s="32"/>
      <c r="H48" s="90" t="s">
        <v>81</v>
      </c>
      <c r="I48" s="127"/>
      <c r="J48" s="128">
        <f>+'3.18 Int Sychn'!H28</f>
        <v>284559</v>
      </c>
    </row>
    <row r="49" spans="2:16" s="34" customFormat="1">
      <c r="B49" s="110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2:16" s="34" customFormat="1">
      <c r="B50" s="110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2:16" s="34" customFormat="1">
      <c r="B51" s="110"/>
      <c r="D51" s="253" t="s">
        <v>81</v>
      </c>
      <c r="E51" s="397"/>
      <c r="F51" s="398">
        <f>+'Sch 1.1'!F20</f>
        <v>114229325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2:16" s="34" customFormat="1">
      <c r="B52" s="110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2:16" s="34" customFormat="1">
      <c r="B53" s="110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2:16" s="34" customFormat="1">
      <c r="B54" s="110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2:16" s="34" customFormat="1">
      <c r="B55" s="110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2:16" s="34" customFormat="1">
      <c r="B56" s="110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2:16" s="34" customFormat="1">
      <c r="B57" s="110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2:16" s="34" customFormat="1"/>
    <row r="59" spans="2:16" s="34" customFormat="1"/>
    <row r="60" spans="2:16" s="34" customFormat="1"/>
  </sheetData>
  <mergeCells count="1">
    <mergeCell ref="B1:P1"/>
  </mergeCells>
  <phoneticPr fontId="4" type="noConversion"/>
  <printOptions horizontalCentered="1"/>
  <pageMargins left="0.75" right="0.75" top="1" bottom="1" header="0.5" footer="0.5"/>
  <pageSetup scale="6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D8CFA-7B3D-B14D-894E-75E9FEC6289A}">
  <sheetPr>
    <pageSetUpPr fitToPage="1"/>
  </sheetPr>
  <dimension ref="B1:AL85"/>
  <sheetViews>
    <sheetView topLeftCell="D1" workbookViewId="0">
      <selection activeCell="AL7" sqref="AL7"/>
    </sheetView>
  </sheetViews>
  <sheetFormatPr baseColWidth="10" defaultColWidth="8.83203125" defaultRowHeight="13"/>
  <cols>
    <col min="1" max="1" width="2.83203125" style="32" customWidth="1"/>
    <col min="2" max="2" width="5.6640625" style="32" customWidth="1"/>
    <col min="3" max="3" width="1.33203125" style="32" customWidth="1"/>
    <col min="4" max="4" width="39.83203125" style="32" bestFit="1" customWidth="1"/>
    <col min="5" max="5" width="1.33203125" style="32" customWidth="1"/>
    <col min="6" max="6" width="14.33203125" style="32" customWidth="1"/>
    <col min="7" max="7" width="1.33203125" style="32" customWidth="1"/>
    <col min="8" max="8" width="14" style="32" customWidth="1"/>
    <col min="9" max="9" width="1.33203125" style="32" customWidth="1"/>
    <col min="10" max="10" width="15.83203125" style="32" customWidth="1"/>
    <col min="11" max="11" width="1.33203125" style="32" customWidth="1"/>
    <col min="12" max="12" width="12.6640625" style="32" customWidth="1"/>
    <col min="13" max="13" width="1.33203125" style="32" customWidth="1"/>
    <col min="14" max="14" width="11.33203125" style="32" bestFit="1" customWidth="1"/>
    <col min="15" max="15" width="1.33203125" style="32" customWidth="1"/>
    <col min="16" max="16" width="12.33203125" style="32" customWidth="1"/>
    <col min="17" max="17" width="1.33203125" style="32" customWidth="1"/>
    <col min="18" max="18" width="10.83203125" style="32" customWidth="1"/>
    <col min="19" max="19" width="1.33203125" style="32" customWidth="1"/>
    <col min="20" max="20" width="14.5" style="32" customWidth="1"/>
    <col min="21" max="21" width="3" style="32" customWidth="1"/>
    <col min="22" max="22" width="14.6640625" style="32" bestFit="1" customWidth="1"/>
    <col min="23" max="23" width="1.33203125" style="32" customWidth="1"/>
    <col min="24" max="24" width="9.1640625" style="32" bestFit="1" customWidth="1"/>
    <col min="25" max="25" width="1.33203125" style="32" customWidth="1"/>
    <col min="26" max="26" width="14.6640625" style="32" bestFit="1" customWidth="1"/>
    <col min="27" max="27" width="1.33203125" style="32" customWidth="1"/>
    <col min="28" max="28" width="9.6640625" style="32" bestFit="1" customWidth="1"/>
    <col min="29" max="29" width="1.33203125" style="32" customWidth="1"/>
    <col min="30" max="30" width="8.83203125" style="32"/>
    <col min="31" max="31" width="1.33203125" style="32" customWidth="1"/>
    <col min="32" max="32" width="8.6640625" style="32" bestFit="1" customWidth="1"/>
    <col min="33" max="33" width="1.33203125" style="32" customWidth="1"/>
    <col min="34" max="34" width="9.5" style="32" customWidth="1"/>
    <col min="35" max="35" width="1.33203125" style="32" customWidth="1"/>
    <col min="36" max="36" width="14" style="32" bestFit="1" customWidth="1"/>
    <col min="37" max="37" width="1.33203125" style="32" customWidth="1"/>
    <col min="38" max="38" width="13.83203125" style="32" customWidth="1"/>
    <col min="39" max="16384" width="8.83203125" style="32"/>
  </cols>
  <sheetData>
    <row r="1" spans="2:38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23"/>
      <c r="N1" s="23"/>
    </row>
    <row r="2" spans="2:38" ht="16">
      <c r="B2" s="159"/>
    </row>
    <row r="3" spans="2:38">
      <c r="B3" s="11" t="str">
        <f>+'Sch 1.1'!B3</f>
        <v>Kentucky Public Service Commission</v>
      </c>
    </row>
    <row r="4" spans="2:38">
      <c r="AL4" s="183" t="str">
        <f>+'Sch 1.1'!J3</f>
        <v>Case No. 2018-00295</v>
      </c>
    </row>
    <row r="5" spans="2:38">
      <c r="B5" s="84" t="str">
        <f>+'Sch 1.1'!B5</f>
        <v>Louisville Gas and Electric Company–Electric</v>
      </c>
      <c r="AL5" s="35" t="s">
        <v>333</v>
      </c>
    </row>
    <row r="6" spans="2:38">
      <c r="B6" s="11" t="s">
        <v>47</v>
      </c>
      <c r="AL6" s="184"/>
    </row>
    <row r="7" spans="2:38">
      <c r="B7" s="26" t="s">
        <v>355</v>
      </c>
    </row>
    <row r="8" spans="2:38">
      <c r="B8" s="26"/>
    </row>
    <row r="9" spans="2:38" ht="14" thickBot="1">
      <c r="B9" s="26"/>
      <c r="F9" s="446" t="s">
        <v>564</v>
      </c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V9" s="446" t="s">
        <v>25</v>
      </c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</row>
    <row r="10" spans="2:38" s="34" customFormat="1" ht="45" customHeight="1" thickBot="1">
      <c r="B10" s="395" t="s">
        <v>18</v>
      </c>
      <c r="C10" s="360"/>
      <c r="D10" s="395" t="s">
        <v>17</v>
      </c>
      <c r="E10" s="396"/>
      <c r="F10" s="395" t="s">
        <v>255</v>
      </c>
      <c r="G10" s="396"/>
      <c r="H10" s="395" t="s">
        <v>256</v>
      </c>
      <c r="I10" s="396"/>
      <c r="J10" s="395" t="s">
        <v>257</v>
      </c>
      <c r="K10" s="396"/>
      <c r="L10" s="395" t="s">
        <v>258</v>
      </c>
      <c r="M10" s="396"/>
      <c r="N10" s="395" t="s">
        <v>259</v>
      </c>
      <c r="O10" s="396"/>
      <c r="P10" s="395" t="s">
        <v>260</v>
      </c>
      <c r="Q10" s="396"/>
      <c r="R10" s="395" t="s">
        <v>261</v>
      </c>
      <c r="S10" s="396"/>
      <c r="T10" s="395" t="s">
        <v>262</v>
      </c>
      <c r="V10" s="395" t="s">
        <v>255</v>
      </c>
      <c r="W10" s="396"/>
      <c r="X10" s="395" t="s">
        <v>256</v>
      </c>
      <c r="Y10" s="396"/>
      <c r="Z10" s="395" t="s">
        <v>257</v>
      </c>
      <c r="AA10" s="396"/>
      <c r="AB10" s="395" t="s">
        <v>258</v>
      </c>
      <c r="AC10" s="396"/>
      <c r="AD10" s="395" t="s">
        <v>259</v>
      </c>
      <c r="AE10" s="396"/>
      <c r="AF10" s="395" t="s">
        <v>260</v>
      </c>
      <c r="AG10" s="396"/>
      <c r="AH10" s="395" t="s">
        <v>261</v>
      </c>
      <c r="AI10" s="396"/>
      <c r="AJ10" s="395" t="s">
        <v>262</v>
      </c>
      <c r="AL10" s="395" t="s">
        <v>20</v>
      </c>
    </row>
    <row r="11" spans="2:38" s="34" customFormat="1">
      <c r="B11" s="326"/>
      <c r="D11" s="327" t="s">
        <v>263</v>
      </c>
      <c r="E11" s="328"/>
      <c r="F11" s="328"/>
      <c r="G11" s="328"/>
      <c r="H11" s="329"/>
      <c r="I11" s="329"/>
      <c r="J11" s="328"/>
      <c r="K11" s="328"/>
      <c r="L11" s="328"/>
      <c r="M11" s="328"/>
      <c r="N11" s="328"/>
      <c r="O11" s="328"/>
      <c r="P11" s="330"/>
      <c r="Q11" s="330"/>
      <c r="R11" s="328"/>
      <c r="S11" s="328"/>
      <c r="T11" s="328"/>
      <c r="V11" s="328"/>
      <c r="W11" s="328"/>
      <c r="X11" s="329"/>
      <c r="Y11" s="329"/>
      <c r="Z11" s="328"/>
      <c r="AA11" s="328"/>
      <c r="AB11" s="328"/>
      <c r="AC11" s="328"/>
      <c r="AD11" s="328"/>
      <c r="AE11" s="328"/>
      <c r="AF11" s="330"/>
      <c r="AG11" s="330"/>
      <c r="AH11" s="328"/>
      <c r="AI11" s="328"/>
      <c r="AJ11" s="328"/>
    </row>
    <row r="12" spans="2:38" s="34" customFormat="1">
      <c r="B12" s="326">
        <v>1</v>
      </c>
      <c r="D12" s="331" t="s">
        <v>264</v>
      </c>
      <c r="E12" s="333"/>
      <c r="F12" s="332">
        <v>245108928.73031506</v>
      </c>
      <c r="G12" s="333"/>
      <c r="H12" s="334">
        <v>1</v>
      </c>
      <c r="I12" s="335"/>
      <c r="J12" s="332">
        <f t="shared" ref="J12:J26" si="0">F12*H12</f>
        <v>245108928.73031506</v>
      </c>
      <c r="K12" s="336"/>
      <c r="L12" s="336">
        <f>J12/366</f>
        <v>669696.52658556029</v>
      </c>
      <c r="M12" s="328"/>
      <c r="N12" s="330">
        <v>43.648333333333333</v>
      </c>
      <c r="O12" s="330"/>
      <c r="P12" s="330">
        <v>-24.36</v>
      </c>
      <c r="Q12" s="330"/>
      <c r="R12" s="330">
        <f>N12+P12</f>
        <v>19.288333333333334</v>
      </c>
      <c r="S12" s="330"/>
      <c r="T12" s="336">
        <f>L12*R12</f>
        <v>12917329.836957816</v>
      </c>
      <c r="V12" s="332">
        <v>245108928.73031506</v>
      </c>
      <c r="W12" s="333"/>
      <c r="X12" s="334">
        <v>1</v>
      </c>
      <c r="Y12" s="335"/>
      <c r="Z12" s="332">
        <f t="shared" ref="Z12:Z26" si="1">V12*X12</f>
        <v>245108928.73031506</v>
      </c>
      <c r="AA12" s="336"/>
      <c r="AB12" s="336">
        <f>Z12/366</f>
        <v>669696.52658556029</v>
      </c>
      <c r="AC12" s="328"/>
      <c r="AD12" s="330">
        <v>43.648333333333333</v>
      </c>
      <c r="AE12" s="330"/>
      <c r="AF12" s="330">
        <v>-24.36</v>
      </c>
      <c r="AG12" s="330"/>
      <c r="AH12" s="330">
        <f>AD12+AF12</f>
        <v>19.288333333333334</v>
      </c>
      <c r="AI12" s="330"/>
      <c r="AJ12" s="336">
        <f>AB12*AH12</f>
        <v>12917329.836957816</v>
      </c>
    </row>
    <row r="13" spans="2:38" s="34" customFormat="1">
      <c r="B13" s="326">
        <f>B12+1</f>
        <v>2</v>
      </c>
      <c r="D13" s="331" t="s">
        <v>265</v>
      </c>
      <c r="E13" s="333"/>
      <c r="F13" s="332">
        <v>52691799.684963174</v>
      </c>
      <c r="G13" s="333"/>
      <c r="H13" s="334">
        <v>1</v>
      </c>
      <c r="I13" s="335"/>
      <c r="J13" s="332">
        <f t="shared" si="0"/>
        <v>52691799.684963174</v>
      </c>
      <c r="K13" s="336"/>
      <c r="L13" s="336">
        <f t="shared" ref="L13:L26" si="2">J13/366</f>
        <v>143966.66580591031</v>
      </c>
      <c r="M13" s="328"/>
      <c r="N13" s="330">
        <v>43.648333333333333</v>
      </c>
      <c r="O13" s="330"/>
      <c r="P13" s="330">
        <v>-38.99</v>
      </c>
      <c r="Q13" s="330"/>
      <c r="R13" s="330">
        <f t="shared" ref="R13:R26" si="3">N13+P13</f>
        <v>4.6583333333333314</v>
      </c>
      <c r="S13" s="330"/>
      <c r="T13" s="336">
        <f t="shared" ref="T13:T26" si="4">L13*R13</f>
        <v>670644.71821253188</v>
      </c>
      <c r="V13" s="332">
        <v>52691799.684963174</v>
      </c>
      <c r="W13" s="333"/>
      <c r="X13" s="334">
        <v>1</v>
      </c>
      <c r="Y13" s="335"/>
      <c r="Z13" s="332">
        <f t="shared" si="1"/>
        <v>52691799.684963174</v>
      </c>
      <c r="AA13" s="336"/>
      <c r="AB13" s="336">
        <f t="shared" ref="AB13:AB26" si="5">Z13/366</f>
        <v>143966.66580591031</v>
      </c>
      <c r="AC13" s="328"/>
      <c r="AD13" s="330">
        <v>43.648333333333333</v>
      </c>
      <c r="AE13" s="330"/>
      <c r="AF13" s="330">
        <v>-38.99</v>
      </c>
      <c r="AG13" s="330"/>
      <c r="AH13" s="330">
        <f t="shared" ref="AH13:AH26" si="6">AD13+AF13</f>
        <v>4.6583333333333314</v>
      </c>
      <c r="AI13" s="330"/>
      <c r="AJ13" s="336">
        <f t="shared" ref="AJ13:AJ26" si="7">AB13*AH13</f>
        <v>670644.71821253188</v>
      </c>
    </row>
    <row r="14" spans="2:38" s="34" customFormat="1">
      <c r="B14" s="326">
        <f>B13+1</f>
        <v>3</v>
      </c>
      <c r="D14" s="331" t="s">
        <v>266</v>
      </c>
      <c r="E14" s="333"/>
      <c r="F14" s="332">
        <v>0</v>
      </c>
      <c r="G14" s="333"/>
      <c r="H14" s="334">
        <v>1</v>
      </c>
      <c r="I14" s="335"/>
      <c r="J14" s="332">
        <f t="shared" si="0"/>
        <v>0</v>
      </c>
      <c r="K14" s="336"/>
      <c r="L14" s="336">
        <f t="shared" si="2"/>
        <v>0</v>
      </c>
      <c r="M14" s="328"/>
      <c r="N14" s="330">
        <v>43.648333333333333</v>
      </c>
      <c r="O14" s="330"/>
      <c r="P14" s="330">
        <v>-8.4</v>
      </c>
      <c r="Q14" s="330"/>
      <c r="R14" s="330">
        <f t="shared" si="3"/>
        <v>35.248333333333335</v>
      </c>
      <c r="S14" s="330"/>
      <c r="T14" s="336">
        <f t="shared" si="4"/>
        <v>0</v>
      </c>
      <c r="V14" s="332">
        <v>0</v>
      </c>
      <c r="W14" s="333"/>
      <c r="X14" s="334">
        <v>1</v>
      </c>
      <c r="Y14" s="335"/>
      <c r="Z14" s="332">
        <f t="shared" si="1"/>
        <v>0</v>
      </c>
      <c r="AA14" s="336"/>
      <c r="AB14" s="336">
        <f t="shared" si="5"/>
        <v>0</v>
      </c>
      <c r="AC14" s="328"/>
      <c r="AD14" s="330">
        <v>43.648333333333333</v>
      </c>
      <c r="AE14" s="330"/>
      <c r="AF14" s="330">
        <v>-8.4</v>
      </c>
      <c r="AG14" s="330"/>
      <c r="AH14" s="330">
        <f t="shared" si="6"/>
        <v>35.248333333333335</v>
      </c>
      <c r="AI14" s="330"/>
      <c r="AJ14" s="336">
        <f t="shared" si="7"/>
        <v>0</v>
      </c>
    </row>
    <row r="15" spans="2:38" s="34" customFormat="1">
      <c r="B15" s="326">
        <f>B14+1</f>
        <v>4</v>
      </c>
      <c r="D15" s="331" t="s">
        <v>267</v>
      </c>
      <c r="E15" s="333"/>
      <c r="F15" s="332">
        <v>6709117</v>
      </c>
      <c r="G15" s="333"/>
      <c r="H15" s="334">
        <v>1</v>
      </c>
      <c r="I15" s="335"/>
      <c r="J15" s="332">
        <f t="shared" si="0"/>
        <v>6709117</v>
      </c>
      <c r="K15" s="336"/>
      <c r="L15" s="336">
        <f t="shared" si="2"/>
        <v>18330.920765027324</v>
      </c>
      <c r="M15" s="328"/>
      <c r="N15" s="330">
        <v>43.648333333333333</v>
      </c>
      <c r="O15" s="330"/>
      <c r="P15" s="330">
        <v>-26.87</v>
      </c>
      <c r="Q15" s="330"/>
      <c r="R15" s="330">
        <f t="shared" si="3"/>
        <v>16.778333333333332</v>
      </c>
      <c r="S15" s="330"/>
      <c r="T15" s="336">
        <f t="shared" si="4"/>
        <v>307562.29890255007</v>
      </c>
      <c r="V15" s="332">
        <v>6709117</v>
      </c>
      <c r="W15" s="333"/>
      <c r="X15" s="334">
        <v>1</v>
      </c>
      <c r="Y15" s="335"/>
      <c r="Z15" s="332">
        <f t="shared" si="1"/>
        <v>6709117</v>
      </c>
      <c r="AA15" s="336"/>
      <c r="AB15" s="336">
        <f t="shared" si="5"/>
        <v>18330.920765027324</v>
      </c>
      <c r="AC15" s="328"/>
      <c r="AD15" s="330">
        <v>43.648333333333333</v>
      </c>
      <c r="AE15" s="330"/>
      <c r="AF15" s="330">
        <v>-26.87</v>
      </c>
      <c r="AG15" s="330"/>
      <c r="AH15" s="330">
        <f t="shared" si="6"/>
        <v>16.778333333333332</v>
      </c>
      <c r="AI15" s="330"/>
      <c r="AJ15" s="336">
        <f t="shared" si="7"/>
        <v>307562.29890255007</v>
      </c>
    </row>
    <row r="16" spans="2:38" s="34" customFormat="1">
      <c r="B16" s="326">
        <f>B15+1</f>
        <v>5</v>
      </c>
      <c r="D16" s="331" t="s">
        <v>268</v>
      </c>
      <c r="E16" s="333"/>
      <c r="F16" s="337">
        <v>49827806.296580851</v>
      </c>
      <c r="G16" s="333"/>
      <c r="H16" s="334">
        <v>1</v>
      </c>
      <c r="I16" s="335"/>
      <c r="J16" s="337">
        <f t="shared" si="0"/>
        <v>49827806.296580851</v>
      </c>
      <c r="K16" s="336"/>
      <c r="L16" s="336">
        <f t="shared" si="2"/>
        <v>136141.54725841762</v>
      </c>
      <c r="M16" s="328"/>
      <c r="N16" s="330">
        <v>43.648333333333333</v>
      </c>
      <c r="O16" s="330"/>
      <c r="P16" s="330">
        <v>-28.368832853281493</v>
      </c>
      <c r="Q16" s="330"/>
      <c r="R16" s="330">
        <f t="shared" si="3"/>
        <v>15.279500480051841</v>
      </c>
      <c r="S16" s="330"/>
      <c r="T16" s="336">
        <f t="shared" si="4"/>
        <v>2080174.8366899923</v>
      </c>
      <c r="V16" s="337">
        <v>49827806.296580851</v>
      </c>
      <c r="W16" s="333"/>
      <c r="X16" s="334">
        <v>1</v>
      </c>
      <c r="Y16" s="335"/>
      <c r="Z16" s="337">
        <f t="shared" si="1"/>
        <v>49827806.296580851</v>
      </c>
      <c r="AA16" s="336"/>
      <c r="AB16" s="336">
        <f t="shared" si="5"/>
        <v>136141.54725841762</v>
      </c>
      <c r="AC16" s="328"/>
      <c r="AD16" s="330">
        <v>43.648333333333333</v>
      </c>
      <c r="AE16" s="330"/>
      <c r="AF16" s="330">
        <v>-28.368832853281493</v>
      </c>
      <c r="AG16" s="330"/>
      <c r="AH16" s="330">
        <f t="shared" si="6"/>
        <v>15.279500480051841</v>
      </c>
      <c r="AI16" s="330"/>
      <c r="AJ16" s="336">
        <f t="shared" si="7"/>
        <v>2080174.8366899923</v>
      </c>
    </row>
    <row r="17" spans="2:36" s="34" customFormat="1" ht="14" thickBot="1">
      <c r="B17" s="326">
        <f>B16+1</f>
        <v>6</v>
      </c>
      <c r="D17" s="331" t="s">
        <v>269</v>
      </c>
      <c r="E17" s="333"/>
      <c r="F17" s="332">
        <v>32280443.82</v>
      </c>
      <c r="G17" s="333"/>
      <c r="H17" s="334">
        <v>1</v>
      </c>
      <c r="I17" s="335"/>
      <c r="J17" s="332">
        <f t="shared" si="0"/>
        <v>32280443.82</v>
      </c>
      <c r="K17" s="336"/>
      <c r="L17" s="336">
        <f t="shared" si="2"/>
        <v>88197.933934426226</v>
      </c>
      <c r="M17" s="328"/>
      <c r="N17" s="330">
        <v>43.648333333333333</v>
      </c>
      <c r="O17" s="330"/>
      <c r="P17" s="330">
        <v>-11.998650359254054</v>
      </c>
      <c r="Q17" s="330"/>
      <c r="R17" s="330">
        <f t="shared" si="3"/>
        <v>31.64968297407928</v>
      </c>
      <c r="S17" s="330"/>
      <c r="T17" s="336">
        <f t="shared" si="4"/>
        <v>2791436.6479933788</v>
      </c>
      <c r="V17" s="332">
        <v>32280443.82</v>
      </c>
      <c r="W17" s="333"/>
      <c r="X17" s="334">
        <v>1</v>
      </c>
      <c r="Y17" s="335"/>
      <c r="Z17" s="332">
        <f t="shared" si="1"/>
        <v>32280443.82</v>
      </c>
      <c r="AA17" s="336"/>
      <c r="AB17" s="336">
        <f t="shared" si="5"/>
        <v>88197.933934426226</v>
      </c>
      <c r="AC17" s="328"/>
      <c r="AD17" s="330">
        <v>43.648333333333333</v>
      </c>
      <c r="AE17" s="330"/>
      <c r="AF17" s="330">
        <v>-11.998650359254054</v>
      </c>
      <c r="AG17" s="330"/>
      <c r="AH17" s="330">
        <f t="shared" si="6"/>
        <v>31.64968297407928</v>
      </c>
      <c r="AI17" s="330"/>
      <c r="AJ17" s="336">
        <f t="shared" si="7"/>
        <v>2791436.6479933788</v>
      </c>
    </row>
    <row r="18" spans="2:36" s="34" customFormat="1" ht="14" thickBot="1">
      <c r="B18" s="326">
        <f t="shared" ref="B18:B24" si="8">B17+1</f>
        <v>7</v>
      </c>
      <c r="D18" s="331" t="s">
        <v>270</v>
      </c>
      <c r="E18" s="333"/>
      <c r="F18" s="332">
        <v>-798993</v>
      </c>
      <c r="G18" s="333"/>
      <c r="H18" s="334">
        <v>1</v>
      </c>
      <c r="I18" s="335"/>
      <c r="J18" s="332">
        <f t="shared" si="0"/>
        <v>-798993</v>
      </c>
      <c r="K18" s="336"/>
      <c r="L18" s="336">
        <f t="shared" si="2"/>
        <v>-2183.0409836065573</v>
      </c>
      <c r="M18" s="328"/>
      <c r="N18" s="330">
        <v>43.648333333333333</v>
      </c>
      <c r="O18" s="330"/>
      <c r="P18" s="330">
        <v>0</v>
      </c>
      <c r="Q18" s="330"/>
      <c r="R18" s="330">
        <f t="shared" si="3"/>
        <v>43.648333333333333</v>
      </c>
      <c r="S18" s="330"/>
      <c r="T18" s="336">
        <f t="shared" si="4"/>
        <v>-95286.100532786877</v>
      </c>
      <c r="V18" s="332">
        <v>-798993</v>
      </c>
      <c r="W18" s="333"/>
      <c r="X18" s="334">
        <v>1</v>
      </c>
      <c r="Y18" s="335"/>
      <c r="Z18" s="332">
        <f t="shared" si="1"/>
        <v>-798993</v>
      </c>
      <c r="AA18" s="336"/>
      <c r="AB18" s="336">
        <f t="shared" si="5"/>
        <v>-2183.0409836065573</v>
      </c>
      <c r="AC18" s="328"/>
      <c r="AD18" s="399"/>
      <c r="AE18" s="330"/>
      <c r="AF18" s="330">
        <v>0</v>
      </c>
      <c r="AG18" s="330"/>
      <c r="AH18" s="330">
        <f t="shared" si="6"/>
        <v>0</v>
      </c>
      <c r="AI18" s="330"/>
      <c r="AJ18" s="336">
        <f t="shared" si="7"/>
        <v>0</v>
      </c>
    </row>
    <row r="19" spans="2:36" s="34" customFormat="1" ht="14" thickBot="1">
      <c r="B19" s="326">
        <f t="shared" si="8"/>
        <v>8</v>
      </c>
      <c r="D19" s="331" t="s">
        <v>271</v>
      </c>
      <c r="E19" s="333"/>
      <c r="F19" s="332">
        <v>1476409</v>
      </c>
      <c r="G19" s="333"/>
      <c r="H19" s="334">
        <v>1</v>
      </c>
      <c r="I19" s="335"/>
      <c r="J19" s="332">
        <f t="shared" si="0"/>
        <v>1476409</v>
      </c>
      <c r="K19" s="336"/>
      <c r="L19" s="336">
        <f t="shared" si="2"/>
        <v>4033.9043715846997</v>
      </c>
      <c r="M19" s="328"/>
      <c r="N19" s="330">
        <v>43.648333333333333</v>
      </c>
      <c r="O19" s="330"/>
      <c r="P19" s="330">
        <v>0</v>
      </c>
      <c r="Q19" s="330"/>
      <c r="R19" s="330">
        <f t="shared" si="3"/>
        <v>43.648333333333333</v>
      </c>
      <c r="S19" s="330"/>
      <c r="T19" s="336">
        <f t="shared" si="4"/>
        <v>176073.20264571949</v>
      </c>
      <c r="V19" s="332">
        <v>1476409</v>
      </c>
      <c r="W19" s="333"/>
      <c r="X19" s="334">
        <v>1</v>
      </c>
      <c r="Y19" s="335"/>
      <c r="Z19" s="332">
        <f t="shared" si="1"/>
        <v>1476409</v>
      </c>
      <c r="AA19" s="336"/>
      <c r="AB19" s="336">
        <f t="shared" si="5"/>
        <v>4033.9043715846997</v>
      </c>
      <c r="AC19" s="328"/>
      <c r="AD19" s="399"/>
      <c r="AE19" s="330"/>
      <c r="AF19" s="330">
        <v>0</v>
      </c>
      <c r="AG19" s="330"/>
      <c r="AH19" s="330">
        <f t="shared" si="6"/>
        <v>0</v>
      </c>
      <c r="AI19" s="330"/>
      <c r="AJ19" s="336">
        <f t="shared" si="7"/>
        <v>0</v>
      </c>
    </row>
    <row r="20" spans="2:36" s="34" customFormat="1">
      <c r="B20" s="326">
        <f>B19+1</f>
        <v>9</v>
      </c>
      <c r="D20" s="331" t="s">
        <v>272</v>
      </c>
      <c r="E20" s="333"/>
      <c r="F20" s="332">
        <v>2780572.8258694001</v>
      </c>
      <c r="G20" s="333"/>
      <c r="H20" s="334">
        <v>1</v>
      </c>
      <c r="I20" s="335"/>
      <c r="J20" s="332">
        <f t="shared" si="0"/>
        <v>2780572.8258694001</v>
      </c>
      <c r="K20" s="336"/>
      <c r="L20" s="336">
        <f t="shared" si="2"/>
        <v>7597.1935133043717</v>
      </c>
      <c r="M20" s="328"/>
      <c r="N20" s="330">
        <v>43.648333333333333</v>
      </c>
      <c r="O20" s="330"/>
      <c r="P20" s="330">
        <v>-245.22</v>
      </c>
      <c r="Q20" s="330"/>
      <c r="R20" s="330">
        <f t="shared" si="3"/>
        <v>-201.57166666666666</v>
      </c>
      <c r="S20" s="330"/>
      <c r="T20" s="336">
        <f t="shared" si="4"/>
        <v>-1531378.958465951</v>
      </c>
      <c r="V20" s="332">
        <v>2780572.8258694001</v>
      </c>
      <c r="W20" s="333"/>
      <c r="X20" s="334">
        <v>1</v>
      </c>
      <c r="Y20" s="335"/>
      <c r="Z20" s="332">
        <f t="shared" si="1"/>
        <v>2780572.8258694001</v>
      </c>
      <c r="AA20" s="336"/>
      <c r="AB20" s="336">
        <f t="shared" si="5"/>
        <v>7597.1935133043717</v>
      </c>
      <c r="AC20" s="328"/>
      <c r="AD20" s="330">
        <v>43.648333333333333</v>
      </c>
      <c r="AE20" s="330"/>
      <c r="AF20" s="330">
        <v>-245.22</v>
      </c>
      <c r="AG20" s="330"/>
      <c r="AH20" s="330">
        <f t="shared" si="6"/>
        <v>-201.57166666666666</v>
      </c>
      <c r="AI20" s="330"/>
      <c r="AJ20" s="336">
        <f t="shared" si="7"/>
        <v>-1531378.958465951</v>
      </c>
    </row>
    <row r="21" spans="2:36" s="34" customFormat="1">
      <c r="B21" s="326">
        <f>B20+1</f>
        <v>10</v>
      </c>
      <c r="D21" s="331" t="s">
        <v>273</v>
      </c>
      <c r="E21" s="333"/>
      <c r="F21" s="332">
        <v>1513055.92</v>
      </c>
      <c r="G21" s="333"/>
      <c r="H21" s="334">
        <v>1</v>
      </c>
      <c r="I21" s="335"/>
      <c r="J21" s="332">
        <f t="shared" si="0"/>
        <v>1513055.92</v>
      </c>
      <c r="K21" s="336"/>
      <c r="L21" s="336">
        <f t="shared" si="2"/>
        <v>4134.0325683060109</v>
      </c>
      <c r="M21" s="328"/>
      <c r="N21" s="330">
        <v>43.648333333333333</v>
      </c>
      <c r="O21" s="330"/>
      <c r="P21" s="330">
        <v>-22.987677887868923</v>
      </c>
      <c r="Q21" s="330"/>
      <c r="R21" s="330">
        <f t="shared" si="3"/>
        <v>20.66065544546441</v>
      </c>
      <c r="S21" s="330"/>
      <c r="T21" s="336">
        <f t="shared" si="4"/>
        <v>85411.8224940988</v>
      </c>
      <c r="V21" s="332">
        <v>1513055.92</v>
      </c>
      <c r="W21" s="333"/>
      <c r="X21" s="334">
        <v>1</v>
      </c>
      <c r="Y21" s="335"/>
      <c r="Z21" s="332">
        <f t="shared" si="1"/>
        <v>1513055.92</v>
      </c>
      <c r="AA21" s="336"/>
      <c r="AB21" s="336">
        <f t="shared" si="5"/>
        <v>4134.0325683060109</v>
      </c>
      <c r="AC21" s="328"/>
      <c r="AD21" s="330">
        <v>43.648333333333333</v>
      </c>
      <c r="AE21" s="330"/>
      <c r="AF21" s="330">
        <v>-22.987677887868923</v>
      </c>
      <c r="AG21" s="330"/>
      <c r="AH21" s="330">
        <f t="shared" si="6"/>
        <v>20.66065544546441</v>
      </c>
      <c r="AI21" s="330"/>
      <c r="AJ21" s="336">
        <f t="shared" si="7"/>
        <v>85411.8224940988</v>
      </c>
    </row>
    <row r="22" spans="2:36" s="34" customFormat="1">
      <c r="B22" s="326">
        <f t="shared" si="8"/>
        <v>11</v>
      </c>
      <c r="D22" s="331" t="s">
        <v>274</v>
      </c>
      <c r="E22" s="333"/>
      <c r="F22" s="332">
        <v>707983.56</v>
      </c>
      <c r="G22" s="333"/>
      <c r="H22" s="334">
        <v>1</v>
      </c>
      <c r="I22" s="335"/>
      <c r="J22" s="332">
        <f t="shared" si="0"/>
        <v>707983.56</v>
      </c>
      <c r="K22" s="336"/>
      <c r="L22" s="336">
        <f t="shared" si="2"/>
        <v>1934.38131147541</v>
      </c>
      <c r="M22" s="328"/>
      <c r="N22" s="330">
        <v>43.648333333333333</v>
      </c>
      <c r="O22" s="330"/>
      <c r="P22" s="330">
        <v>-283.5</v>
      </c>
      <c r="Q22" s="330"/>
      <c r="R22" s="330">
        <f t="shared" si="3"/>
        <v>-239.85166666666666</v>
      </c>
      <c r="S22" s="330"/>
      <c r="T22" s="336">
        <f t="shared" si="4"/>
        <v>-463964.58152622957</v>
      </c>
      <c r="V22" s="332">
        <v>707983.56</v>
      </c>
      <c r="W22" s="333"/>
      <c r="X22" s="334">
        <v>1</v>
      </c>
      <c r="Y22" s="335"/>
      <c r="Z22" s="332">
        <f t="shared" si="1"/>
        <v>707983.56</v>
      </c>
      <c r="AA22" s="336"/>
      <c r="AB22" s="336">
        <f t="shared" si="5"/>
        <v>1934.38131147541</v>
      </c>
      <c r="AC22" s="328"/>
      <c r="AD22" s="330">
        <v>43.648333333333333</v>
      </c>
      <c r="AE22" s="330"/>
      <c r="AF22" s="330">
        <v>-283.5</v>
      </c>
      <c r="AG22" s="330"/>
      <c r="AH22" s="330">
        <f t="shared" si="6"/>
        <v>-239.85166666666666</v>
      </c>
      <c r="AI22" s="330"/>
      <c r="AJ22" s="336">
        <f t="shared" si="7"/>
        <v>-463964.58152622957</v>
      </c>
    </row>
    <row r="23" spans="2:36" s="34" customFormat="1">
      <c r="B23" s="326">
        <f t="shared" si="8"/>
        <v>12</v>
      </c>
      <c r="D23" s="331" t="s">
        <v>275</v>
      </c>
      <c r="E23" s="328"/>
      <c r="F23" s="337">
        <v>2034192.1499999959</v>
      </c>
      <c r="G23" s="328"/>
      <c r="H23" s="334">
        <v>1</v>
      </c>
      <c r="I23" s="335"/>
      <c r="J23" s="332">
        <f t="shared" si="0"/>
        <v>2034192.1499999959</v>
      </c>
      <c r="K23" s="336"/>
      <c r="L23" s="336">
        <f t="shared" si="2"/>
        <v>5557.9020491803167</v>
      </c>
      <c r="M23" s="328"/>
      <c r="N23" s="330">
        <v>43.648333333333333</v>
      </c>
      <c r="O23" s="330"/>
      <c r="P23" s="330">
        <v>-174.19512549656505</v>
      </c>
      <c r="Q23" s="330"/>
      <c r="R23" s="330">
        <f t="shared" si="3"/>
        <v>-130.54679216323171</v>
      </c>
      <c r="S23" s="330"/>
      <c r="T23" s="336">
        <f t="shared" si="4"/>
        <v>-725566.28367794247</v>
      </c>
      <c r="V23" s="337">
        <v>2034192.1499999959</v>
      </c>
      <c r="W23" s="328"/>
      <c r="X23" s="334">
        <v>1</v>
      </c>
      <c r="Y23" s="335"/>
      <c r="Z23" s="332">
        <f t="shared" si="1"/>
        <v>2034192.1499999959</v>
      </c>
      <c r="AA23" s="336"/>
      <c r="AB23" s="336">
        <f t="shared" si="5"/>
        <v>5557.9020491803167</v>
      </c>
      <c r="AC23" s="328"/>
      <c r="AD23" s="330">
        <v>43.648333333333333</v>
      </c>
      <c r="AE23" s="330"/>
      <c r="AF23" s="330">
        <v>-174.19512549656505</v>
      </c>
      <c r="AG23" s="330"/>
      <c r="AH23" s="330">
        <f t="shared" si="6"/>
        <v>-130.54679216323171</v>
      </c>
      <c r="AI23" s="330"/>
      <c r="AJ23" s="336">
        <f t="shared" si="7"/>
        <v>-725566.28367794247</v>
      </c>
    </row>
    <row r="24" spans="2:36" s="34" customFormat="1">
      <c r="B24" s="326">
        <f t="shared" si="8"/>
        <v>13</v>
      </c>
      <c r="D24" s="331" t="s">
        <v>276</v>
      </c>
      <c r="E24" s="328"/>
      <c r="F24" s="332">
        <v>3350132</v>
      </c>
      <c r="G24" s="328"/>
      <c r="H24" s="334">
        <v>1</v>
      </c>
      <c r="I24" s="335"/>
      <c r="J24" s="332">
        <f t="shared" si="0"/>
        <v>3350132</v>
      </c>
      <c r="K24" s="336"/>
      <c r="L24" s="336">
        <f t="shared" si="2"/>
        <v>9153.3661202185795</v>
      </c>
      <c r="M24" s="328"/>
      <c r="N24" s="330">
        <v>43.648333333333333</v>
      </c>
      <c r="O24" s="330"/>
      <c r="P24" s="330">
        <v>-35.319786065222083</v>
      </c>
      <c r="Q24" s="330"/>
      <c r="R24" s="330">
        <f t="shared" si="3"/>
        <v>8.3285472681112509</v>
      </c>
      <c r="S24" s="330"/>
      <c r="T24" s="336">
        <f t="shared" si="4"/>
        <v>76234.24239456853</v>
      </c>
      <c r="V24" s="332">
        <v>3350132</v>
      </c>
      <c r="W24" s="328"/>
      <c r="X24" s="334">
        <v>1</v>
      </c>
      <c r="Y24" s="335"/>
      <c r="Z24" s="332">
        <f t="shared" si="1"/>
        <v>3350132</v>
      </c>
      <c r="AA24" s="336"/>
      <c r="AB24" s="336">
        <f t="shared" si="5"/>
        <v>9153.3661202185795</v>
      </c>
      <c r="AC24" s="328"/>
      <c r="AD24" s="330">
        <v>43.648333333333333</v>
      </c>
      <c r="AE24" s="330"/>
      <c r="AF24" s="330">
        <v>-35.319786065222083</v>
      </c>
      <c r="AG24" s="330"/>
      <c r="AH24" s="330">
        <f t="shared" si="6"/>
        <v>8.3285472681112509</v>
      </c>
      <c r="AI24" s="330"/>
      <c r="AJ24" s="336">
        <f t="shared" si="7"/>
        <v>76234.24239456853</v>
      </c>
    </row>
    <row r="25" spans="2:36" s="34" customFormat="1" ht="14" thickBot="1">
      <c r="B25" s="326">
        <f>B24+1</f>
        <v>14</v>
      </c>
      <c r="D25" s="331" t="s">
        <v>277</v>
      </c>
      <c r="E25" s="328"/>
      <c r="F25" s="332">
        <v>102884505.51000001</v>
      </c>
      <c r="G25" s="328"/>
      <c r="H25" s="334">
        <v>1</v>
      </c>
      <c r="I25" s="335"/>
      <c r="J25" s="332">
        <f t="shared" si="0"/>
        <v>102884505.51000001</v>
      </c>
      <c r="K25" s="336"/>
      <c r="L25" s="336">
        <f t="shared" si="2"/>
        <v>281105.20631147543</v>
      </c>
      <c r="M25" s="328"/>
      <c r="N25" s="330">
        <v>43.648333333333333</v>
      </c>
      <c r="O25" s="330"/>
      <c r="P25" s="330">
        <v>-25.396703504316847</v>
      </c>
      <c r="Q25" s="330"/>
      <c r="R25" s="330">
        <f t="shared" si="3"/>
        <v>18.251629829016487</v>
      </c>
      <c r="S25" s="330"/>
      <c r="T25" s="336">
        <f t="shared" si="4"/>
        <v>5130628.1686063586</v>
      </c>
      <c r="V25" s="332">
        <v>102884505.51000001</v>
      </c>
      <c r="W25" s="328"/>
      <c r="X25" s="334">
        <v>1</v>
      </c>
      <c r="Y25" s="335"/>
      <c r="Z25" s="332">
        <f t="shared" si="1"/>
        <v>102884505.51000001</v>
      </c>
      <c r="AA25" s="336"/>
      <c r="AB25" s="336">
        <f t="shared" si="5"/>
        <v>281105.20631147543</v>
      </c>
      <c r="AC25" s="328"/>
      <c r="AD25" s="330">
        <v>43.648333333333333</v>
      </c>
      <c r="AE25" s="330"/>
      <c r="AF25" s="330">
        <v>-25.396703504316847</v>
      </c>
      <c r="AG25" s="330"/>
      <c r="AH25" s="330">
        <f t="shared" si="6"/>
        <v>18.251629829016487</v>
      </c>
      <c r="AI25" s="330"/>
      <c r="AJ25" s="336">
        <f t="shared" si="7"/>
        <v>5130628.1686063586</v>
      </c>
    </row>
    <row r="26" spans="2:36" s="34" customFormat="1" ht="14" thickBot="1">
      <c r="B26" s="326">
        <f>B25+1</f>
        <v>15</v>
      </c>
      <c r="D26" s="331" t="s">
        <v>278</v>
      </c>
      <c r="E26" s="339"/>
      <c r="F26" s="338">
        <v>134540323.6008209</v>
      </c>
      <c r="G26" s="339"/>
      <c r="H26" s="334">
        <v>1</v>
      </c>
      <c r="I26" s="335"/>
      <c r="J26" s="338">
        <f t="shared" si="0"/>
        <v>134540323.6008209</v>
      </c>
      <c r="K26" s="340"/>
      <c r="L26" s="336">
        <f t="shared" si="2"/>
        <v>367596.51257054892</v>
      </c>
      <c r="M26" s="328"/>
      <c r="N26" s="330">
        <v>43.648333333333333</v>
      </c>
      <c r="O26" s="330"/>
      <c r="P26" s="330">
        <v>-49.192482924426621</v>
      </c>
      <c r="Q26" s="330"/>
      <c r="R26" s="330">
        <f t="shared" si="3"/>
        <v>-5.5441495910932872</v>
      </c>
      <c r="S26" s="330"/>
      <c r="T26" s="341">
        <f t="shared" si="4"/>
        <v>-2038010.0548553271</v>
      </c>
      <c r="V26" s="338">
        <v>134540323.6008209</v>
      </c>
      <c r="W26" s="339"/>
      <c r="X26" s="334">
        <v>1</v>
      </c>
      <c r="Y26" s="335"/>
      <c r="Z26" s="338">
        <f t="shared" si="1"/>
        <v>134540323.6008209</v>
      </c>
      <c r="AA26" s="340"/>
      <c r="AB26" s="336">
        <f t="shared" si="5"/>
        <v>367596.51257054892</v>
      </c>
      <c r="AC26" s="328"/>
      <c r="AD26" s="330">
        <v>43.648333333333333</v>
      </c>
      <c r="AE26" s="330"/>
      <c r="AF26" s="399">
        <f>-'3.5.1 WP Other O&amp;M Lead'!Q395</f>
        <v>-53.578684443128665</v>
      </c>
      <c r="AG26" s="330"/>
      <c r="AH26" s="330">
        <f t="shared" si="6"/>
        <v>-9.9303511097953319</v>
      </c>
      <c r="AI26" s="330"/>
      <c r="AJ26" s="341">
        <f t="shared" si="7"/>
        <v>-3650362.4365618443</v>
      </c>
    </row>
    <row r="27" spans="2:36" s="34" customFormat="1">
      <c r="B27" s="326">
        <f>B26+1</f>
        <v>16</v>
      </c>
      <c r="D27" s="342" t="s">
        <v>279</v>
      </c>
      <c r="E27" s="343"/>
      <c r="F27" s="332">
        <f>SUM(F12:F26)</f>
        <v>635106277.09854937</v>
      </c>
      <c r="G27" s="343"/>
      <c r="H27" s="334"/>
      <c r="I27" s="335"/>
      <c r="J27" s="332">
        <f>SUM(J12:J26)</f>
        <v>635106277.09854937</v>
      </c>
      <c r="K27" s="336"/>
      <c r="L27" s="336"/>
      <c r="M27" s="328"/>
      <c r="N27" s="330"/>
      <c r="O27" s="330"/>
      <c r="P27" s="330"/>
      <c r="Q27" s="330"/>
      <c r="R27" s="330"/>
      <c r="S27" s="330"/>
      <c r="T27" s="336">
        <f>SUM(T12:T26)</f>
        <v>19381289.795838773</v>
      </c>
      <c r="V27" s="332">
        <f>SUM(V12:V26)</f>
        <v>635106277.09854937</v>
      </c>
      <c r="W27" s="343"/>
      <c r="X27" s="334"/>
      <c r="Y27" s="335"/>
      <c r="Z27" s="332">
        <f>SUM(Z12:Z26)</f>
        <v>635106277.09854937</v>
      </c>
      <c r="AA27" s="336"/>
      <c r="AB27" s="336"/>
      <c r="AC27" s="328"/>
      <c r="AD27" s="330"/>
      <c r="AE27" s="330"/>
      <c r="AF27" s="330"/>
      <c r="AG27" s="330"/>
      <c r="AH27" s="330"/>
      <c r="AI27" s="330"/>
      <c r="AJ27" s="336">
        <f>SUM(AJ12:AJ26)</f>
        <v>17688150.312019322</v>
      </c>
    </row>
    <row r="28" spans="2:36" s="34" customFormat="1">
      <c r="B28" s="326"/>
      <c r="D28" s="342"/>
      <c r="E28" s="343"/>
      <c r="F28" s="344"/>
      <c r="G28" s="343"/>
      <c r="H28" s="334"/>
      <c r="I28" s="335"/>
      <c r="J28" s="332"/>
      <c r="K28" s="328"/>
      <c r="L28" s="345"/>
      <c r="M28" s="328"/>
      <c r="N28" s="330"/>
      <c r="O28" s="330"/>
      <c r="P28" s="330"/>
      <c r="Q28" s="330"/>
      <c r="R28" s="330"/>
      <c r="S28" s="330"/>
      <c r="T28" s="328"/>
      <c r="V28" s="344"/>
      <c r="W28" s="343"/>
      <c r="X28" s="334"/>
      <c r="Y28" s="335"/>
      <c r="Z28" s="332"/>
      <c r="AA28" s="328"/>
      <c r="AB28" s="345"/>
      <c r="AC28" s="328"/>
      <c r="AD28" s="330"/>
      <c r="AE28" s="330"/>
      <c r="AF28" s="330"/>
      <c r="AG28" s="330"/>
      <c r="AH28" s="330"/>
      <c r="AI28" s="330"/>
      <c r="AJ28" s="328"/>
    </row>
    <row r="29" spans="2:36" s="34" customFormat="1" ht="14" thickBot="1">
      <c r="B29" s="326">
        <f>B27+1</f>
        <v>17</v>
      </c>
      <c r="D29" s="327" t="s">
        <v>280</v>
      </c>
      <c r="E29" s="328"/>
      <c r="F29" s="346"/>
      <c r="G29" s="328"/>
      <c r="H29" s="334"/>
      <c r="I29" s="335"/>
      <c r="J29" s="346"/>
      <c r="K29" s="328"/>
      <c r="L29" s="336"/>
      <c r="M29" s="328"/>
      <c r="N29" s="330"/>
      <c r="O29" s="330"/>
      <c r="P29" s="330"/>
      <c r="Q29" s="330"/>
      <c r="R29" s="330"/>
      <c r="S29" s="330"/>
      <c r="T29" s="336"/>
      <c r="V29" s="346"/>
      <c r="W29" s="328"/>
      <c r="X29" s="334"/>
      <c r="Y29" s="335"/>
      <c r="Z29" s="346"/>
      <c r="AA29" s="328"/>
      <c r="AB29" s="336"/>
      <c r="AC29" s="328"/>
      <c r="AD29" s="330"/>
      <c r="AE29" s="330"/>
      <c r="AF29" s="330"/>
      <c r="AG29" s="330"/>
      <c r="AH29" s="330"/>
      <c r="AI29" s="330"/>
      <c r="AJ29" s="336"/>
    </row>
    <row r="30" spans="2:36" s="34" customFormat="1" ht="14" thickBot="1">
      <c r="B30" s="326">
        <f>B29+1</f>
        <v>18</v>
      </c>
      <c r="D30" s="331" t="s">
        <v>147</v>
      </c>
      <c r="E30" s="328"/>
      <c r="F30" s="332">
        <v>221495054.5439004</v>
      </c>
      <c r="G30" s="328"/>
      <c r="H30" s="334">
        <v>1</v>
      </c>
      <c r="I30" s="335"/>
      <c r="J30" s="332">
        <f>F30*H30</f>
        <v>221495054.5439004</v>
      </c>
      <c r="K30" s="328"/>
      <c r="L30" s="336">
        <f>J30/366</f>
        <v>605177.74465546559</v>
      </c>
      <c r="M30" s="328"/>
      <c r="N30" s="330">
        <v>43.648333333333333</v>
      </c>
      <c r="O30" s="330"/>
      <c r="P30" s="330">
        <v>0</v>
      </c>
      <c r="Q30" s="330"/>
      <c r="R30" s="330">
        <f>N30+P30</f>
        <v>43.648333333333333</v>
      </c>
      <c r="S30" s="330"/>
      <c r="T30" s="336">
        <f>L30*R30</f>
        <v>26414999.924636647</v>
      </c>
      <c r="V30" s="332">
        <v>221495054.5439004</v>
      </c>
      <c r="W30" s="328"/>
      <c r="X30" s="334">
        <v>1</v>
      </c>
      <c r="Y30" s="335"/>
      <c r="Z30" s="332">
        <f>V30*X30</f>
        <v>221495054.5439004</v>
      </c>
      <c r="AA30" s="328"/>
      <c r="AB30" s="336">
        <f>Z30/366</f>
        <v>605177.74465546559</v>
      </c>
      <c r="AC30" s="328"/>
      <c r="AD30" s="399"/>
      <c r="AE30" s="330"/>
      <c r="AF30" s="330">
        <v>0</v>
      </c>
      <c r="AG30" s="330"/>
      <c r="AH30" s="330">
        <f>AD30+AF30</f>
        <v>0</v>
      </c>
      <c r="AI30" s="330"/>
      <c r="AJ30" s="336">
        <f>AB30*AH30</f>
        <v>0</v>
      </c>
    </row>
    <row r="31" spans="2:36" s="34" customFormat="1" ht="14" thickBot="1">
      <c r="B31" s="326">
        <f>B30+1</f>
        <v>19</v>
      </c>
      <c r="D31" s="331" t="s">
        <v>148</v>
      </c>
      <c r="E31" s="328"/>
      <c r="F31" s="332">
        <v>1546256.5516944402</v>
      </c>
      <c r="G31" s="328"/>
      <c r="H31" s="334">
        <v>1</v>
      </c>
      <c r="I31" s="335"/>
      <c r="J31" s="332">
        <f>F31*H31</f>
        <v>1546256.5516944402</v>
      </c>
      <c r="K31" s="328"/>
      <c r="L31" s="336">
        <f>J31/366</f>
        <v>4224.7446767607653</v>
      </c>
      <c r="M31" s="328"/>
      <c r="N31" s="330">
        <v>43.648333333333333</v>
      </c>
      <c r="O31" s="330"/>
      <c r="P31" s="330">
        <v>0</v>
      </c>
      <c r="Q31" s="330"/>
      <c r="R31" s="330">
        <f>N31+P31</f>
        <v>43.648333333333333</v>
      </c>
      <c r="S31" s="330"/>
      <c r="T31" s="336">
        <f>L31*R31</f>
        <v>184403.06389947946</v>
      </c>
      <c r="V31" s="332">
        <v>1546256.5516944402</v>
      </c>
      <c r="W31" s="328"/>
      <c r="X31" s="334">
        <v>1</v>
      </c>
      <c r="Y31" s="335"/>
      <c r="Z31" s="332">
        <f>V31*X31</f>
        <v>1546256.5516944402</v>
      </c>
      <c r="AA31" s="328"/>
      <c r="AB31" s="336">
        <f>Z31/366</f>
        <v>4224.7446767607653</v>
      </c>
      <c r="AC31" s="328"/>
      <c r="AD31" s="399"/>
      <c r="AE31" s="330"/>
      <c r="AF31" s="330">
        <v>0</v>
      </c>
      <c r="AG31" s="330"/>
      <c r="AH31" s="330">
        <f>AD31+AF31</f>
        <v>0</v>
      </c>
      <c r="AI31" s="330"/>
      <c r="AJ31" s="336">
        <f>AB31*AH31</f>
        <v>0</v>
      </c>
    </row>
    <row r="32" spans="2:36" s="34" customFormat="1" ht="14" thickBot="1">
      <c r="B32" s="326">
        <f>B31+1</f>
        <v>20</v>
      </c>
      <c r="D32" s="331" t="s">
        <v>281</v>
      </c>
      <c r="E32" s="328"/>
      <c r="F32" s="332">
        <v>6155772.0064040907</v>
      </c>
      <c r="G32" s="328"/>
      <c r="H32" s="334">
        <v>1</v>
      </c>
      <c r="I32" s="335"/>
      <c r="J32" s="332">
        <f>F32*H32</f>
        <v>6155772.0064040907</v>
      </c>
      <c r="K32" s="328"/>
      <c r="L32" s="336">
        <f>J32/366</f>
        <v>16819.049197825385</v>
      </c>
      <c r="M32" s="328"/>
      <c r="N32" s="330">
        <v>43.648333333333333</v>
      </c>
      <c r="O32" s="330"/>
      <c r="P32" s="330">
        <v>0</v>
      </c>
      <c r="Q32" s="330"/>
      <c r="R32" s="330">
        <f>N32+P32</f>
        <v>43.648333333333333</v>
      </c>
      <c r="S32" s="330"/>
      <c r="T32" s="336">
        <f>L32*R32</f>
        <v>734123.465736415</v>
      </c>
      <c r="V32" s="332">
        <v>6155772.0064040907</v>
      </c>
      <c r="W32" s="328"/>
      <c r="X32" s="334">
        <v>1</v>
      </c>
      <c r="Y32" s="335"/>
      <c r="Z32" s="332">
        <f>V32*X32</f>
        <v>6155772.0064040907</v>
      </c>
      <c r="AA32" s="328"/>
      <c r="AB32" s="336">
        <f>Z32/366</f>
        <v>16819.049197825385</v>
      </c>
      <c r="AC32" s="328"/>
      <c r="AD32" s="399"/>
      <c r="AE32" s="330"/>
      <c r="AF32" s="330">
        <v>0</v>
      </c>
      <c r="AG32" s="330"/>
      <c r="AH32" s="330">
        <f>AD32+AF32</f>
        <v>0</v>
      </c>
      <c r="AI32" s="330"/>
      <c r="AJ32" s="336">
        <f>AB32*AH32</f>
        <v>0</v>
      </c>
    </row>
    <row r="33" spans="2:36" s="34" customFormat="1" ht="14" thickBot="1">
      <c r="B33" s="326">
        <f>B32+1</f>
        <v>21</v>
      </c>
      <c r="D33" s="331" t="s">
        <v>282</v>
      </c>
      <c r="E33" s="328"/>
      <c r="F33" s="332">
        <v>-309697.07999999996</v>
      </c>
      <c r="G33" s="328"/>
      <c r="H33" s="334">
        <v>1</v>
      </c>
      <c r="I33" s="335"/>
      <c r="J33" s="332">
        <f>F33*H33</f>
        <v>-309697.07999999996</v>
      </c>
      <c r="K33" s="328"/>
      <c r="L33" s="336">
        <f>J33/366</f>
        <v>-846.16688524590154</v>
      </c>
      <c r="M33" s="328"/>
      <c r="N33" s="330">
        <v>43.648333333333333</v>
      </c>
      <c r="O33" s="330"/>
      <c r="P33" s="330">
        <v>0</v>
      </c>
      <c r="Q33" s="330"/>
      <c r="R33" s="330">
        <f>N33+P33</f>
        <v>43.648333333333333</v>
      </c>
      <c r="S33" s="330"/>
      <c r="T33" s="336">
        <f>L33*R33</f>
        <v>-36933.774262841529</v>
      </c>
      <c r="V33" s="332">
        <v>-309697.07999999996</v>
      </c>
      <c r="W33" s="328"/>
      <c r="X33" s="334">
        <v>1</v>
      </c>
      <c r="Y33" s="335"/>
      <c r="Z33" s="332">
        <f>V33*X33</f>
        <v>-309697.07999999996</v>
      </c>
      <c r="AA33" s="328"/>
      <c r="AB33" s="336">
        <f>Z33/366</f>
        <v>-846.16688524590154</v>
      </c>
      <c r="AC33" s="328"/>
      <c r="AD33" s="399"/>
      <c r="AE33" s="330"/>
      <c r="AF33" s="330">
        <v>0</v>
      </c>
      <c r="AG33" s="330"/>
      <c r="AH33" s="330">
        <f>AD33+AF33</f>
        <v>0</v>
      </c>
      <c r="AI33" s="330"/>
      <c r="AJ33" s="336">
        <f>AB33*AH33</f>
        <v>0</v>
      </c>
    </row>
    <row r="34" spans="2:36" s="34" customFormat="1">
      <c r="B34" s="326">
        <f>B33+1</f>
        <v>22</v>
      </c>
      <c r="D34" s="342" t="s">
        <v>283</v>
      </c>
      <c r="E34" s="343"/>
      <c r="F34" s="347">
        <f>SUM(F30:F33)</f>
        <v>228887386.02199894</v>
      </c>
      <c r="G34" s="343"/>
      <c r="H34" s="334"/>
      <c r="I34" s="335"/>
      <c r="J34" s="347">
        <f>SUM(J30:J33)</f>
        <v>228887386.02199894</v>
      </c>
      <c r="K34" s="336"/>
      <c r="L34" s="336"/>
      <c r="M34" s="328"/>
      <c r="N34" s="330"/>
      <c r="O34" s="330"/>
      <c r="P34" s="330"/>
      <c r="Q34" s="330"/>
      <c r="R34" s="330"/>
      <c r="S34" s="330"/>
      <c r="T34" s="347">
        <f>SUM(T30:T33)</f>
        <v>27296592.6800097</v>
      </c>
      <c r="V34" s="347">
        <f>SUM(V30:V33)</f>
        <v>228887386.02199894</v>
      </c>
      <c r="W34" s="343"/>
      <c r="X34" s="334"/>
      <c r="Y34" s="335"/>
      <c r="Z34" s="347">
        <f>SUM(Z30:Z33)</f>
        <v>228887386.02199894</v>
      </c>
      <c r="AA34" s="336"/>
      <c r="AB34" s="336"/>
      <c r="AC34" s="328"/>
      <c r="AD34" s="330"/>
      <c r="AE34" s="330"/>
      <c r="AF34" s="330"/>
      <c r="AG34" s="330"/>
      <c r="AH34" s="330"/>
      <c r="AI34" s="330"/>
      <c r="AJ34" s="347">
        <f>SUM(AJ30:AJ33)</f>
        <v>0</v>
      </c>
    </row>
    <row r="35" spans="2:36" s="34" customFormat="1">
      <c r="B35" s="326"/>
      <c r="D35" s="327"/>
      <c r="E35" s="328"/>
      <c r="F35" s="348"/>
      <c r="G35" s="328"/>
      <c r="H35" s="334"/>
      <c r="I35" s="335"/>
      <c r="J35" s="328"/>
      <c r="K35" s="328"/>
      <c r="L35" s="345"/>
      <c r="M35" s="328"/>
      <c r="N35" s="330"/>
      <c r="O35" s="330"/>
      <c r="P35" s="330"/>
      <c r="Q35" s="330"/>
      <c r="R35" s="330"/>
      <c r="S35" s="330"/>
      <c r="T35" s="328"/>
      <c r="V35" s="348"/>
      <c r="W35" s="328"/>
      <c r="X35" s="334"/>
      <c r="Y35" s="335"/>
      <c r="Z35" s="328"/>
      <c r="AA35" s="328"/>
      <c r="AB35" s="345"/>
      <c r="AC35" s="328"/>
      <c r="AD35" s="330"/>
      <c r="AE35" s="330"/>
      <c r="AF35" s="330"/>
      <c r="AG35" s="330"/>
      <c r="AH35" s="330"/>
      <c r="AI35" s="330"/>
      <c r="AJ35" s="328"/>
    </row>
    <row r="36" spans="2:36" s="34" customFormat="1">
      <c r="B36" s="326">
        <f>B34+1</f>
        <v>23</v>
      </c>
      <c r="D36" s="327" t="s">
        <v>284</v>
      </c>
      <c r="E36" s="328"/>
      <c r="F36" s="348"/>
      <c r="G36" s="328"/>
      <c r="H36" s="334"/>
      <c r="I36" s="335"/>
      <c r="J36" s="328"/>
      <c r="K36" s="328"/>
      <c r="L36" s="345"/>
      <c r="M36" s="328"/>
      <c r="N36" s="330"/>
      <c r="O36" s="330"/>
      <c r="P36" s="330"/>
      <c r="Q36" s="330"/>
      <c r="R36" s="330"/>
      <c r="S36" s="330"/>
      <c r="T36" s="328"/>
      <c r="V36" s="348"/>
      <c r="W36" s="328"/>
      <c r="X36" s="334"/>
      <c r="Y36" s="335"/>
      <c r="Z36" s="328"/>
      <c r="AA36" s="328"/>
      <c r="AB36" s="345"/>
      <c r="AC36" s="328"/>
      <c r="AD36" s="330"/>
      <c r="AE36" s="330"/>
      <c r="AF36" s="330"/>
      <c r="AG36" s="330"/>
      <c r="AH36" s="330"/>
      <c r="AI36" s="330"/>
      <c r="AJ36" s="328"/>
    </row>
    <row r="37" spans="2:36">
      <c r="B37" s="326">
        <f>B36+1</f>
        <v>24</v>
      </c>
      <c r="D37" s="331" t="s">
        <v>285</v>
      </c>
      <c r="E37" s="333"/>
      <c r="F37" s="332">
        <v>27404209.23</v>
      </c>
      <c r="G37" s="333"/>
      <c r="H37" s="334">
        <v>1</v>
      </c>
      <c r="I37" s="335"/>
      <c r="J37" s="332">
        <f>F37*H37</f>
        <v>27404209.23</v>
      </c>
      <c r="K37" s="336"/>
      <c r="L37" s="336">
        <f>J37/366</f>
        <v>74874.888606557375</v>
      </c>
      <c r="M37" s="328"/>
      <c r="N37" s="330">
        <v>43.648333333333333</v>
      </c>
      <c r="O37" s="330"/>
      <c r="P37" s="330">
        <v>-37.5</v>
      </c>
      <c r="Q37" s="330"/>
      <c r="R37" s="330">
        <f>N37+P37</f>
        <v>6.1483333333333334</v>
      </c>
      <c r="S37" s="330"/>
      <c r="T37" s="336">
        <f>L37*R37</f>
        <v>460355.77344931691</v>
      </c>
      <c r="V37" s="332">
        <v>27404209.23</v>
      </c>
      <c r="W37" s="333"/>
      <c r="X37" s="334">
        <v>1</v>
      </c>
      <c r="Y37" s="335"/>
      <c r="Z37" s="332">
        <f>V37*X37</f>
        <v>27404209.23</v>
      </c>
      <c r="AA37" s="336"/>
      <c r="AB37" s="336">
        <f>Z37/366</f>
        <v>74874.888606557375</v>
      </c>
      <c r="AC37" s="328"/>
      <c r="AD37" s="330">
        <v>43.648333333333333</v>
      </c>
      <c r="AE37" s="330"/>
      <c r="AF37" s="330">
        <v>-37.5</v>
      </c>
      <c r="AG37" s="330"/>
      <c r="AH37" s="330">
        <f>AD37+AF37</f>
        <v>6.1483333333333334</v>
      </c>
      <c r="AI37" s="330"/>
      <c r="AJ37" s="336">
        <f>AB37*AH37</f>
        <v>460355.77344931691</v>
      </c>
    </row>
    <row r="38" spans="2:36" ht="14" thickBot="1">
      <c r="B38" s="326">
        <f>B37+1</f>
        <v>25</v>
      </c>
      <c r="D38" s="331" t="s">
        <v>286</v>
      </c>
      <c r="E38" s="333"/>
      <c r="F38" s="332">
        <v>1743134.89</v>
      </c>
      <c r="G38" s="333"/>
      <c r="H38" s="334">
        <v>1</v>
      </c>
      <c r="I38" s="335"/>
      <c r="J38" s="332">
        <f>F38*H38</f>
        <v>1743134.89</v>
      </c>
      <c r="K38" s="336"/>
      <c r="L38" s="336">
        <f>J38/366</f>
        <v>4762.6636338797807</v>
      </c>
      <c r="M38" s="328"/>
      <c r="N38" s="330">
        <v>43.648333333333333</v>
      </c>
      <c r="O38" s="330"/>
      <c r="P38" s="330">
        <v>-37.5</v>
      </c>
      <c r="Q38" s="330"/>
      <c r="R38" s="330">
        <f>N38+P38</f>
        <v>6.1483333333333334</v>
      </c>
      <c r="S38" s="330"/>
      <c r="T38" s="336">
        <f>L38*R38</f>
        <v>29282.443575637521</v>
      </c>
      <c r="V38" s="332">
        <v>1743134.89</v>
      </c>
      <c r="W38" s="333"/>
      <c r="X38" s="334">
        <v>1</v>
      </c>
      <c r="Y38" s="335"/>
      <c r="Z38" s="332">
        <f>V38*X38</f>
        <v>1743134.89</v>
      </c>
      <c r="AA38" s="336"/>
      <c r="AB38" s="336">
        <f>Z38/366</f>
        <v>4762.6636338797807</v>
      </c>
      <c r="AC38" s="328"/>
      <c r="AD38" s="330">
        <v>43.648333333333333</v>
      </c>
      <c r="AE38" s="330"/>
      <c r="AF38" s="330">
        <v>-37.5</v>
      </c>
      <c r="AG38" s="330"/>
      <c r="AH38" s="330">
        <f>AD38+AF38</f>
        <v>6.1483333333333334</v>
      </c>
      <c r="AI38" s="330"/>
      <c r="AJ38" s="336">
        <f>AB38*AH38</f>
        <v>29282.443575637521</v>
      </c>
    </row>
    <row r="39" spans="2:36" ht="14" thickBot="1">
      <c r="B39" s="326">
        <f>B38+1</f>
        <v>26</v>
      </c>
      <c r="D39" s="331" t="s">
        <v>287</v>
      </c>
      <c r="E39" s="349"/>
      <c r="F39" s="338">
        <v>14448604.73</v>
      </c>
      <c r="G39" s="349"/>
      <c r="H39" s="334">
        <v>1</v>
      </c>
      <c r="I39" s="335"/>
      <c r="J39" s="338">
        <f>F39*H39</f>
        <v>14448604.73</v>
      </c>
      <c r="K39" s="340"/>
      <c r="L39" s="336">
        <f>J39/366</f>
        <v>39477.062103825141</v>
      </c>
      <c r="M39" s="328"/>
      <c r="N39" s="330">
        <v>43.648333333333333</v>
      </c>
      <c r="O39" s="330"/>
      <c r="P39" s="330">
        <v>0</v>
      </c>
      <c r="Q39" s="330"/>
      <c r="R39" s="330">
        <f>N39+P39</f>
        <v>43.648333333333333</v>
      </c>
      <c r="S39" s="330"/>
      <c r="T39" s="341">
        <f>L39*R39</f>
        <v>1723107.965728461</v>
      </c>
      <c r="V39" s="338">
        <v>14448604.73</v>
      </c>
      <c r="W39" s="349"/>
      <c r="X39" s="334">
        <v>1</v>
      </c>
      <c r="Y39" s="335"/>
      <c r="Z39" s="338">
        <f>V39*X39</f>
        <v>14448604.73</v>
      </c>
      <c r="AA39" s="340"/>
      <c r="AB39" s="336">
        <f>Z39/366</f>
        <v>39477.062103825141</v>
      </c>
      <c r="AC39" s="328"/>
      <c r="AD39" s="399"/>
      <c r="AE39" s="330"/>
      <c r="AF39" s="330">
        <v>0</v>
      </c>
      <c r="AG39" s="330"/>
      <c r="AH39" s="330">
        <f>AD39+AF39</f>
        <v>0</v>
      </c>
      <c r="AI39" s="330"/>
      <c r="AJ39" s="341">
        <f>AB39*AH39</f>
        <v>0</v>
      </c>
    </row>
    <row r="40" spans="2:36">
      <c r="B40" s="326">
        <f>B39+1</f>
        <v>27</v>
      </c>
      <c r="D40" s="342" t="s">
        <v>288</v>
      </c>
      <c r="E40" s="343"/>
      <c r="F40" s="347">
        <f>SUM(F37:F39)</f>
        <v>43595948.850000001</v>
      </c>
      <c r="G40" s="343"/>
      <c r="H40" s="334"/>
      <c r="I40" s="335"/>
      <c r="J40" s="347">
        <f>SUM(J37:J39)</f>
        <v>43595948.850000001</v>
      </c>
      <c r="K40" s="336"/>
      <c r="L40" s="336"/>
      <c r="M40" s="328"/>
      <c r="N40" s="330"/>
      <c r="O40" s="330"/>
      <c r="P40" s="330"/>
      <c r="Q40" s="330"/>
      <c r="R40" s="330"/>
      <c r="S40" s="330"/>
      <c r="T40" s="336">
        <f>SUM(T37:T39)</f>
        <v>2212746.1827534153</v>
      </c>
      <c r="V40" s="347">
        <f>SUM(V37:V39)</f>
        <v>43595948.850000001</v>
      </c>
      <c r="W40" s="343"/>
      <c r="X40" s="334"/>
      <c r="Y40" s="335"/>
      <c r="Z40" s="347">
        <f>SUM(Z37:Z39)</f>
        <v>43595948.850000001</v>
      </c>
      <c r="AA40" s="336"/>
      <c r="AB40" s="336"/>
      <c r="AC40" s="328"/>
      <c r="AD40" s="330"/>
      <c r="AE40" s="330"/>
      <c r="AF40" s="330"/>
      <c r="AG40" s="330"/>
      <c r="AH40" s="330"/>
      <c r="AI40" s="330"/>
      <c r="AJ40" s="336">
        <f>SUM(AJ37:AJ39)</f>
        <v>489638.21702495444</v>
      </c>
    </row>
    <row r="41" spans="2:36">
      <c r="B41" s="326"/>
      <c r="D41" s="342"/>
      <c r="E41" s="343"/>
      <c r="F41" s="343"/>
      <c r="G41" s="343"/>
      <c r="H41" s="334"/>
      <c r="I41" s="335"/>
      <c r="J41" s="343"/>
      <c r="K41" s="328"/>
      <c r="L41" s="345"/>
      <c r="M41" s="328"/>
      <c r="N41" s="330"/>
      <c r="O41" s="330"/>
      <c r="P41" s="330"/>
      <c r="Q41" s="330"/>
      <c r="R41" s="330"/>
      <c r="S41" s="330"/>
      <c r="T41" s="328"/>
      <c r="V41" s="343"/>
      <c r="W41" s="343"/>
      <c r="X41" s="334"/>
      <c r="Y41" s="335"/>
      <c r="Z41" s="343"/>
      <c r="AA41" s="328"/>
      <c r="AB41" s="345"/>
      <c r="AC41" s="328"/>
      <c r="AD41" s="330"/>
      <c r="AE41" s="330"/>
      <c r="AF41" s="330"/>
      <c r="AG41" s="330"/>
      <c r="AH41" s="330"/>
      <c r="AI41" s="330"/>
      <c r="AJ41" s="328"/>
    </row>
    <row r="42" spans="2:36">
      <c r="B42" s="326">
        <f>B40+1</f>
        <v>28</v>
      </c>
      <c r="D42" s="327" t="s">
        <v>289</v>
      </c>
      <c r="E42" s="328"/>
      <c r="F42" s="348"/>
      <c r="G42" s="328"/>
      <c r="H42" s="334"/>
      <c r="I42" s="335"/>
      <c r="J42" s="328"/>
      <c r="K42" s="328"/>
      <c r="L42" s="345"/>
      <c r="M42" s="328"/>
      <c r="N42" s="330"/>
      <c r="O42" s="330"/>
      <c r="P42" s="330"/>
      <c r="Q42" s="330"/>
      <c r="R42" s="330"/>
      <c r="S42" s="330"/>
      <c r="T42" s="328"/>
      <c r="V42" s="348"/>
      <c r="W42" s="328"/>
      <c r="X42" s="334"/>
      <c r="Y42" s="335"/>
      <c r="Z42" s="328"/>
      <c r="AA42" s="328"/>
      <c r="AB42" s="345"/>
      <c r="AC42" s="328"/>
      <c r="AD42" s="330"/>
      <c r="AE42" s="330"/>
      <c r="AF42" s="330"/>
      <c r="AG42" s="330"/>
      <c r="AH42" s="330"/>
      <c r="AI42" s="330"/>
      <c r="AJ42" s="328"/>
    </row>
    <row r="43" spans="2:36">
      <c r="B43" s="326">
        <f>B42+1</f>
        <v>29</v>
      </c>
      <c r="D43" s="331" t="s">
        <v>290</v>
      </c>
      <c r="E43" s="333"/>
      <c r="F43" s="332">
        <v>27675001.209581356</v>
      </c>
      <c r="G43" s="333"/>
      <c r="H43" s="334">
        <v>1</v>
      </c>
      <c r="I43" s="335"/>
      <c r="J43" s="332">
        <f>F43*H43</f>
        <v>27675001.209581356</v>
      </c>
      <c r="K43" s="336"/>
      <c r="L43" s="336">
        <f>J43/366</f>
        <v>75614.757403227748</v>
      </c>
      <c r="M43" s="328"/>
      <c r="N43" s="330">
        <v>43.648333333333333</v>
      </c>
      <c r="O43" s="330"/>
      <c r="P43" s="330">
        <v>-216.26270855137599</v>
      </c>
      <c r="Q43" s="330"/>
      <c r="R43" s="330">
        <f>N43+P43</f>
        <v>-172.61437521804265</v>
      </c>
      <c r="S43" s="330"/>
      <c r="T43" s="336">
        <f>L43*R43</f>
        <v>-13052194.106422024</v>
      </c>
      <c r="V43" s="332">
        <v>27675001.209581356</v>
      </c>
      <c r="W43" s="333"/>
      <c r="X43" s="334">
        <v>1</v>
      </c>
      <c r="Y43" s="335"/>
      <c r="Z43" s="332">
        <f>V43*X43</f>
        <v>27675001.209581356</v>
      </c>
      <c r="AA43" s="336"/>
      <c r="AB43" s="336">
        <f>Z43/366</f>
        <v>75614.757403227748</v>
      </c>
      <c r="AC43" s="328"/>
      <c r="AD43" s="330">
        <v>43.648333333333333</v>
      </c>
      <c r="AE43" s="330"/>
      <c r="AF43" s="330">
        <v>-216.26270855137599</v>
      </c>
      <c r="AG43" s="330"/>
      <c r="AH43" s="330">
        <f>AD43+AF43</f>
        <v>-172.61437521804265</v>
      </c>
      <c r="AI43" s="330"/>
      <c r="AJ43" s="336">
        <f>AB43*AH43</f>
        <v>-13052194.106422024</v>
      </c>
    </row>
    <row r="44" spans="2:36">
      <c r="B44" s="326">
        <f>B43+1</f>
        <v>30</v>
      </c>
      <c r="D44" s="331" t="s">
        <v>291</v>
      </c>
      <c r="E44" s="333"/>
      <c r="F44" s="332">
        <v>6794885.8399999924</v>
      </c>
      <c r="G44" s="333"/>
      <c r="H44" s="334">
        <v>1</v>
      </c>
      <c r="I44" s="335"/>
      <c r="J44" s="332">
        <f>F44*H44</f>
        <v>6794885.8399999924</v>
      </c>
      <c r="K44" s="336"/>
      <c r="L44" s="336">
        <f>J44/366</f>
        <v>18565.261857923477</v>
      </c>
      <c r="M44" s="328"/>
      <c r="N44" s="330">
        <v>43.648333333333333</v>
      </c>
      <c r="O44" s="330"/>
      <c r="P44" s="330">
        <v>-35.475330553437587</v>
      </c>
      <c r="Q44" s="330"/>
      <c r="R44" s="330">
        <f>N44+P44</f>
        <v>8.1730027798957465</v>
      </c>
      <c r="S44" s="330"/>
      <c r="T44" s="336">
        <f>L44*R44</f>
        <v>151733.93677430105</v>
      </c>
      <c r="V44" s="332">
        <v>6794885.8399999924</v>
      </c>
      <c r="W44" s="333"/>
      <c r="X44" s="334">
        <v>1</v>
      </c>
      <c r="Y44" s="335"/>
      <c r="Z44" s="332">
        <f>V44*X44</f>
        <v>6794885.8399999924</v>
      </c>
      <c r="AA44" s="336"/>
      <c r="AB44" s="336">
        <f>Z44/366</f>
        <v>18565.261857923477</v>
      </c>
      <c r="AC44" s="328"/>
      <c r="AD44" s="330">
        <v>43.648333333333333</v>
      </c>
      <c r="AE44" s="330"/>
      <c r="AF44" s="330">
        <v>-35.475330553437587</v>
      </c>
      <c r="AG44" s="330"/>
      <c r="AH44" s="330">
        <f>AD44+AF44</f>
        <v>8.1730027798957465</v>
      </c>
      <c r="AI44" s="330"/>
      <c r="AJ44" s="336">
        <f>AB44*AH44</f>
        <v>151733.93677430105</v>
      </c>
    </row>
    <row r="45" spans="2:36">
      <c r="B45" s="326">
        <f>B44+1</f>
        <v>31</v>
      </c>
      <c r="D45" s="331" t="s">
        <v>292</v>
      </c>
      <c r="E45" s="349"/>
      <c r="F45" s="338">
        <v>2304005.9999999902</v>
      </c>
      <c r="G45" s="349"/>
      <c r="H45" s="334">
        <v>1</v>
      </c>
      <c r="I45" s="335"/>
      <c r="J45" s="338">
        <f>F45*H45</f>
        <v>2304005.9999999902</v>
      </c>
      <c r="K45" s="340"/>
      <c r="L45" s="336">
        <f>J45/366</f>
        <v>6295.0983606557111</v>
      </c>
      <c r="M45" s="328"/>
      <c r="N45" s="330">
        <v>43.648333333333333</v>
      </c>
      <c r="O45" s="330"/>
      <c r="P45" s="330">
        <v>148.70225638191206</v>
      </c>
      <c r="Q45" s="330"/>
      <c r="R45" s="330">
        <f>N45+P45</f>
        <v>192.35058971524541</v>
      </c>
      <c r="S45" s="330"/>
      <c r="T45" s="341">
        <f>L45*R45</f>
        <v>1210865.8819876006</v>
      </c>
      <c r="V45" s="338">
        <v>2304005.9999999902</v>
      </c>
      <c r="W45" s="349"/>
      <c r="X45" s="334">
        <v>1</v>
      </c>
      <c r="Y45" s="335"/>
      <c r="Z45" s="338">
        <f>V45*X45</f>
        <v>2304005.9999999902</v>
      </c>
      <c r="AA45" s="340"/>
      <c r="AB45" s="336">
        <f>Z45/366</f>
        <v>6295.0983606557111</v>
      </c>
      <c r="AC45" s="328"/>
      <c r="AD45" s="330">
        <v>43.648333333333333</v>
      </c>
      <c r="AE45" s="330"/>
      <c r="AF45" s="330">
        <v>148.70225638191206</v>
      </c>
      <c r="AG45" s="330"/>
      <c r="AH45" s="330">
        <f>AD45+AF45</f>
        <v>192.35058971524541</v>
      </c>
      <c r="AI45" s="330"/>
      <c r="AJ45" s="341">
        <f>AB45*AH45</f>
        <v>1210865.8819876006</v>
      </c>
    </row>
    <row r="46" spans="2:36">
      <c r="B46" s="326">
        <f>B45+1</f>
        <v>32</v>
      </c>
      <c r="D46" s="342" t="s">
        <v>293</v>
      </c>
      <c r="E46" s="343"/>
      <c r="F46" s="332">
        <f>SUM(F43:F45)</f>
        <v>36773893.049581341</v>
      </c>
      <c r="G46" s="343"/>
      <c r="H46" s="334"/>
      <c r="I46" s="335"/>
      <c r="J46" s="347">
        <f>SUM(J43:J45)</f>
        <v>36773893.049581341</v>
      </c>
      <c r="K46" s="336"/>
      <c r="L46" s="336"/>
      <c r="M46" s="328"/>
      <c r="N46" s="330"/>
      <c r="O46" s="330"/>
      <c r="P46" s="330"/>
      <c r="Q46" s="330"/>
      <c r="R46" s="330"/>
      <c r="S46" s="330"/>
      <c r="T46" s="336">
        <f>SUM(T43:T45)</f>
        <v>-11689594.287660122</v>
      </c>
      <c r="V46" s="332">
        <f>SUM(V43:V45)</f>
        <v>36773893.049581341</v>
      </c>
      <c r="W46" s="343"/>
      <c r="X46" s="334"/>
      <c r="Y46" s="335"/>
      <c r="Z46" s="347">
        <f>SUM(Z43:Z45)</f>
        <v>36773893.049581341</v>
      </c>
      <c r="AA46" s="336"/>
      <c r="AB46" s="336"/>
      <c r="AC46" s="328"/>
      <c r="AD46" s="330"/>
      <c r="AE46" s="330"/>
      <c r="AF46" s="330"/>
      <c r="AG46" s="330"/>
      <c r="AH46" s="330"/>
      <c r="AI46" s="330"/>
      <c r="AJ46" s="336">
        <f>SUM(AJ43:AJ45)</f>
        <v>-11689594.287660122</v>
      </c>
    </row>
    <row r="47" spans="2:36">
      <c r="B47" s="326"/>
      <c r="D47" s="327"/>
      <c r="E47" s="328"/>
      <c r="F47" s="348"/>
      <c r="G47" s="328"/>
      <c r="H47" s="334"/>
      <c r="I47" s="335"/>
      <c r="J47" s="328"/>
      <c r="K47" s="328"/>
      <c r="L47" s="345"/>
      <c r="M47" s="328"/>
      <c r="N47" s="330"/>
      <c r="O47" s="330"/>
      <c r="P47" s="330"/>
      <c r="Q47" s="330"/>
      <c r="R47" s="330"/>
      <c r="S47" s="330"/>
      <c r="T47" s="328"/>
      <c r="V47" s="348"/>
      <c r="W47" s="328"/>
      <c r="X47" s="334"/>
      <c r="Y47" s="335"/>
      <c r="Z47" s="328"/>
      <c r="AA47" s="328"/>
      <c r="AB47" s="345"/>
      <c r="AC47" s="328"/>
      <c r="AD47" s="330"/>
      <c r="AE47" s="330"/>
      <c r="AF47" s="330"/>
      <c r="AG47" s="330"/>
      <c r="AH47" s="330"/>
      <c r="AI47" s="330"/>
      <c r="AJ47" s="328"/>
    </row>
    <row r="48" spans="2:36">
      <c r="B48" s="326">
        <f>B46+1</f>
        <v>33</v>
      </c>
      <c r="D48" s="327" t="s">
        <v>294</v>
      </c>
      <c r="E48" s="328"/>
      <c r="F48" s="332">
        <v>0</v>
      </c>
      <c r="G48" s="328"/>
      <c r="H48" s="334">
        <v>0</v>
      </c>
      <c r="I48" s="335"/>
      <c r="J48" s="332">
        <f>F48*H48</f>
        <v>0</v>
      </c>
      <c r="K48" s="336"/>
      <c r="L48" s="350">
        <f>J48/366</f>
        <v>0</v>
      </c>
      <c r="M48" s="328"/>
      <c r="N48" s="330">
        <v>43.648333333333333</v>
      </c>
      <c r="O48" s="330"/>
      <c r="P48" s="330">
        <v>-43.648333333333333</v>
      </c>
      <c r="Q48" s="330"/>
      <c r="R48" s="330">
        <f>N48+P48</f>
        <v>0</v>
      </c>
      <c r="S48" s="330"/>
      <c r="T48" s="336">
        <f>L48*R48</f>
        <v>0</v>
      </c>
      <c r="V48" s="332">
        <v>0</v>
      </c>
      <c r="W48" s="328"/>
      <c r="X48" s="334">
        <v>0</v>
      </c>
      <c r="Y48" s="335"/>
      <c r="Z48" s="332">
        <f>V48*X48</f>
        <v>0</v>
      </c>
      <c r="AA48" s="336"/>
      <c r="AB48" s="350">
        <f>Z48/366</f>
        <v>0</v>
      </c>
      <c r="AC48" s="328"/>
      <c r="AD48" s="330">
        <v>43.648333333333333</v>
      </c>
      <c r="AE48" s="330"/>
      <c r="AF48" s="330">
        <v>-43.648333333333333</v>
      </c>
      <c r="AG48" s="330"/>
      <c r="AH48" s="330">
        <f>AD48+AF48</f>
        <v>0</v>
      </c>
      <c r="AI48" s="330"/>
      <c r="AJ48" s="336">
        <f>AB48*AH48</f>
        <v>0</v>
      </c>
    </row>
    <row r="49" spans="2:36">
      <c r="B49" s="326"/>
      <c r="D49" s="327"/>
      <c r="E49" s="328"/>
      <c r="F49" s="348"/>
      <c r="G49" s="328"/>
      <c r="H49" s="334"/>
      <c r="I49" s="335"/>
      <c r="J49" s="328"/>
      <c r="K49" s="328"/>
      <c r="L49" s="345"/>
      <c r="M49" s="328"/>
      <c r="N49" s="330"/>
      <c r="O49" s="330"/>
      <c r="P49" s="330"/>
      <c r="Q49" s="330"/>
      <c r="R49" s="330"/>
      <c r="S49" s="330"/>
      <c r="T49" s="328"/>
      <c r="V49" s="348"/>
      <c r="W49" s="328"/>
      <c r="X49" s="334"/>
      <c r="Y49" s="335"/>
      <c r="Z49" s="328"/>
      <c r="AA49" s="328"/>
      <c r="AB49" s="345"/>
      <c r="AC49" s="328"/>
      <c r="AD49" s="330"/>
      <c r="AE49" s="330"/>
      <c r="AF49" s="330"/>
      <c r="AG49" s="330"/>
      <c r="AH49" s="330"/>
      <c r="AI49" s="330"/>
      <c r="AJ49" s="328"/>
    </row>
    <row r="50" spans="2:36">
      <c r="B50" s="326">
        <f>B48+1</f>
        <v>34</v>
      </c>
      <c r="D50" s="327" t="s">
        <v>295</v>
      </c>
      <c r="E50" s="328"/>
      <c r="F50" s="332">
        <v>0</v>
      </c>
      <c r="G50" s="328"/>
      <c r="H50" s="334">
        <f>IF(F50=0,0,J50/F50)</f>
        <v>0</v>
      </c>
      <c r="I50" s="335"/>
      <c r="J50" s="332">
        <f>F50*H50</f>
        <v>0</v>
      </c>
      <c r="K50" s="336"/>
      <c r="L50" s="350">
        <f>J50/366</f>
        <v>0</v>
      </c>
      <c r="M50" s="328"/>
      <c r="N50" s="330">
        <v>43.648333333333333</v>
      </c>
      <c r="O50" s="330"/>
      <c r="P50" s="330">
        <v>-43.648333333333333</v>
      </c>
      <c r="Q50" s="330"/>
      <c r="R50" s="330">
        <f>N50+P50</f>
        <v>0</v>
      </c>
      <c r="S50" s="330"/>
      <c r="T50" s="336">
        <f>L50*R50</f>
        <v>0</v>
      </c>
      <c r="V50" s="332">
        <v>0</v>
      </c>
      <c r="W50" s="328"/>
      <c r="X50" s="334">
        <f>IF(V50=0,0,Z50/V50)</f>
        <v>0</v>
      </c>
      <c r="Y50" s="335"/>
      <c r="Z50" s="332">
        <f>V50*X50</f>
        <v>0</v>
      </c>
      <c r="AA50" s="336"/>
      <c r="AB50" s="350">
        <f>Z50/366</f>
        <v>0</v>
      </c>
      <c r="AC50" s="328"/>
      <c r="AD50" s="330">
        <v>43.648333333333333</v>
      </c>
      <c r="AE50" s="330"/>
      <c r="AF50" s="330">
        <v>-43.648333333333333</v>
      </c>
      <c r="AG50" s="330"/>
      <c r="AH50" s="330">
        <f>AD50+AF50</f>
        <v>0</v>
      </c>
      <c r="AI50" s="330"/>
      <c r="AJ50" s="336">
        <f>AB50*AH50</f>
        <v>0</v>
      </c>
    </row>
    <row r="51" spans="2:36">
      <c r="B51" s="326"/>
      <c r="D51" s="327"/>
      <c r="E51" s="328"/>
      <c r="F51" s="348"/>
      <c r="G51" s="328"/>
      <c r="H51" s="334"/>
      <c r="I51" s="335"/>
      <c r="J51" s="336"/>
      <c r="K51" s="336"/>
      <c r="L51" s="336"/>
      <c r="M51" s="328"/>
      <c r="N51" s="330"/>
      <c r="O51" s="330"/>
      <c r="P51" s="330"/>
      <c r="Q51" s="330"/>
      <c r="R51" s="330"/>
      <c r="S51" s="330"/>
      <c r="T51" s="336"/>
      <c r="V51" s="348"/>
      <c r="W51" s="328"/>
      <c r="X51" s="334"/>
      <c r="Y51" s="335"/>
      <c r="Z51" s="336"/>
      <c r="AA51" s="336"/>
      <c r="AB51" s="336"/>
      <c r="AC51" s="328"/>
      <c r="AD51" s="330"/>
      <c r="AE51" s="330"/>
      <c r="AF51" s="330"/>
      <c r="AG51" s="330"/>
      <c r="AH51" s="330"/>
      <c r="AI51" s="330"/>
      <c r="AJ51" s="336"/>
    </row>
    <row r="52" spans="2:36">
      <c r="B52" s="326">
        <f>B50+1</f>
        <v>35</v>
      </c>
      <c r="D52" s="327" t="s">
        <v>296</v>
      </c>
      <c r="E52" s="328"/>
      <c r="F52" s="332">
        <v>0</v>
      </c>
      <c r="G52" s="328"/>
      <c r="H52" s="334">
        <f>IF(F52=0,0,J52/F52)</f>
        <v>0</v>
      </c>
      <c r="I52" s="335"/>
      <c r="J52" s="332">
        <v>-17792.759999999998</v>
      </c>
      <c r="K52" s="336"/>
      <c r="L52" s="350">
        <f>J52/366</f>
        <v>-48.614098360655731</v>
      </c>
      <c r="M52" s="328"/>
      <c r="N52" s="330">
        <v>43.648333333333333</v>
      </c>
      <c r="O52" s="330"/>
      <c r="P52" s="330">
        <v>-43.648333333333333</v>
      </c>
      <c r="Q52" s="330"/>
      <c r="R52" s="330">
        <f>N52+P52</f>
        <v>0</v>
      </c>
      <c r="S52" s="330"/>
      <c r="T52" s="336">
        <f>L52*R52</f>
        <v>0</v>
      </c>
      <c r="V52" s="332">
        <v>0</v>
      </c>
      <c r="W52" s="328"/>
      <c r="X52" s="334">
        <f>IF(V52=0,0,Z52/V52)</f>
        <v>0</v>
      </c>
      <c r="Y52" s="335"/>
      <c r="Z52" s="332">
        <v>-17792.759999999998</v>
      </c>
      <c r="AA52" s="336"/>
      <c r="AB52" s="350">
        <f>Z52/366</f>
        <v>-48.614098360655731</v>
      </c>
      <c r="AC52" s="328"/>
      <c r="AD52" s="330">
        <v>43.648333333333333</v>
      </c>
      <c r="AE52" s="330"/>
      <c r="AF52" s="330">
        <v>-43.648333333333333</v>
      </c>
      <c r="AG52" s="330"/>
      <c r="AH52" s="330">
        <f>AD52+AF52</f>
        <v>0</v>
      </c>
      <c r="AI52" s="330"/>
      <c r="AJ52" s="336">
        <f>AB52*AH52</f>
        <v>0</v>
      </c>
    </row>
    <row r="53" spans="2:36">
      <c r="B53" s="326"/>
      <c r="D53" s="327"/>
      <c r="E53" s="328"/>
      <c r="F53" s="348"/>
      <c r="G53" s="328"/>
      <c r="H53" s="334"/>
      <c r="I53" s="335"/>
      <c r="J53" s="336"/>
      <c r="K53" s="336"/>
      <c r="L53" s="336"/>
      <c r="M53" s="328"/>
      <c r="N53" s="330"/>
      <c r="O53" s="330"/>
      <c r="P53" s="330"/>
      <c r="Q53" s="330"/>
      <c r="R53" s="330"/>
      <c r="S53" s="330"/>
      <c r="T53" s="336"/>
      <c r="V53" s="348"/>
      <c r="W53" s="328"/>
      <c r="X53" s="334"/>
      <c r="Y53" s="335"/>
      <c r="Z53" s="336"/>
      <c r="AA53" s="336"/>
      <c r="AB53" s="336"/>
      <c r="AC53" s="328"/>
      <c r="AD53" s="330"/>
      <c r="AE53" s="330"/>
      <c r="AF53" s="330"/>
      <c r="AG53" s="330"/>
      <c r="AH53" s="330"/>
      <c r="AI53" s="330"/>
      <c r="AJ53" s="336"/>
    </row>
    <row r="54" spans="2:36">
      <c r="B54" s="326">
        <f>B52+1</f>
        <v>36</v>
      </c>
      <c r="D54" s="327" t="s">
        <v>297</v>
      </c>
      <c r="E54" s="328"/>
      <c r="F54" s="332">
        <v>2367258.8199999989</v>
      </c>
      <c r="G54" s="328"/>
      <c r="H54" s="334">
        <v>0</v>
      </c>
      <c r="I54" s="335"/>
      <c r="J54" s="332">
        <f>F54*H54</f>
        <v>0</v>
      </c>
      <c r="K54" s="336"/>
      <c r="L54" s="350">
        <f>J54/366</f>
        <v>0</v>
      </c>
      <c r="M54" s="328"/>
      <c r="N54" s="330">
        <v>43.648333333333333</v>
      </c>
      <c r="O54" s="330"/>
      <c r="P54" s="330">
        <v>-43.648333333333333</v>
      </c>
      <c r="Q54" s="330"/>
      <c r="R54" s="330">
        <f>N54+P54</f>
        <v>0</v>
      </c>
      <c r="S54" s="330"/>
      <c r="T54" s="336">
        <f>L54*R54</f>
        <v>0</v>
      </c>
      <c r="V54" s="332">
        <v>2367258.8199999989</v>
      </c>
      <c r="W54" s="328"/>
      <c r="X54" s="334">
        <v>0</v>
      </c>
      <c r="Y54" s="335"/>
      <c r="Z54" s="332">
        <f>V54*X54</f>
        <v>0</v>
      </c>
      <c r="AA54" s="336"/>
      <c r="AB54" s="350">
        <f>Z54/366</f>
        <v>0</v>
      </c>
      <c r="AC54" s="328"/>
      <c r="AD54" s="330">
        <v>43.648333333333333</v>
      </c>
      <c r="AE54" s="330"/>
      <c r="AF54" s="330">
        <v>-43.648333333333333</v>
      </c>
      <c r="AG54" s="330"/>
      <c r="AH54" s="330">
        <f>AD54+AF54</f>
        <v>0</v>
      </c>
      <c r="AI54" s="330"/>
      <c r="AJ54" s="336">
        <f>AB54*AH54</f>
        <v>0</v>
      </c>
    </row>
    <row r="55" spans="2:36">
      <c r="B55" s="326"/>
      <c r="D55" s="327"/>
      <c r="E55" s="328"/>
      <c r="F55" s="348"/>
      <c r="G55" s="328"/>
      <c r="H55" s="334"/>
      <c r="I55" s="335"/>
      <c r="J55" s="336"/>
      <c r="K55" s="336"/>
      <c r="L55" s="336"/>
      <c r="M55" s="328"/>
      <c r="N55" s="330"/>
      <c r="O55" s="330"/>
      <c r="P55" s="330"/>
      <c r="Q55" s="330"/>
      <c r="R55" s="330"/>
      <c r="S55" s="330"/>
      <c r="T55" s="336"/>
      <c r="V55" s="348"/>
      <c r="W55" s="328"/>
      <c r="X55" s="334"/>
      <c r="Y55" s="335"/>
      <c r="Z55" s="336"/>
      <c r="AA55" s="336"/>
      <c r="AB55" s="336"/>
      <c r="AC55" s="328"/>
      <c r="AD55" s="330"/>
      <c r="AE55" s="330"/>
      <c r="AF55" s="330"/>
      <c r="AG55" s="330"/>
      <c r="AH55" s="330"/>
      <c r="AI55" s="330"/>
      <c r="AJ55" s="336"/>
    </row>
    <row r="56" spans="2:36">
      <c r="B56" s="326">
        <f>B54+1</f>
        <v>37</v>
      </c>
      <c r="D56" s="327" t="s">
        <v>298</v>
      </c>
      <c r="E56" s="328"/>
      <c r="F56" s="332">
        <v>329164.61579201999</v>
      </c>
      <c r="G56" s="328"/>
      <c r="H56" s="334">
        <v>0</v>
      </c>
      <c r="I56" s="335"/>
      <c r="J56" s="332">
        <f>F56*H56</f>
        <v>0</v>
      </c>
      <c r="K56" s="336"/>
      <c r="L56" s="350">
        <f>J56/366</f>
        <v>0</v>
      </c>
      <c r="M56" s="328"/>
      <c r="N56" s="330">
        <v>0</v>
      </c>
      <c r="O56" s="330"/>
      <c r="P56" s="330">
        <v>0</v>
      </c>
      <c r="Q56" s="330"/>
      <c r="R56" s="330">
        <f>N56+P56</f>
        <v>0</v>
      </c>
      <c r="S56" s="330"/>
      <c r="T56" s="336">
        <f>L56*R56</f>
        <v>0</v>
      </c>
      <c r="V56" s="332">
        <v>329164.61579201999</v>
      </c>
      <c r="W56" s="328"/>
      <c r="X56" s="334">
        <v>0</v>
      </c>
      <c r="Y56" s="335"/>
      <c r="Z56" s="332">
        <f>V56*X56</f>
        <v>0</v>
      </c>
      <c r="AA56" s="336"/>
      <c r="AB56" s="350">
        <f>Z56/366</f>
        <v>0</v>
      </c>
      <c r="AC56" s="328"/>
      <c r="AD56" s="330">
        <v>0</v>
      </c>
      <c r="AE56" s="330"/>
      <c r="AF56" s="330">
        <v>0</v>
      </c>
      <c r="AG56" s="330"/>
      <c r="AH56" s="330">
        <f>AD56+AF56</f>
        <v>0</v>
      </c>
      <c r="AI56" s="330"/>
      <c r="AJ56" s="336">
        <f>AB56*AH56</f>
        <v>0</v>
      </c>
    </row>
    <row r="57" spans="2:36">
      <c r="B57" s="326"/>
      <c r="D57" s="327"/>
      <c r="E57" s="328"/>
      <c r="F57" s="348"/>
      <c r="G57" s="328"/>
      <c r="H57" s="334"/>
      <c r="I57" s="335"/>
      <c r="J57" s="336"/>
      <c r="K57" s="336"/>
      <c r="L57" s="336"/>
      <c r="M57" s="328"/>
      <c r="N57" s="330"/>
      <c r="O57" s="330"/>
      <c r="P57" s="330"/>
      <c r="Q57" s="330"/>
      <c r="R57" s="330"/>
      <c r="S57" s="330"/>
      <c r="T57" s="336"/>
      <c r="V57" s="348"/>
      <c r="W57" s="328"/>
      <c r="X57" s="334"/>
      <c r="Y57" s="335"/>
      <c r="Z57" s="336"/>
      <c r="AA57" s="336"/>
      <c r="AB57" s="336"/>
      <c r="AC57" s="328"/>
      <c r="AD57" s="330"/>
      <c r="AE57" s="330"/>
      <c r="AF57" s="330"/>
      <c r="AG57" s="330"/>
      <c r="AH57" s="330"/>
      <c r="AI57" s="330"/>
      <c r="AJ57" s="336"/>
    </row>
    <row r="58" spans="2:36">
      <c r="B58" s="326">
        <f>B56+1</f>
        <v>38</v>
      </c>
      <c r="D58" s="327" t="s">
        <v>299</v>
      </c>
      <c r="E58" s="328"/>
      <c r="F58" s="332">
        <v>-436898.76180563052</v>
      </c>
      <c r="G58" s="328"/>
      <c r="H58" s="334">
        <v>0</v>
      </c>
      <c r="I58" s="335"/>
      <c r="J58" s="332">
        <f>F58*H58</f>
        <v>0</v>
      </c>
      <c r="K58" s="336"/>
      <c r="L58" s="350">
        <f>J58/366</f>
        <v>0</v>
      </c>
      <c r="M58" s="328"/>
      <c r="N58" s="330">
        <v>43.648333333333333</v>
      </c>
      <c r="O58" s="330"/>
      <c r="P58" s="330">
        <v>-43.648333333333333</v>
      </c>
      <c r="Q58" s="330"/>
      <c r="R58" s="330">
        <f>N58+P58</f>
        <v>0</v>
      </c>
      <c r="S58" s="330"/>
      <c r="T58" s="336">
        <f>L58*R58</f>
        <v>0</v>
      </c>
      <c r="V58" s="332">
        <v>-436898.76180563052</v>
      </c>
      <c r="W58" s="328"/>
      <c r="X58" s="334">
        <v>0</v>
      </c>
      <c r="Y58" s="335"/>
      <c r="Z58" s="332">
        <f>V58*X58</f>
        <v>0</v>
      </c>
      <c r="AA58" s="336"/>
      <c r="AB58" s="350">
        <f>Z58/366</f>
        <v>0</v>
      </c>
      <c r="AC58" s="328"/>
      <c r="AD58" s="330">
        <v>43.648333333333333</v>
      </c>
      <c r="AE58" s="330"/>
      <c r="AF58" s="330">
        <v>-43.648333333333333</v>
      </c>
      <c r="AG58" s="330"/>
      <c r="AH58" s="330">
        <f>AD58+AF58</f>
        <v>0</v>
      </c>
      <c r="AI58" s="330"/>
      <c r="AJ58" s="336">
        <f>AB58*AH58</f>
        <v>0</v>
      </c>
    </row>
    <row r="59" spans="2:36">
      <c r="B59" s="326"/>
      <c r="D59" s="327"/>
      <c r="E59" s="328"/>
      <c r="F59" s="348"/>
      <c r="G59" s="328"/>
      <c r="H59" s="334"/>
      <c r="I59" s="335"/>
      <c r="J59" s="336"/>
      <c r="K59" s="336"/>
      <c r="L59" s="336"/>
      <c r="M59" s="328"/>
      <c r="N59" s="330"/>
      <c r="O59" s="330"/>
      <c r="P59" s="330"/>
      <c r="Q59" s="330"/>
      <c r="R59" s="330"/>
      <c r="S59" s="330"/>
      <c r="T59" s="336"/>
      <c r="V59" s="348"/>
      <c r="W59" s="328"/>
      <c r="X59" s="334"/>
      <c r="Y59" s="335"/>
      <c r="Z59" s="336"/>
      <c r="AA59" s="336"/>
      <c r="AB59" s="336"/>
      <c r="AC59" s="328"/>
      <c r="AD59" s="330"/>
      <c r="AE59" s="330"/>
      <c r="AF59" s="330"/>
      <c r="AG59" s="330"/>
      <c r="AH59" s="330"/>
      <c r="AI59" s="330"/>
      <c r="AJ59" s="336"/>
    </row>
    <row r="60" spans="2:36">
      <c r="B60" s="326">
        <f>B58+1</f>
        <v>39</v>
      </c>
      <c r="D60" s="327" t="s">
        <v>300</v>
      </c>
      <c r="E60" s="328"/>
      <c r="F60" s="332">
        <v>-121078.1591674175</v>
      </c>
      <c r="G60" s="328"/>
      <c r="H60" s="334">
        <v>0</v>
      </c>
      <c r="I60" s="335"/>
      <c r="J60" s="332">
        <f>F60*H60</f>
        <v>0</v>
      </c>
      <c r="K60" s="336"/>
      <c r="L60" s="350">
        <f>J60/366</f>
        <v>0</v>
      </c>
      <c r="M60" s="328"/>
      <c r="N60" s="330">
        <v>43.648333333333333</v>
      </c>
      <c r="O60" s="330"/>
      <c r="P60" s="330">
        <v>-43.648333333333333</v>
      </c>
      <c r="Q60" s="330"/>
      <c r="R60" s="330">
        <f>N60+P60</f>
        <v>0</v>
      </c>
      <c r="S60" s="330"/>
      <c r="T60" s="336">
        <f>L60*R60</f>
        <v>0</v>
      </c>
      <c r="V60" s="332">
        <v>-121078.1591674175</v>
      </c>
      <c r="W60" s="328"/>
      <c r="X60" s="334">
        <v>0</v>
      </c>
      <c r="Y60" s="335"/>
      <c r="Z60" s="332">
        <f>V60*X60</f>
        <v>0</v>
      </c>
      <c r="AA60" s="336"/>
      <c r="AB60" s="350">
        <f>Z60/366</f>
        <v>0</v>
      </c>
      <c r="AC60" s="328"/>
      <c r="AD60" s="330">
        <v>43.648333333333333</v>
      </c>
      <c r="AE60" s="330"/>
      <c r="AF60" s="330">
        <v>-43.648333333333333</v>
      </c>
      <c r="AG60" s="330"/>
      <c r="AH60" s="330">
        <f>AD60+AF60</f>
        <v>0</v>
      </c>
      <c r="AI60" s="330"/>
      <c r="AJ60" s="336">
        <f>AB60*AH60</f>
        <v>0</v>
      </c>
    </row>
    <row r="61" spans="2:36">
      <c r="B61" s="326"/>
      <c r="D61" s="327"/>
      <c r="E61" s="328"/>
      <c r="F61" s="348"/>
      <c r="G61" s="328"/>
      <c r="H61" s="334"/>
      <c r="I61" s="335"/>
      <c r="J61" s="336"/>
      <c r="K61" s="336"/>
      <c r="L61" s="336"/>
      <c r="M61" s="328"/>
      <c r="N61" s="330"/>
      <c r="O61" s="330"/>
      <c r="P61" s="330"/>
      <c r="Q61" s="330"/>
      <c r="R61" s="330"/>
      <c r="S61" s="330"/>
      <c r="T61" s="336"/>
      <c r="V61" s="348"/>
      <c r="W61" s="328"/>
      <c r="X61" s="334"/>
      <c r="Y61" s="335"/>
      <c r="Z61" s="336"/>
      <c r="AA61" s="336"/>
      <c r="AB61" s="336"/>
      <c r="AC61" s="328"/>
      <c r="AD61" s="330"/>
      <c r="AE61" s="330"/>
      <c r="AF61" s="330"/>
      <c r="AG61" s="330"/>
      <c r="AH61" s="330"/>
      <c r="AI61" s="330"/>
      <c r="AJ61" s="336"/>
    </row>
    <row r="62" spans="2:36">
      <c r="B62" s="326">
        <f>B60+1</f>
        <v>40</v>
      </c>
      <c r="D62" s="327" t="s">
        <v>301</v>
      </c>
      <c r="E62" s="328"/>
      <c r="F62" s="332">
        <v>80826419.901145473</v>
      </c>
      <c r="G62" s="328"/>
      <c r="H62" s="334">
        <v>1</v>
      </c>
      <c r="I62" s="335"/>
      <c r="J62" s="332">
        <f>F62*H62</f>
        <v>80826419.901145473</v>
      </c>
      <c r="K62" s="336"/>
      <c r="L62" s="336">
        <f>J62/366</f>
        <v>220837.21284465975</v>
      </c>
      <c r="M62" s="328"/>
      <c r="N62" s="330">
        <v>43.648333333333333</v>
      </c>
      <c r="O62" s="330"/>
      <c r="P62" s="330">
        <v>-87.499999999999986</v>
      </c>
      <c r="Q62" s="330"/>
      <c r="R62" s="330">
        <f>N62+P62</f>
        <v>-43.851666666666652</v>
      </c>
      <c r="S62" s="330"/>
      <c r="T62" s="336">
        <f>L62*R62</f>
        <v>-9684079.8452597354</v>
      </c>
      <c r="V62" s="332">
        <v>80826419.901145473</v>
      </c>
      <c r="W62" s="328"/>
      <c r="X62" s="334">
        <v>1</v>
      </c>
      <c r="Y62" s="335"/>
      <c r="Z62" s="332">
        <f>V62*X62</f>
        <v>80826419.901145473</v>
      </c>
      <c r="AA62" s="336"/>
      <c r="AB62" s="336">
        <f>Z62/366</f>
        <v>220837.21284465975</v>
      </c>
      <c r="AC62" s="328"/>
      <c r="AD62" s="330">
        <v>43.648333333333333</v>
      </c>
      <c r="AE62" s="330"/>
      <c r="AF62" s="330">
        <v>-87.499999999999986</v>
      </c>
      <c r="AG62" s="330"/>
      <c r="AH62" s="330">
        <f>AD62+AF62</f>
        <v>-43.851666666666652</v>
      </c>
      <c r="AI62" s="330"/>
      <c r="AJ62" s="336">
        <f>AB62*AH62</f>
        <v>-9684079.8452597354</v>
      </c>
    </row>
    <row r="63" spans="2:36">
      <c r="B63" s="326"/>
      <c r="D63" s="327"/>
      <c r="E63" s="328"/>
      <c r="F63" s="348"/>
      <c r="G63" s="328"/>
      <c r="H63" s="334"/>
      <c r="I63" s="335"/>
      <c r="J63" s="336"/>
      <c r="K63" s="336"/>
      <c r="L63" s="336"/>
      <c r="M63" s="328"/>
      <c r="N63" s="330"/>
      <c r="O63" s="330"/>
      <c r="P63" s="330"/>
      <c r="Q63" s="330"/>
      <c r="R63" s="330"/>
      <c r="S63" s="330"/>
      <c r="T63" s="336"/>
      <c r="V63" s="348"/>
      <c r="W63" s="328"/>
      <c r="X63" s="334"/>
      <c r="Y63" s="335"/>
      <c r="Z63" s="336"/>
      <c r="AA63" s="336"/>
      <c r="AB63" s="336"/>
      <c r="AC63" s="328"/>
      <c r="AD63" s="330"/>
      <c r="AE63" s="330"/>
      <c r="AF63" s="330"/>
      <c r="AG63" s="330"/>
      <c r="AH63" s="330"/>
      <c r="AI63" s="330"/>
      <c r="AJ63" s="336"/>
    </row>
    <row r="64" spans="2:36">
      <c r="B64" s="326">
        <f>B62+1</f>
        <v>41</v>
      </c>
      <c r="D64" s="327" t="s">
        <v>302</v>
      </c>
      <c r="E64" s="339"/>
      <c r="F64" s="338">
        <v>177460423.38784069</v>
      </c>
      <c r="G64" s="339"/>
      <c r="H64" s="334"/>
      <c r="I64" s="335"/>
      <c r="J64" s="338">
        <v>195795377.01738927</v>
      </c>
      <c r="K64" s="340"/>
      <c r="L64" s="336">
        <f>J64/366</f>
        <v>534960.04649559909</v>
      </c>
      <c r="M64" s="339"/>
      <c r="N64" s="330">
        <v>43.648333333333333</v>
      </c>
      <c r="O64" s="330"/>
      <c r="P64" s="330">
        <v>-43.648333333333333</v>
      </c>
      <c r="Q64" s="330"/>
      <c r="R64" s="330">
        <f>N64+P64</f>
        <v>0</v>
      </c>
      <c r="S64" s="330"/>
      <c r="T64" s="341">
        <f>L64*R64</f>
        <v>0</v>
      </c>
      <c r="V64" s="338">
        <v>177460423.38784069</v>
      </c>
      <c r="W64" s="339"/>
      <c r="X64" s="334"/>
      <c r="Y64" s="335"/>
      <c r="Z64" s="338">
        <v>195795377.01738927</v>
      </c>
      <c r="AA64" s="340"/>
      <c r="AB64" s="336">
        <f>Z64/366</f>
        <v>534960.04649559909</v>
      </c>
      <c r="AC64" s="339"/>
      <c r="AD64" s="330">
        <v>43.648333333333333</v>
      </c>
      <c r="AE64" s="330"/>
      <c r="AF64" s="330">
        <v>-43.648333333333333</v>
      </c>
      <c r="AG64" s="330"/>
      <c r="AH64" s="330">
        <f>AD64+AF64</f>
        <v>0</v>
      </c>
      <c r="AI64" s="330"/>
      <c r="AJ64" s="341">
        <f>AB64*AH64</f>
        <v>0</v>
      </c>
    </row>
    <row r="65" spans="2:36">
      <c r="B65" s="326"/>
      <c r="D65" s="327"/>
      <c r="E65" s="328"/>
      <c r="F65" s="348"/>
      <c r="G65" s="328"/>
      <c r="H65" s="334"/>
      <c r="I65" s="335"/>
      <c r="J65" s="336"/>
      <c r="K65" s="336"/>
      <c r="L65" s="336"/>
      <c r="M65" s="328"/>
      <c r="N65" s="330"/>
      <c r="O65" s="330"/>
      <c r="P65" s="330"/>
      <c r="Q65" s="330"/>
      <c r="R65" s="330"/>
      <c r="S65" s="330"/>
      <c r="T65" s="336"/>
      <c r="V65" s="348"/>
      <c r="W65" s="328"/>
      <c r="X65" s="334"/>
      <c r="Y65" s="335"/>
      <c r="Z65" s="336"/>
      <c r="AA65" s="336"/>
      <c r="AB65" s="336"/>
      <c r="AC65" s="328"/>
      <c r="AD65" s="330"/>
      <c r="AE65" s="330"/>
      <c r="AF65" s="330"/>
      <c r="AG65" s="330"/>
      <c r="AH65" s="330"/>
      <c r="AI65" s="330"/>
      <c r="AJ65" s="336"/>
    </row>
    <row r="66" spans="2:36">
      <c r="B66" s="326">
        <f>B64+1</f>
        <v>42</v>
      </c>
      <c r="D66" s="327" t="s">
        <v>15</v>
      </c>
      <c r="E66" s="328"/>
      <c r="F66" s="336">
        <f>F27+F34+F40+F46+F48+F50+F52+F54+F56+F58+F60+F62+F64</f>
        <v>1204788794.8239348</v>
      </c>
      <c r="G66" s="328"/>
      <c r="H66" s="334"/>
      <c r="I66" s="335"/>
      <c r="J66" s="336">
        <f>J27+J34+J40+J46+J48+J50+J52+J54+J56+J58+J60+J62+J64</f>
        <v>1220967509.1786642</v>
      </c>
      <c r="K66" s="328"/>
      <c r="L66" s="336">
        <f>L27+L34+L40+L46+L48+L50+L52+L54+L56+L58+L60+L62+L64</f>
        <v>755748.64524189825</v>
      </c>
      <c r="M66" s="328"/>
      <c r="N66" s="328"/>
      <c r="O66" s="328"/>
      <c r="P66" s="330"/>
      <c r="Q66" s="330"/>
      <c r="R66" s="330"/>
      <c r="S66" s="330"/>
      <c r="T66" s="336">
        <f>T27+T34+T40+T46+T48+T50+T52+T54+T56+T58+T60+T62+T64</f>
        <v>27516954.525682032</v>
      </c>
      <c r="V66" s="336">
        <f>V27+V34+V40+V46+V48+V50+V52+V54+V56+V58+V60+V62+V64</f>
        <v>1204788794.8239348</v>
      </c>
      <c r="W66" s="328"/>
      <c r="X66" s="334"/>
      <c r="Y66" s="335"/>
      <c r="Z66" s="336">
        <f>Z27+Z34+Z40+Z46+Z48+Z50+Z52+Z54+Z56+Z58+Z60+Z62+Z64</f>
        <v>1220967509.1786642</v>
      </c>
      <c r="AA66" s="328"/>
      <c r="AB66" s="336">
        <f>AB27+AB34+AB40+AB46+AB48+AB50+AB52+AB54+AB56+AB58+AB60+AB62+AB64</f>
        <v>755748.64524189825</v>
      </c>
      <c r="AC66" s="328"/>
      <c r="AD66" s="328"/>
      <c r="AE66" s="328"/>
      <c r="AF66" s="330"/>
      <c r="AG66" s="330"/>
      <c r="AH66" s="330"/>
      <c r="AI66" s="330"/>
      <c r="AJ66" s="336">
        <f>AJ27+AJ34+AJ40+AJ46+AJ48+AJ50+AJ52+AJ54+AJ56+AJ58+AJ60+AJ62+AJ64</f>
        <v>-3195885.6038755793</v>
      </c>
    </row>
    <row r="67" spans="2:36">
      <c r="B67" s="326"/>
      <c r="D67" s="327"/>
      <c r="E67" s="328"/>
      <c r="F67" s="348"/>
      <c r="G67" s="328"/>
      <c r="H67" s="334"/>
      <c r="I67" s="335"/>
      <c r="J67" s="328"/>
      <c r="K67" s="328"/>
      <c r="L67" s="328"/>
      <c r="M67" s="328"/>
      <c r="N67" s="328"/>
      <c r="O67" s="328"/>
      <c r="P67" s="330"/>
      <c r="Q67" s="330"/>
      <c r="R67" s="330"/>
      <c r="S67" s="330"/>
      <c r="T67" s="336"/>
      <c r="V67" s="348"/>
      <c r="W67" s="328"/>
      <c r="X67" s="334"/>
      <c r="Y67" s="335"/>
      <c r="Z67" s="328"/>
      <c r="AA67" s="328"/>
      <c r="AB67" s="328"/>
      <c r="AC67" s="328"/>
      <c r="AD67" s="328"/>
      <c r="AE67" s="328"/>
      <c r="AF67" s="330"/>
      <c r="AG67" s="330"/>
      <c r="AH67" s="330"/>
      <c r="AI67" s="330"/>
      <c r="AJ67" s="336"/>
    </row>
    <row r="68" spans="2:36">
      <c r="B68" s="326">
        <f>B66+1</f>
        <v>43</v>
      </c>
      <c r="D68" s="327" t="s">
        <v>303</v>
      </c>
      <c r="E68" s="328"/>
      <c r="F68" s="332">
        <v>25716731.177799996</v>
      </c>
      <c r="G68" s="328"/>
      <c r="H68" s="334">
        <v>1</v>
      </c>
      <c r="I68" s="335"/>
      <c r="J68" s="332">
        <f>F68*H68</f>
        <v>25716731.177799996</v>
      </c>
      <c r="K68" s="328"/>
      <c r="L68" s="336">
        <f>J68/366</f>
        <v>70264.292835519111</v>
      </c>
      <c r="M68" s="328"/>
      <c r="N68" s="330">
        <v>43.648333333333333</v>
      </c>
      <c r="O68" s="330"/>
      <c r="P68" s="330">
        <v>-39.830534579791077</v>
      </c>
      <c r="Q68" s="330"/>
      <c r="R68" s="330">
        <f>N68+P68</f>
        <v>3.817798753542256</v>
      </c>
      <c r="S68" s="330"/>
      <c r="T68" s="336">
        <f>L68*R68</f>
        <v>268254.92960597295</v>
      </c>
      <c r="V68" s="332">
        <v>25716731.177799996</v>
      </c>
      <c r="W68" s="328"/>
      <c r="X68" s="334">
        <v>1</v>
      </c>
      <c r="Y68" s="335"/>
      <c r="Z68" s="332">
        <f>V68*X68</f>
        <v>25716731.177799996</v>
      </c>
      <c r="AA68" s="328"/>
      <c r="AB68" s="336">
        <f>Z68/366</f>
        <v>70264.292835519111</v>
      </c>
      <c r="AC68" s="328"/>
      <c r="AD68" s="330">
        <v>43.648333333333333</v>
      </c>
      <c r="AE68" s="330"/>
      <c r="AF68" s="330">
        <v>-39.830534579791077</v>
      </c>
      <c r="AG68" s="330"/>
      <c r="AH68" s="330">
        <f>AD68+AF68</f>
        <v>3.817798753542256</v>
      </c>
      <c r="AI68" s="330"/>
      <c r="AJ68" s="336">
        <f>AB68*AH68</f>
        <v>268254.92960597295</v>
      </c>
    </row>
    <row r="69" spans="2:36">
      <c r="B69" s="326"/>
      <c r="D69" s="327"/>
      <c r="E69" s="328"/>
      <c r="F69" s="348"/>
      <c r="G69" s="328"/>
      <c r="H69" s="334"/>
      <c r="I69" s="335"/>
      <c r="J69" s="328"/>
      <c r="K69" s="328"/>
      <c r="L69" s="328"/>
      <c r="M69" s="328"/>
      <c r="N69" s="328"/>
      <c r="O69" s="328"/>
      <c r="P69" s="330"/>
      <c r="Q69" s="330"/>
      <c r="R69" s="330"/>
      <c r="S69" s="330"/>
      <c r="T69" s="336"/>
      <c r="V69" s="348"/>
      <c r="W69" s="328"/>
      <c r="X69" s="334"/>
      <c r="Y69" s="335"/>
      <c r="Z69" s="328"/>
      <c r="AA69" s="328"/>
      <c r="AB69" s="328"/>
      <c r="AC69" s="328"/>
      <c r="AD69" s="328"/>
      <c r="AE69" s="328"/>
      <c r="AF69" s="330"/>
      <c r="AG69" s="330"/>
      <c r="AH69" s="330"/>
      <c r="AI69" s="330"/>
      <c r="AJ69" s="336"/>
    </row>
    <row r="70" spans="2:36">
      <c r="B70" s="326">
        <f>B68+1</f>
        <v>44</v>
      </c>
      <c r="D70" s="327" t="s">
        <v>304</v>
      </c>
      <c r="E70" s="328"/>
      <c r="F70" s="332">
        <v>2711761.2133999998</v>
      </c>
      <c r="G70" s="328"/>
      <c r="H70" s="334">
        <v>1</v>
      </c>
      <c r="I70" s="335"/>
      <c r="J70" s="332">
        <f>F70*H70</f>
        <v>2711761.2133999998</v>
      </c>
      <c r="K70" s="328"/>
      <c r="L70" s="336">
        <f>J70/366</f>
        <v>7409.1836431693982</v>
      </c>
      <c r="M70" s="328"/>
      <c r="N70" s="330">
        <v>43.648333333333333</v>
      </c>
      <c r="O70" s="330"/>
      <c r="P70" s="330">
        <v>-35.053402125791742</v>
      </c>
      <c r="Q70" s="330"/>
      <c r="R70" s="330">
        <f>N70+P70</f>
        <v>8.5949312075415918</v>
      </c>
      <c r="S70" s="330"/>
      <c r="T70" s="336">
        <f>L70*R70</f>
        <v>63681.423717083366</v>
      </c>
      <c r="V70" s="332">
        <v>2711761.2133999998</v>
      </c>
      <c r="W70" s="328"/>
      <c r="X70" s="334">
        <v>1</v>
      </c>
      <c r="Y70" s="335"/>
      <c r="Z70" s="332">
        <f>V70*X70</f>
        <v>2711761.2133999998</v>
      </c>
      <c r="AA70" s="328"/>
      <c r="AB70" s="336">
        <f>Z70/366</f>
        <v>7409.1836431693982</v>
      </c>
      <c r="AC70" s="328"/>
      <c r="AD70" s="330">
        <v>43.648333333333333</v>
      </c>
      <c r="AE70" s="330"/>
      <c r="AF70" s="330">
        <v>-35.053402125791742</v>
      </c>
      <c r="AG70" s="330"/>
      <c r="AH70" s="330">
        <f>AD70+AF70</f>
        <v>8.5949312075415918</v>
      </c>
      <c r="AI70" s="330"/>
      <c r="AJ70" s="336">
        <f>AB70*AH70</f>
        <v>63681.423717083366</v>
      </c>
    </row>
    <row r="71" spans="2:36">
      <c r="B71" s="326"/>
      <c r="D71" s="327"/>
      <c r="E71" s="328"/>
      <c r="F71" s="348"/>
      <c r="G71" s="328"/>
      <c r="H71" s="334"/>
      <c r="I71" s="335"/>
      <c r="J71" s="328"/>
      <c r="K71" s="328"/>
      <c r="L71" s="328"/>
      <c r="M71" s="328"/>
      <c r="N71" s="330"/>
      <c r="O71" s="330"/>
      <c r="P71" s="330"/>
      <c r="Q71" s="330"/>
      <c r="R71" s="330"/>
      <c r="S71" s="330"/>
      <c r="T71" s="336"/>
      <c r="V71" s="348"/>
      <c r="W71" s="328"/>
      <c r="X71" s="334"/>
      <c r="Y71" s="335"/>
      <c r="Z71" s="328"/>
      <c r="AA71" s="328"/>
      <c r="AB71" s="328"/>
      <c r="AC71" s="328"/>
      <c r="AD71" s="330"/>
      <c r="AE71" s="330"/>
      <c r="AF71" s="330"/>
      <c r="AG71" s="330"/>
      <c r="AH71" s="330"/>
      <c r="AI71" s="330"/>
      <c r="AJ71" s="336"/>
    </row>
    <row r="72" spans="2:36">
      <c r="B72" s="326">
        <f>B70+1</f>
        <v>45</v>
      </c>
      <c r="D72" s="327" t="s">
        <v>305</v>
      </c>
      <c r="E72" s="328"/>
      <c r="F72" s="332">
        <v>126188.52</v>
      </c>
      <c r="G72" s="328"/>
      <c r="H72" s="334">
        <v>1</v>
      </c>
      <c r="I72" s="335"/>
      <c r="J72" s="332">
        <f>F72*H72</f>
        <v>126188.52</v>
      </c>
      <c r="K72" s="328"/>
      <c r="L72" s="336">
        <f>J72/366</f>
        <v>344.77737704918036</v>
      </c>
      <c r="M72" s="328"/>
      <c r="N72" s="330">
        <v>43.648333333333333</v>
      </c>
      <c r="O72" s="330"/>
      <c r="P72" s="330">
        <v>-100.23615393014543</v>
      </c>
      <c r="Q72" s="330"/>
      <c r="R72" s="330">
        <f>N72+P72</f>
        <v>-56.587820596812101</v>
      </c>
      <c r="S72" s="330"/>
      <c r="T72" s="341">
        <f>L72*R72</f>
        <v>-19510.200358298462</v>
      </c>
      <c r="V72" s="332">
        <v>126188.52</v>
      </c>
      <c r="W72" s="328"/>
      <c r="X72" s="334">
        <v>1</v>
      </c>
      <c r="Y72" s="335"/>
      <c r="Z72" s="332">
        <f>V72*X72</f>
        <v>126188.52</v>
      </c>
      <c r="AA72" s="328"/>
      <c r="AB72" s="336">
        <f>Z72/366</f>
        <v>344.77737704918036</v>
      </c>
      <c r="AC72" s="328"/>
      <c r="AD72" s="330">
        <v>43.648333333333333</v>
      </c>
      <c r="AE72" s="330"/>
      <c r="AF72" s="330">
        <v>-100.23615393014543</v>
      </c>
      <c r="AG72" s="330"/>
      <c r="AH72" s="330">
        <f>AD72+AF72</f>
        <v>-56.587820596812101</v>
      </c>
      <c r="AI72" s="330"/>
      <c r="AJ72" s="341">
        <f>AB72*AH72</f>
        <v>-19510.200358298462</v>
      </c>
    </row>
    <row r="73" spans="2:36">
      <c r="B73" s="326"/>
      <c r="D73" s="327"/>
      <c r="E73" s="328"/>
      <c r="F73" s="328"/>
      <c r="G73" s="328"/>
      <c r="H73" s="335"/>
      <c r="I73" s="335"/>
      <c r="J73" s="328"/>
      <c r="K73" s="328"/>
      <c r="L73" s="328"/>
      <c r="M73" s="328"/>
      <c r="N73" s="328"/>
      <c r="O73" s="328"/>
      <c r="P73" s="330"/>
      <c r="Q73" s="330"/>
      <c r="R73" s="328"/>
      <c r="S73" s="328"/>
      <c r="T73" s="336"/>
      <c r="V73" s="328"/>
      <c r="W73" s="328"/>
      <c r="X73" s="335"/>
      <c r="Y73" s="335"/>
      <c r="Z73" s="328"/>
      <c r="AA73" s="328"/>
      <c r="AB73" s="328"/>
      <c r="AC73" s="328"/>
      <c r="AD73" s="328"/>
      <c r="AE73" s="328"/>
      <c r="AF73" s="330"/>
      <c r="AG73" s="330"/>
      <c r="AH73" s="328"/>
      <c r="AI73" s="328"/>
      <c r="AJ73" s="336"/>
    </row>
    <row r="74" spans="2:36">
      <c r="B74" s="326">
        <f>B72+1</f>
        <v>46</v>
      </c>
      <c r="D74" s="327" t="s">
        <v>306</v>
      </c>
      <c r="E74" s="328"/>
      <c r="F74" s="328"/>
      <c r="G74" s="328"/>
      <c r="H74" s="335"/>
      <c r="I74" s="335"/>
      <c r="J74" s="328"/>
      <c r="K74" s="328"/>
      <c r="L74" s="328"/>
      <c r="M74" s="328"/>
      <c r="N74" s="328"/>
      <c r="O74" s="328"/>
      <c r="P74" s="330"/>
      <c r="Q74" s="330"/>
      <c r="R74" s="328"/>
      <c r="S74" s="328"/>
      <c r="T74" s="340">
        <f>SUM(T66:T72)</f>
        <v>27829380.678646788</v>
      </c>
      <c r="V74" s="328"/>
      <c r="W74" s="328"/>
      <c r="X74" s="335"/>
      <c r="Y74" s="335"/>
      <c r="Z74" s="328"/>
      <c r="AA74" s="328"/>
      <c r="AB74" s="328"/>
      <c r="AC74" s="328"/>
      <c r="AD74" s="328"/>
      <c r="AE74" s="328"/>
      <c r="AF74" s="330"/>
      <c r="AG74" s="330"/>
      <c r="AH74" s="328"/>
      <c r="AI74" s="328"/>
      <c r="AJ74" s="340">
        <f>SUM(AJ66:AJ72)</f>
        <v>-2883459.4509108216</v>
      </c>
    </row>
    <row r="75" spans="2:36">
      <c r="B75" s="326"/>
      <c r="D75" s="327"/>
      <c r="E75" s="328"/>
      <c r="F75" s="328"/>
      <c r="G75" s="328"/>
      <c r="H75" s="335"/>
      <c r="I75" s="335"/>
      <c r="J75" s="328"/>
      <c r="K75" s="328"/>
      <c r="L75" s="328"/>
      <c r="M75" s="328"/>
      <c r="N75" s="328"/>
      <c r="O75" s="328"/>
      <c r="P75" s="330"/>
      <c r="Q75" s="330"/>
      <c r="R75" s="328"/>
      <c r="S75" s="328"/>
      <c r="T75" s="336"/>
      <c r="V75" s="328"/>
      <c r="W75" s="328"/>
      <c r="X75" s="335"/>
      <c r="Y75" s="335"/>
      <c r="Z75" s="328"/>
      <c r="AA75" s="328"/>
      <c r="AB75" s="328"/>
      <c r="AC75" s="328"/>
      <c r="AD75" s="328"/>
      <c r="AE75" s="328"/>
      <c r="AF75" s="330"/>
      <c r="AG75" s="330"/>
      <c r="AH75" s="328"/>
      <c r="AI75" s="328"/>
      <c r="AJ75" s="336"/>
    </row>
    <row r="76" spans="2:36">
      <c r="B76" s="326">
        <f>B74+1</f>
        <v>47</v>
      </c>
      <c r="D76" s="327" t="s">
        <v>307</v>
      </c>
      <c r="E76" s="328"/>
      <c r="F76" s="328"/>
      <c r="G76" s="328"/>
      <c r="H76" s="335"/>
      <c r="I76" s="335"/>
      <c r="J76" s="328"/>
      <c r="K76" s="328"/>
      <c r="L76" s="328"/>
      <c r="M76" s="328"/>
      <c r="N76" s="328"/>
      <c r="O76" s="328"/>
      <c r="P76" s="330"/>
      <c r="Q76" s="330"/>
      <c r="R76" s="328"/>
      <c r="S76" s="328"/>
      <c r="T76" s="341">
        <v>87262950</v>
      </c>
      <c r="V76" s="328"/>
      <c r="W76" s="328"/>
      <c r="X76" s="335"/>
      <c r="Y76" s="335"/>
      <c r="Z76" s="328"/>
      <c r="AA76" s="328"/>
      <c r="AB76" s="328"/>
      <c r="AC76" s="328"/>
      <c r="AD76" s="328"/>
      <c r="AE76" s="328"/>
      <c r="AF76" s="330"/>
      <c r="AG76" s="330"/>
      <c r="AH76" s="328"/>
      <c r="AI76" s="328"/>
      <c r="AJ76" s="341">
        <v>87262950</v>
      </c>
    </row>
    <row r="77" spans="2:36">
      <c r="B77" s="326"/>
      <c r="D77" s="327"/>
      <c r="E77" s="328"/>
      <c r="F77" s="328"/>
      <c r="G77" s="328"/>
      <c r="H77" s="335"/>
      <c r="I77" s="335"/>
      <c r="J77" s="328"/>
      <c r="K77" s="328"/>
      <c r="L77" s="328"/>
      <c r="M77" s="328"/>
      <c r="N77" s="328"/>
      <c r="O77" s="328"/>
      <c r="P77" s="330"/>
      <c r="Q77" s="330"/>
      <c r="R77" s="328"/>
      <c r="S77" s="328"/>
      <c r="T77" s="336"/>
      <c r="V77" s="328"/>
      <c r="W77" s="328"/>
      <c r="X77" s="335"/>
      <c r="Y77" s="335"/>
      <c r="Z77" s="328"/>
      <c r="AA77" s="328"/>
      <c r="AB77" s="328"/>
      <c r="AC77" s="328"/>
      <c r="AD77" s="328"/>
      <c r="AE77" s="328"/>
      <c r="AF77" s="330"/>
      <c r="AG77" s="330"/>
      <c r="AH77" s="328"/>
      <c r="AI77" s="328"/>
      <c r="AJ77" s="336"/>
    </row>
    <row r="78" spans="2:36" ht="14" thickBot="1">
      <c r="B78" s="326">
        <f>B76+1</f>
        <v>48</v>
      </c>
      <c r="D78" s="327" t="s">
        <v>92</v>
      </c>
      <c r="E78" s="328"/>
      <c r="F78" s="328"/>
      <c r="G78" s="328"/>
      <c r="H78" s="335"/>
      <c r="I78" s="335"/>
      <c r="J78" s="328"/>
      <c r="K78" s="328"/>
      <c r="L78" s="328"/>
      <c r="M78" s="328"/>
      <c r="N78" s="328"/>
      <c r="O78" s="328"/>
      <c r="P78" s="330"/>
      <c r="Q78" s="330"/>
      <c r="R78" s="328"/>
      <c r="S78" s="328"/>
      <c r="T78" s="351">
        <f>SUM(T74:T76)</f>
        <v>115092330.67864679</v>
      </c>
      <c r="V78" s="328"/>
      <c r="W78" s="328"/>
      <c r="X78" s="335"/>
      <c r="Y78" s="335"/>
      <c r="Z78" s="328"/>
      <c r="AA78" s="328"/>
      <c r="AB78" s="328"/>
      <c r="AC78" s="328"/>
      <c r="AD78" s="328"/>
      <c r="AE78" s="328"/>
      <c r="AF78" s="330"/>
      <c r="AG78" s="330"/>
      <c r="AH78" s="328"/>
      <c r="AI78" s="328"/>
      <c r="AJ78" s="351">
        <f>SUM(AJ74:AJ76)</f>
        <v>84379490.549089178</v>
      </c>
    </row>
    <row r="79" spans="2:36" ht="14" thickTop="1">
      <c r="B79" s="326"/>
      <c r="D79" s="327"/>
      <c r="E79" s="328"/>
      <c r="F79" s="328"/>
      <c r="G79" s="328"/>
      <c r="H79" s="335"/>
      <c r="I79" s="335"/>
      <c r="J79" s="328"/>
      <c r="K79" s="328"/>
      <c r="L79" s="328"/>
      <c r="M79" s="328"/>
      <c r="N79" s="328"/>
      <c r="O79" s="328"/>
      <c r="P79" s="330"/>
      <c r="Q79" s="330"/>
      <c r="R79" s="328"/>
      <c r="S79" s="328"/>
      <c r="T79" s="336"/>
      <c r="V79" s="328"/>
      <c r="W79" s="328"/>
      <c r="X79" s="335"/>
      <c r="Y79" s="335"/>
      <c r="Z79" s="328"/>
      <c r="AA79" s="328"/>
      <c r="AB79" s="328"/>
      <c r="AC79" s="328"/>
      <c r="AD79" s="328"/>
      <c r="AE79" s="328"/>
      <c r="AF79" s="330"/>
      <c r="AG79" s="330"/>
      <c r="AH79" s="328"/>
      <c r="AI79" s="328"/>
      <c r="AJ79" s="336"/>
    </row>
    <row r="80" spans="2:36" ht="14" thickBot="1">
      <c r="B80" s="326">
        <f>B78+1</f>
        <v>49</v>
      </c>
      <c r="D80" s="327" t="s">
        <v>308</v>
      </c>
      <c r="E80" s="328"/>
      <c r="F80" s="328"/>
      <c r="G80" s="328"/>
      <c r="H80" s="335"/>
      <c r="I80" s="335"/>
      <c r="J80" s="328"/>
      <c r="K80" s="328"/>
      <c r="L80" s="328"/>
      <c r="M80" s="328"/>
      <c r="N80" s="328"/>
      <c r="O80" s="328"/>
      <c r="P80" s="330"/>
      <c r="Q80" s="330"/>
      <c r="R80" s="328"/>
      <c r="S80" s="328"/>
      <c r="T80" s="351">
        <v>863005</v>
      </c>
      <c r="V80" s="328"/>
      <c r="W80" s="328"/>
      <c r="X80" s="335"/>
      <c r="Y80" s="335"/>
      <c r="Z80" s="328"/>
      <c r="AA80" s="328"/>
      <c r="AB80" s="328"/>
      <c r="AC80" s="328"/>
      <c r="AD80" s="328"/>
      <c r="AE80" s="328"/>
      <c r="AF80" s="330"/>
      <c r="AG80" s="330"/>
      <c r="AH80" s="328"/>
      <c r="AI80" s="328"/>
      <c r="AJ80" s="351">
        <v>863005</v>
      </c>
    </row>
    <row r="81" spans="2:38" ht="14" thickTop="1">
      <c r="B81" s="326"/>
      <c r="D81" s="327"/>
      <c r="E81" s="328"/>
      <c r="F81" s="328"/>
      <c r="G81" s="328"/>
      <c r="H81" s="335"/>
      <c r="I81" s="335"/>
      <c r="J81" s="328"/>
      <c r="K81" s="328"/>
      <c r="L81" s="328"/>
      <c r="M81" s="328"/>
      <c r="N81" s="328"/>
      <c r="O81" s="328"/>
      <c r="P81" s="330"/>
      <c r="Q81" s="330"/>
      <c r="R81" s="328"/>
      <c r="S81" s="328"/>
      <c r="T81" s="336"/>
      <c r="V81" s="328"/>
      <c r="W81" s="328"/>
      <c r="X81" s="335"/>
      <c r="Y81" s="335"/>
      <c r="Z81" s="328"/>
      <c r="AA81" s="328"/>
      <c r="AB81" s="328"/>
      <c r="AC81" s="328"/>
      <c r="AD81" s="328"/>
      <c r="AE81" s="328"/>
      <c r="AF81" s="330"/>
      <c r="AG81" s="330"/>
      <c r="AH81" s="328"/>
      <c r="AI81" s="328"/>
      <c r="AJ81" s="336"/>
    </row>
    <row r="82" spans="2:38" ht="14" thickBot="1">
      <c r="B82" s="326">
        <f>B80+1</f>
        <v>50</v>
      </c>
      <c r="D82" s="327" t="s">
        <v>309</v>
      </c>
      <c r="E82" s="328"/>
      <c r="F82" s="328"/>
      <c r="G82" s="328"/>
      <c r="H82" s="335"/>
      <c r="I82" s="335"/>
      <c r="J82" s="328"/>
      <c r="K82" s="328"/>
      <c r="L82" s="328"/>
      <c r="M82" s="328"/>
      <c r="N82" s="328"/>
      <c r="O82" s="328"/>
      <c r="P82" s="330"/>
      <c r="Q82" s="330"/>
      <c r="R82" s="328"/>
      <c r="S82" s="328"/>
      <c r="T82" s="351">
        <f>T78-T80-1</f>
        <v>114229324.67864679</v>
      </c>
      <c r="V82" s="328"/>
      <c r="W82" s="328"/>
      <c r="X82" s="335"/>
      <c r="Y82" s="335"/>
      <c r="Z82" s="328"/>
      <c r="AA82" s="328"/>
      <c r="AB82" s="328"/>
      <c r="AC82" s="328"/>
      <c r="AD82" s="328"/>
      <c r="AE82" s="328"/>
      <c r="AF82" s="330"/>
      <c r="AG82" s="330"/>
      <c r="AH82" s="328"/>
      <c r="AI82" s="328"/>
      <c r="AJ82" s="351">
        <f>AJ78-AJ80-1</f>
        <v>83516484.549089178</v>
      </c>
      <c r="AL82" s="296">
        <f>+AJ82-T82</f>
        <v>-30712840.12955761</v>
      </c>
    </row>
    <row r="83" spans="2:38" ht="14" thickTop="1">
      <c r="B83" s="326"/>
      <c r="D83" s="327"/>
      <c r="E83" s="328"/>
      <c r="F83" s="328"/>
      <c r="G83" s="328"/>
      <c r="H83" s="335"/>
      <c r="I83" s="335"/>
      <c r="J83" s="328"/>
      <c r="K83" s="328"/>
      <c r="L83" s="328"/>
      <c r="M83" s="328"/>
      <c r="N83" s="328"/>
      <c r="O83" s="328"/>
      <c r="P83" s="330"/>
      <c r="Q83" s="330"/>
      <c r="R83" s="328"/>
      <c r="S83" s="328"/>
      <c r="T83" s="340"/>
      <c r="V83" s="328"/>
      <c r="W83" s="328"/>
      <c r="X83" s="335"/>
      <c r="Y83" s="335"/>
      <c r="Z83" s="328"/>
      <c r="AA83" s="328"/>
      <c r="AB83" s="328"/>
      <c r="AC83" s="328"/>
      <c r="AD83" s="328"/>
      <c r="AE83" s="328"/>
      <c r="AF83" s="330"/>
      <c r="AG83" s="330"/>
      <c r="AH83" s="328"/>
      <c r="AI83" s="328"/>
      <c r="AJ83" s="340"/>
    </row>
    <row r="84" spans="2:38" s="34" customFormat="1">
      <c r="B84" s="108" t="s">
        <v>79</v>
      </c>
      <c r="C84" s="112"/>
      <c r="D84" s="112"/>
      <c r="E84" s="112"/>
      <c r="F84" s="112"/>
      <c r="G84" s="112"/>
      <c r="H84" s="123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</row>
    <row r="85" spans="2:38" s="34" customFormat="1">
      <c r="B85" s="63" t="s">
        <v>566</v>
      </c>
    </row>
  </sheetData>
  <mergeCells count="3">
    <mergeCell ref="B1:L1"/>
    <mergeCell ref="F9:T9"/>
    <mergeCell ref="V9:AJ9"/>
  </mergeCells>
  <pageMargins left="0.7" right="0.7" top="0.75" bottom="0.75" header="0.3" footer="0.3"/>
  <pageSetup scale="40" orientation="landscape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7FD9F-B246-CE4C-A75C-8E42C7ED7CB3}">
  <sheetPr>
    <tabColor rgb="FFFF0000"/>
    <pageSetUpPr fitToPage="1"/>
  </sheetPr>
  <dimension ref="A1:X401"/>
  <sheetViews>
    <sheetView workbookViewId="0">
      <selection activeCell="L6" sqref="L6"/>
    </sheetView>
  </sheetViews>
  <sheetFormatPr baseColWidth="10" defaultColWidth="10.33203125" defaultRowHeight="13"/>
  <cols>
    <col min="1" max="1" width="5.6640625" style="362" customWidth="1"/>
    <col min="2" max="2" width="50.33203125" style="362" customWidth="1"/>
    <col min="3" max="3" width="45.5" style="362" bestFit="1" customWidth="1"/>
    <col min="4" max="4" width="14.83203125" style="362" customWidth="1"/>
    <col min="5" max="5" width="18.6640625" style="378" bestFit="1" customWidth="1"/>
    <col min="6" max="7" width="14.83203125" style="362" customWidth="1"/>
    <col min="8" max="8" width="14.83203125" style="362" bestFit="1" customWidth="1"/>
    <col min="9" max="9" width="14.83203125" style="362" customWidth="1"/>
    <col min="10" max="11" width="11.33203125" style="362" customWidth="1"/>
    <col min="12" max="12" width="18.33203125" style="378" customWidth="1"/>
    <col min="13" max="16" width="10.33203125" style="362"/>
    <col min="17" max="17" width="18.5" style="362" customWidth="1"/>
    <col min="18" max="16384" width="10.33203125" style="362"/>
  </cols>
  <sheetData>
    <row r="1" spans="1:17" s="26" customFormat="1">
      <c r="B1" s="449" t="str">
        <f>+'Sch 1'!B1:J1</f>
        <v>-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61"/>
      <c r="N1" s="61"/>
    </row>
    <row r="2" spans="1:17" s="26" customFormat="1">
      <c r="B2" s="379"/>
    </row>
    <row r="3" spans="1:17" s="26" customFormat="1">
      <c r="B3" s="11" t="str">
        <f>+'Sch 1.1'!B3</f>
        <v>Kentucky Public Service Commission</v>
      </c>
      <c r="L3" s="35" t="str">
        <f>+'Sch 1.1'!J3</f>
        <v>Case No. 2018-00295</v>
      </c>
    </row>
    <row r="4" spans="1:17" s="26" customFormat="1">
      <c r="L4" s="35" t="s">
        <v>333</v>
      </c>
    </row>
    <row r="5" spans="1:17" s="26" customFormat="1">
      <c r="B5" s="84" t="str">
        <f>+'Sch 1.1'!B5</f>
        <v>Louisville Gas and Electric Company–Electric</v>
      </c>
      <c r="L5" s="35"/>
    </row>
    <row r="6" spans="1:17" s="26" customFormat="1">
      <c r="B6" s="11" t="s">
        <v>47</v>
      </c>
    </row>
    <row r="7" spans="1:17" s="26" customFormat="1">
      <c r="B7" s="26" t="s">
        <v>355</v>
      </c>
    </row>
    <row r="8" spans="1:17" ht="14" thickBot="1">
      <c r="A8" s="361"/>
      <c r="B8" s="450" t="s">
        <v>564</v>
      </c>
      <c r="C8" s="450"/>
      <c r="D8" s="450"/>
      <c r="E8" s="450"/>
      <c r="F8" s="450"/>
      <c r="G8" s="450"/>
      <c r="H8" s="450"/>
      <c r="I8" s="450"/>
      <c r="J8" s="450"/>
      <c r="K8" s="450"/>
      <c r="L8" s="450"/>
      <c r="N8" s="448" t="s">
        <v>25</v>
      </c>
      <c r="O8" s="448"/>
      <c r="P8" s="448"/>
      <c r="Q8" s="448"/>
    </row>
    <row r="9" spans="1:17" ht="51">
      <c r="A9" s="380" t="s">
        <v>370</v>
      </c>
      <c r="B9" s="380" t="s">
        <v>371</v>
      </c>
      <c r="C9" s="380" t="s">
        <v>372</v>
      </c>
      <c r="D9" s="380" t="s">
        <v>373</v>
      </c>
      <c r="E9" s="380" t="s">
        <v>374</v>
      </c>
      <c r="F9" s="381" t="s">
        <v>375</v>
      </c>
      <c r="G9" s="380" t="s">
        <v>376</v>
      </c>
      <c r="H9" s="380" t="s">
        <v>377</v>
      </c>
      <c r="I9" s="380" t="s">
        <v>378</v>
      </c>
      <c r="J9" s="380" t="s">
        <v>379</v>
      </c>
      <c r="K9" s="380" t="s">
        <v>380</v>
      </c>
      <c r="L9" s="380" t="s">
        <v>381</v>
      </c>
      <c r="N9" s="382" t="str">
        <f>H9</f>
        <v>Service Lead/
Mid-Point</v>
      </c>
      <c r="O9" s="382" t="str">
        <f>J9</f>
        <v>Payment Lead</v>
      </c>
      <c r="P9" s="382" t="str">
        <f>K9</f>
        <v>Total Lead</v>
      </c>
      <c r="Q9" s="382" t="str">
        <f>L9</f>
        <v>Weighted Lead</v>
      </c>
    </row>
    <row r="10" spans="1:17" ht="28">
      <c r="A10" s="383"/>
      <c r="B10" s="384" t="s">
        <v>382</v>
      </c>
      <c r="C10" s="384" t="s">
        <v>383</v>
      </c>
      <c r="D10" s="385" t="s">
        <v>384</v>
      </c>
      <c r="E10" s="385" t="s">
        <v>385</v>
      </c>
      <c r="F10" s="384" t="s">
        <v>386</v>
      </c>
      <c r="G10" s="384" t="s">
        <v>387</v>
      </c>
      <c r="H10" s="386" t="s">
        <v>388</v>
      </c>
      <c r="I10" s="384" t="s">
        <v>389</v>
      </c>
      <c r="J10" s="386" t="s">
        <v>390</v>
      </c>
      <c r="K10" s="387" t="s">
        <v>391</v>
      </c>
      <c r="L10" s="385" t="s">
        <v>392</v>
      </c>
      <c r="N10" s="363"/>
      <c r="O10" s="363"/>
      <c r="P10" s="363"/>
      <c r="Q10" s="363"/>
    </row>
    <row r="11" spans="1:17">
      <c r="A11" s="364"/>
      <c r="B11" s="365"/>
      <c r="C11" s="365"/>
      <c r="D11" s="365"/>
      <c r="E11" s="366"/>
      <c r="F11" s="367"/>
      <c r="G11" s="367"/>
      <c r="H11" s="365"/>
      <c r="I11" s="367"/>
      <c r="J11" s="365"/>
      <c r="K11" s="365"/>
      <c r="L11" s="366"/>
      <c r="N11" s="363"/>
      <c r="O11" s="363"/>
      <c r="P11" s="363"/>
      <c r="Q11" s="363"/>
    </row>
    <row r="12" spans="1:17">
      <c r="A12" s="368">
        <v>1</v>
      </c>
      <c r="B12" s="388" t="s">
        <v>393</v>
      </c>
      <c r="C12" s="388" t="s">
        <v>394</v>
      </c>
      <c r="D12" s="389">
        <v>42776</v>
      </c>
      <c r="E12" s="390">
        <v>114.22</v>
      </c>
      <c r="F12" s="389">
        <v>42776</v>
      </c>
      <c r="G12" s="389"/>
      <c r="H12" s="369">
        <f>IF(G12="",0,(G12-F12)/2)</f>
        <v>0</v>
      </c>
      <c r="I12" s="389">
        <v>42794</v>
      </c>
      <c r="J12" s="391">
        <f>IF(G12="",I12-F12,I12-G12)</f>
        <v>18</v>
      </c>
      <c r="K12" s="392">
        <f t="shared" ref="K12:K75" si="0">H12+J12</f>
        <v>18</v>
      </c>
      <c r="L12" s="336">
        <f t="shared" ref="L12:L75" si="1">ROUND(E12*K12,2)</f>
        <v>2055.96</v>
      </c>
      <c r="N12" s="370">
        <f>IF(G12="",30/2,H12)</f>
        <v>15</v>
      </c>
      <c r="O12" s="370">
        <f>J12</f>
        <v>18</v>
      </c>
      <c r="P12" s="370">
        <f>N12+O12</f>
        <v>33</v>
      </c>
      <c r="Q12" s="371">
        <f>E12*P12</f>
        <v>3769.2599999999998</v>
      </c>
    </row>
    <row r="13" spans="1:17">
      <c r="A13" s="368">
        <f t="shared" ref="A13:A76" si="2">A12+1</f>
        <v>2</v>
      </c>
      <c r="B13" s="388" t="s">
        <v>393</v>
      </c>
      <c r="C13" s="388" t="s">
        <v>394</v>
      </c>
      <c r="D13" s="389">
        <v>42898</v>
      </c>
      <c r="E13" s="390">
        <v>95.49</v>
      </c>
      <c r="F13" s="389">
        <v>42898</v>
      </c>
      <c r="G13" s="389"/>
      <c r="H13" s="369">
        <f t="shared" ref="H13:H76" si="3">IF(G13="",0,(G13-F13)/2)</f>
        <v>0</v>
      </c>
      <c r="I13" s="389">
        <v>42916</v>
      </c>
      <c r="J13" s="391">
        <f t="shared" ref="J13:J76" si="4">IF(G13="",I13-F13,I13-G13)</f>
        <v>18</v>
      </c>
      <c r="K13" s="392">
        <f t="shared" si="0"/>
        <v>18</v>
      </c>
      <c r="L13" s="336">
        <f t="shared" si="1"/>
        <v>1718.82</v>
      </c>
      <c r="N13" s="370">
        <f t="shared" ref="N13:N76" si="5">IF(G13="",30/2,H13)</f>
        <v>15</v>
      </c>
      <c r="O13" s="370">
        <f t="shared" ref="O13:O76" si="6">J13</f>
        <v>18</v>
      </c>
      <c r="P13" s="370">
        <f t="shared" ref="P13:P76" si="7">N13+O13</f>
        <v>33</v>
      </c>
      <c r="Q13" s="371">
        <f t="shared" ref="Q13:Q76" si="8">E13*P13</f>
        <v>3151.1699999999996</v>
      </c>
    </row>
    <row r="14" spans="1:17">
      <c r="A14" s="368">
        <f t="shared" si="2"/>
        <v>3</v>
      </c>
      <c r="B14" s="388" t="s">
        <v>393</v>
      </c>
      <c r="C14" s="388" t="s">
        <v>394</v>
      </c>
      <c r="D14" s="389">
        <v>42927</v>
      </c>
      <c r="E14" s="390">
        <v>116.57</v>
      </c>
      <c r="F14" s="389">
        <v>42927</v>
      </c>
      <c r="G14" s="389"/>
      <c r="H14" s="369">
        <f t="shared" si="3"/>
        <v>0</v>
      </c>
      <c r="I14" s="389">
        <v>42944</v>
      </c>
      <c r="J14" s="391">
        <f t="shared" si="4"/>
        <v>17</v>
      </c>
      <c r="K14" s="392">
        <f t="shared" si="0"/>
        <v>17</v>
      </c>
      <c r="L14" s="336">
        <f t="shared" si="1"/>
        <v>1981.69</v>
      </c>
      <c r="M14" s="26"/>
      <c r="N14" s="370">
        <f t="shared" si="5"/>
        <v>15</v>
      </c>
      <c r="O14" s="370">
        <f t="shared" si="6"/>
        <v>17</v>
      </c>
      <c r="P14" s="370">
        <f t="shared" si="7"/>
        <v>32</v>
      </c>
      <c r="Q14" s="371">
        <f t="shared" si="8"/>
        <v>3730.24</v>
      </c>
    </row>
    <row r="15" spans="1:17">
      <c r="A15" s="368">
        <f>A14+1</f>
        <v>4</v>
      </c>
      <c r="B15" s="388" t="s">
        <v>395</v>
      </c>
      <c r="C15" s="388" t="s">
        <v>396</v>
      </c>
      <c r="D15" s="389">
        <v>42886</v>
      </c>
      <c r="E15" s="390">
        <v>7.12</v>
      </c>
      <c r="F15" s="389">
        <v>42872</v>
      </c>
      <c r="G15" s="389"/>
      <c r="H15" s="369">
        <f t="shared" si="3"/>
        <v>0</v>
      </c>
      <c r="I15" s="389">
        <v>42909</v>
      </c>
      <c r="J15" s="391">
        <f t="shared" si="4"/>
        <v>37</v>
      </c>
      <c r="K15" s="392">
        <f t="shared" si="0"/>
        <v>37</v>
      </c>
      <c r="L15" s="336">
        <f t="shared" si="1"/>
        <v>263.44</v>
      </c>
      <c r="N15" s="370">
        <f t="shared" si="5"/>
        <v>15</v>
      </c>
      <c r="O15" s="370">
        <f t="shared" si="6"/>
        <v>37</v>
      </c>
      <c r="P15" s="370">
        <f t="shared" si="7"/>
        <v>52</v>
      </c>
      <c r="Q15" s="371">
        <f t="shared" si="8"/>
        <v>370.24</v>
      </c>
    </row>
    <row r="16" spans="1:17">
      <c r="A16" s="368">
        <f t="shared" si="2"/>
        <v>5</v>
      </c>
      <c r="B16" s="388" t="s">
        <v>397</v>
      </c>
      <c r="C16" s="388" t="s">
        <v>396</v>
      </c>
      <c r="D16" s="389">
        <v>42852</v>
      </c>
      <c r="E16" s="390">
        <v>1000.43</v>
      </c>
      <c r="F16" s="389">
        <v>42824</v>
      </c>
      <c r="G16" s="389">
        <v>42836</v>
      </c>
      <c r="H16" s="369">
        <f t="shared" si="3"/>
        <v>6</v>
      </c>
      <c r="I16" s="389">
        <v>42858</v>
      </c>
      <c r="J16" s="391">
        <f t="shared" si="4"/>
        <v>22</v>
      </c>
      <c r="K16" s="392">
        <f t="shared" si="0"/>
        <v>28</v>
      </c>
      <c r="L16" s="336">
        <f t="shared" si="1"/>
        <v>28012.04</v>
      </c>
      <c r="N16" s="370">
        <f t="shared" si="5"/>
        <v>6</v>
      </c>
      <c r="O16" s="370">
        <f t="shared" si="6"/>
        <v>22</v>
      </c>
      <c r="P16" s="370">
        <f t="shared" si="7"/>
        <v>28</v>
      </c>
      <c r="Q16" s="371">
        <f t="shared" si="8"/>
        <v>28012.039999999997</v>
      </c>
    </row>
    <row r="17" spans="1:18">
      <c r="A17" s="368">
        <f t="shared" si="2"/>
        <v>6</v>
      </c>
      <c r="B17" s="388" t="s">
        <v>398</v>
      </c>
      <c r="C17" s="388" t="s">
        <v>396</v>
      </c>
      <c r="D17" s="389">
        <v>42871</v>
      </c>
      <c r="E17" s="390">
        <v>10550</v>
      </c>
      <c r="F17" s="389">
        <v>42870</v>
      </c>
      <c r="G17" s="389"/>
      <c r="H17" s="369">
        <f t="shared" si="3"/>
        <v>0</v>
      </c>
      <c r="I17" s="389">
        <v>42937</v>
      </c>
      <c r="J17" s="391">
        <f t="shared" si="4"/>
        <v>67</v>
      </c>
      <c r="K17" s="392">
        <f t="shared" si="0"/>
        <v>67</v>
      </c>
      <c r="L17" s="336">
        <f t="shared" si="1"/>
        <v>706850</v>
      </c>
      <c r="N17" s="370">
        <f t="shared" si="5"/>
        <v>15</v>
      </c>
      <c r="O17" s="370">
        <f t="shared" si="6"/>
        <v>67</v>
      </c>
      <c r="P17" s="370">
        <f t="shared" si="7"/>
        <v>82</v>
      </c>
      <c r="Q17" s="371">
        <f t="shared" si="8"/>
        <v>865100</v>
      </c>
    </row>
    <row r="18" spans="1:18">
      <c r="A18" s="368">
        <f t="shared" si="2"/>
        <v>7</v>
      </c>
      <c r="B18" s="388" t="s">
        <v>395</v>
      </c>
      <c r="C18" s="388" t="s">
        <v>396</v>
      </c>
      <c r="D18" s="389">
        <v>42855</v>
      </c>
      <c r="E18" s="390">
        <v>1.33</v>
      </c>
      <c r="F18" s="389">
        <v>42825</v>
      </c>
      <c r="G18" s="389"/>
      <c r="H18" s="369">
        <f t="shared" si="3"/>
        <v>0</v>
      </c>
      <c r="I18" s="389">
        <v>42880</v>
      </c>
      <c r="J18" s="391">
        <f t="shared" si="4"/>
        <v>55</v>
      </c>
      <c r="K18" s="392">
        <f t="shared" si="0"/>
        <v>55</v>
      </c>
      <c r="L18" s="336">
        <f t="shared" si="1"/>
        <v>73.150000000000006</v>
      </c>
      <c r="N18" s="370">
        <f t="shared" si="5"/>
        <v>15</v>
      </c>
      <c r="O18" s="370">
        <f t="shared" si="6"/>
        <v>55</v>
      </c>
      <c r="P18" s="370">
        <f t="shared" si="7"/>
        <v>70</v>
      </c>
      <c r="Q18" s="371">
        <f t="shared" si="8"/>
        <v>93.100000000000009</v>
      </c>
    </row>
    <row r="19" spans="1:18">
      <c r="A19" s="368">
        <f t="shared" si="2"/>
        <v>8</v>
      </c>
      <c r="B19" s="388" t="s">
        <v>395</v>
      </c>
      <c r="C19" s="388" t="s">
        <v>396</v>
      </c>
      <c r="D19" s="389">
        <v>42794</v>
      </c>
      <c r="E19" s="390">
        <v>79.62</v>
      </c>
      <c r="F19" s="389">
        <v>42755</v>
      </c>
      <c r="G19" s="389">
        <v>42782</v>
      </c>
      <c r="H19" s="369">
        <f t="shared" si="3"/>
        <v>13.5</v>
      </c>
      <c r="I19" s="389">
        <v>42824</v>
      </c>
      <c r="J19" s="391">
        <f t="shared" si="4"/>
        <v>42</v>
      </c>
      <c r="K19" s="392">
        <f t="shared" si="0"/>
        <v>55.5</v>
      </c>
      <c r="L19" s="336">
        <f t="shared" si="1"/>
        <v>4418.91</v>
      </c>
      <c r="N19" s="370">
        <f t="shared" si="5"/>
        <v>13.5</v>
      </c>
      <c r="O19" s="370">
        <f t="shared" si="6"/>
        <v>42</v>
      </c>
      <c r="P19" s="370">
        <f t="shared" si="7"/>
        <v>55.5</v>
      </c>
      <c r="Q19" s="371">
        <f t="shared" si="8"/>
        <v>4418.91</v>
      </c>
    </row>
    <row r="20" spans="1:18">
      <c r="A20" s="368">
        <f t="shared" si="2"/>
        <v>9</v>
      </c>
      <c r="B20" s="388" t="s">
        <v>395</v>
      </c>
      <c r="C20" s="388" t="s">
        <v>396</v>
      </c>
      <c r="D20" s="389">
        <v>42794</v>
      </c>
      <c r="E20" s="390">
        <v>117.6</v>
      </c>
      <c r="F20" s="389">
        <v>42752</v>
      </c>
      <c r="G20" s="389">
        <v>42760</v>
      </c>
      <c r="H20" s="369">
        <f t="shared" si="3"/>
        <v>4</v>
      </c>
      <c r="I20" s="389">
        <v>42824</v>
      </c>
      <c r="J20" s="391">
        <f t="shared" si="4"/>
        <v>64</v>
      </c>
      <c r="K20" s="392">
        <f t="shared" si="0"/>
        <v>68</v>
      </c>
      <c r="L20" s="336">
        <f t="shared" si="1"/>
        <v>7996.8</v>
      </c>
      <c r="M20" s="26"/>
      <c r="N20" s="370">
        <f t="shared" si="5"/>
        <v>4</v>
      </c>
      <c r="O20" s="370">
        <f t="shared" si="6"/>
        <v>64</v>
      </c>
      <c r="P20" s="370">
        <f t="shared" si="7"/>
        <v>68</v>
      </c>
      <c r="Q20" s="371">
        <f t="shared" si="8"/>
        <v>7996.7999999999993</v>
      </c>
      <c r="R20" s="26"/>
    </row>
    <row r="21" spans="1:18">
      <c r="A21" s="368">
        <f t="shared" si="2"/>
        <v>10</v>
      </c>
      <c r="B21" s="388" t="s">
        <v>399</v>
      </c>
      <c r="C21" s="388" t="s">
        <v>396</v>
      </c>
      <c r="D21" s="389">
        <v>42831</v>
      </c>
      <c r="E21" s="390">
        <v>61500</v>
      </c>
      <c r="F21" s="389">
        <v>42831</v>
      </c>
      <c r="G21" s="389"/>
      <c r="H21" s="369">
        <f t="shared" si="3"/>
        <v>0</v>
      </c>
      <c r="I21" s="389">
        <v>42863</v>
      </c>
      <c r="J21" s="391">
        <f t="shared" si="4"/>
        <v>32</v>
      </c>
      <c r="K21" s="392">
        <f t="shared" si="0"/>
        <v>32</v>
      </c>
      <c r="L21" s="336">
        <f t="shared" si="1"/>
        <v>1968000</v>
      </c>
      <c r="M21" s="26"/>
      <c r="N21" s="370">
        <f t="shared" si="5"/>
        <v>15</v>
      </c>
      <c r="O21" s="370">
        <f t="shared" si="6"/>
        <v>32</v>
      </c>
      <c r="P21" s="370">
        <f t="shared" si="7"/>
        <v>47</v>
      </c>
      <c r="Q21" s="371">
        <f t="shared" si="8"/>
        <v>2890500</v>
      </c>
      <c r="R21" s="26"/>
    </row>
    <row r="22" spans="1:18">
      <c r="A22" s="368">
        <f t="shared" si="2"/>
        <v>11</v>
      </c>
      <c r="B22" s="388" t="s">
        <v>400</v>
      </c>
      <c r="C22" s="388" t="s">
        <v>396</v>
      </c>
      <c r="D22" s="389">
        <v>42824</v>
      </c>
      <c r="E22" s="390">
        <v>54685</v>
      </c>
      <c r="F22" s="389">
        <v>42824</v>
      </c>
      <c r="G22" s="389"/>
      <c r="H22" s="369">
        <f t="shared" si="3"/>
        <v>0</v>
      </c>
      <c r="I22" s="389">
        <v>42856</v>
      </c>
      <c r="J22" s="391">
        <f t="shared" si="4"/>
        <v>32</v>
      </c>
      <c r="K22" s="392">
        <f t="shared" si="0"/>
        <v>32</v>
      </c>
      <c r="L22" s="336">
        <f t="shared" si="1"/>
        <v>1749920</v>
      </c>
      <c r="M22" s="26"/>
      <c r="N22" s="370">
        <f t="shared" si="5"/>
        <v>15</v>
      </c>
      <c r="O22" s="370">
        <f t="shared" si="6"/>
        <v>32</v>
      </c>
      <c r="P22" s="370">
        <f t="shared" si="7"/>
        <v>47</v>
      </c>
      <c r="Q22" s="371">
        <f t="shared" si="8"/>
        <v>2570195</v>
      </c>
      <c r="R22" s="26"/>
    </row>
    <row r="23" spans="1:18">
      <c r="A23" s="368">
        <f t="shared" si="2"/>
        <v>12</v>
      </c>
      <c r="B23" s="388" t="s">
        <v>401</v>
      </c>
      <c r="C23" s="388" t="s">
        <v>396</v>
      </c>
      <c r="D23" s="389">
        <v>42796</v>
      </c>
      <c r="E23" s="390">
        <v>4075.08</v>
      </c>
      <c r="F23" s="389">
        <v>42765</v>
      </c>
      <c r="G23" s="389"/>
      <c r="H23" s="369">
        <f t="shared" si="3"/>
        <v>0</v>
      </c>
      <c r="I23" s="389">
        <v>42828</v>
      </c>
      <c r="J23" s="391">
        <f t="shared" si="4"/>
        <v>63</v>
      </c>
      <c r="K23" s="392">
        <f t="shared" si="0"/>
        <v>63</v>
      </c>
      <c r="L23" s="336">
        <f t="shared" si="1"/>
        <v>256730.04</v>
      </c>
      <c r="M23" s="26"/>
      <c r="N23" s="370">
        <f t="shared" si="5"/>
        <v>15</v>
      </c>
      <c r="O23" s="370">
        <f t="shared" si="6"/>
        <v>63</v>
      </c>
      <c r="P23" s="370">
        <f t="shared" si="7"/>
        <v>78</v>
      </c>
      <c r="Q23" s="371">
        <f t="shared" si="8"/>
        <v>317856.24</v>
      </c>
      <c r="R23" s="26"/>
    </row>
    <row r="24" spans="1:18">
      <c r="A24" s="368">
        <f t="shared" si="2"/>
        <v>13</v>
      </c>
      <c r="B24" s="388" t="s">
        <v>395</v>
      </c>
      <c r="C24" s="388" t="s">
        <v>396</v>
      </c>
      <c r="D24" s="389">
        <v>42766</v>
      </c>
      <c r="E24" s="390">
        <v>27.6</v>
      </c>
      <c r="F24" s="389">
        <v>42720</v>
      </c>
      <c r="G24" s="389"/>
      <c r="H24" s="369">
        <f t="shared" si="3"/>
        <v>0</v>
      </c>
      <c r="I24" s="389">
        <v>42793</v>
      </c>
      <c r="J24" s="391">
        <f t="shared" si="4"/>
        <v>73</v>
      </c>
      <c r="K24" s="392">
        <f t="shared" si="0"/>
        <v>73</v>
      </c>
      <c r="L24" s="336">
        <f t="shared" si="1"/>
        <v>2014.8</v>
      </c>
      <c r="M24" s="26"/>
      <c r="N24" s="370">
        <f t="shared" si="5"/>
        <v>15</v>
      </c>
      <c r="O24" s="370">
        <f t="shared" si="6"/>
        <v>73</v>
      </c>
      <c r="P24" s="370">
        <f t="shared" si="7"/>
        <v>88</v>
      </c>
      <c r="Q24" s="371">
        <f t="shared" si="8"/>
        <v>2428.8000000000002</v>
      </c>
      <c r="R24" s="26"/>
    </row>
    <row r="25" spans="1:18">
      <c r="A25" s="368">
        <f t="shared" si="2"/>
        <v>14</v>
      </c>
      <c r="B25" s="388" t="s">
        <v>402</v>
      </c>
      <c r="C25" s="388" t="s">
        <v>396</v>
      </c>
      <c r="D25" s="389">
        <v>42733</v>
      </c>
      <c r="E25" s="390">
        <v>49898</v>
      </c>
      <c r="F25" s="389">
        <v>42733</v>
      </c>
      <c r="G25" s="389"/>
      <c r="H25" s="369">
        <f t="shared" si="3"/>
        <v>0</v>
      </c>
      <c r="I25" s="389">
        <v>42765</v>
      </c>
      <c r="J25" s="391">
        <f t="shared" si="4"/>
        <v>32</v>
      </c>
      <c r="K25" s="392">
        <f t="shared" si="0"/>
        <v>32</v>
      </c>
      <c r="L25" s="336">
        <f t="shared" si="1"/>
        <v>1596736</v>
      </c>
      <c r="M25" s="26"/>
      <c r="N25" s="370">
        <f t="shared" si="5"/>
        <v>15</v>
      </c>
      <c r="O25" s="370">
        <f t="shared" si="6"/>
        <v>32</v>
      </c>
      <c r="P25" s="370">
        <f t="shared" si="7"/>
        <v>47</v>
      </c>
      <c r="Q25" s="371">
        <f t="shared" si="8"/>
        <v>2345206</v>
      </c>
      <c r="R25" s="26"/>
    </row>
    <row r="26" spans="1:18">
      <c r="A26" s="368">
        <f t="shared" si="2"/>
        <v>15</v>
      </c>
      <c r="B26" s="388" t="s">
        <v>403</v>
      </c>
      <c r="C26" s="388" t="s">
        <v>396</v>
      </c>
      <c r="D26" s="389">
        <v>42794</v>
      </c>
      <c r="E26" s="390">
        <v>38804</v>
      </c>
      <c r="F26" s="389">
        <v>42790</v>
      </c>
      <c r="G26" s="389"/>
      <c r="H26" s="369">
        <f t="shared" si="3"/>
        <v>0</v>
      </c>
      <c r="I26" s="389">
        <v>42825</v>
      </c>
      <c r="J26" s="391">
        <f t="shared" si="4"/>
        <v>35</v>
      </c>
      <c r="K26" s="392">
        <f t="shared" si="0"/>
        <v>35</v>
      </c>
      <c r="L26" s="336">
        <f t="shared" si="1"/>
        <v>1358140</v>
      </c>
      <c r="M26" s="26"/>
      <c r="N26" s="370">
        <f t="shared" si="5"/>
        <v>15</v>
      </c>
      <c r="O26" s="370">
        <f t="shared" si="6"/>
        <v>35</v>
      </c>
      <c r="P26" s="370">
        <f t="shared" si="7"/>
        <v>50</v>
      </c>
      <c r="Q26" s="371">
        <f t="shared" si="8"/>
        <v>1940200</v>
      </c>
      <c r="R26" s="26"/>
    </row>
    <row r="27" spans="1:18">
      <c r="A27" s="368">
        <f t="shared" si="2"/>
        <v>16</v>
      </c>
      <c r="B27" s="388" t="s">
        <v>404</v>
      </c>
      <c r="C27" s="388" t="s">
        <v>396</v>
      </c>
      <c r="D27" s="389">
        <v>42774</v>
      </c>
      <c r="E27" s="390">
        <v>54025</v>
      </c>
      <c r="F27" s="389">
        <v>42774</v>
      </c>
      <c r="G27" s="389"/>
      <c r="H27" s="369">
        <f t="shared" si="3"/>
        <v>0</v>
      </c>
      <c r="I27" s="389">
        <v>42807</v>
      </c>
      <c r="J27" s="391">
        <f t="shared" si="4"/>
        <v>33</v>
      </c>
      <c r="K27" s="392">
        <f t="shared" si="0"/>
        <v>33</v>
      </c>
      <c r="L27" s="336">
        <f t="shared" si="1"/>
        <v>1782825</v>
      </c>
      <c r="M27" s="26"/>
      <c r="N27" s="370">
        <f t="shared" si="5"/>
        <v>15</v>
      </c>
      <c r="O27" s="370">
        <f t="shared" si="6"/>
        <v>33</v>
      </c>
      <c r="P27" s="370">
        <f t="shared" si="7"/>
        <v>48</v>
      </c>
      <c r="Q27" s="371">
        <f t="shared" si="8"/>
        <v>2593200</v>
      </c>
      <c r="R27" s="26"/>
    </row>
    <row r="28" spans="1:18">
      <c r="A28" s="368">
        <f t="shared" si="2"/>
        <v>17</v>
      </c>
      <c r="B28" s="388" t="s">
        <v>405</v>
      </c>
      <c r="C28" s="388" t="s">
        <v>396</v>
      </c>
      <c r="D28" s="389">
        <v>43007</v>
      </c>
      <c r="E28" s="390">
        <v>7875.34</v>
      </c>
      <c r="F28" s="389">
        <v>43007</v>
      </c>
      <c r="G28" s="389"/>
      <c r="H28" s="369">
        <f t="shared" si="3"/>
        <v>0</v>
      </c>
      <c r="I28" s="389">
        <v>43059</v>
      </c>
      <c r="J28" s="391">
        <f t="shared" si="4"/>
        <v>52</v>
      </c>
      <c r="K28" s="392">
        <f t="shared" si="0"/>
        <v>52</v>
      </c>
      <c r="L28" s="336">
        <f t="shared" si="1"/>
        <v>409517.68</v>
      </c>
      <c r="M28" s="26"/>
      <c r="N28" s="370">
        <f t="shared" si="5"/>
        <v>15</v>
      </c>
      <c r="O28" s="370">
        <f t="shared" si="6"/>
        <v>52</v>
      </c>
      <c r="P28" s="370">
        <f t="shared" si="7"/>
        <v>67</v>
      </c>
      <c r="Q28" s="371">
        <f t="shared" si="8"/>
        <v>527647.78</v>
      </c>
      <c r="R28" s="26"/>
    </row>
    <row r="29" spans="1:18">
      <c r="A29" s="368">
        <f t="shared" si="2"/>
        <v>18</v>
      </c>
      <c r="B29" s="388" t="s">
        <v>406</v>
      </c>
      <c r="C29" s="388" t="s">
        <v>396</v>
      </c>
      <c r="D29" s="389">
        <v>42887</v>
      </c>
      <c r="E29" s="390">
        <v>276.99</v>
      </c>
      <c r="F29" s="389">
        <v>42887</v>
      </c>
      <c r="G29" s="389"/>
      <c r="H29" s="369">
        <f t="shared" si="3"/>
        <v>0</v>
      </c>
      <c r="I29" s="389">
        <v>42927</v>
      </c>
      <c r="J29" s="391">
        <f t="shared" si="4"/>
        <v>40</v>
      </c>
      <c r="K29" s="392">
        <f t="shared" si="0"/>
        <v>40</v>
      </c>
      <c r="L29" s="336">
        <f t="shared" si="1"/>
        <v>11079.6</v>
      </c>
      <c r="M29" s="26"/>
      <c r="N29" s="370">
        <f t="shared" si="5"/>
        <v>15</v>
      </c>
      <c r="O29" s="370">
        <f t="shared" si="6"/>
        <v>40</v>
      </c>
      <c r="P29" s="370">
        <f t="shared" si="7"/>
        <v>55</v>
      </c>
      <c r="Q29" s="371">
        <f t="shared" si="8"/>
        <v>15234.45</v>
      </c>
      <c r="R29" s="26"/>
    </row>
    <row r="30" spans="1:18">
      <c r="A30" s="368">
        <f t="shared" si="2"/>
        <v>19</v>
      </c>
      <c r="B30" s="388" t="s">
        <v>407</v>
      </c>
      <c r="C30" s="388" t="s">
        <v>396</v>
      </c>
      <c r="D30" s="389">
        <v>43000</v>
      </c>
      <c r="E30" s="390">
        <v>2922.15</v>
      </c>
      <c r="F30" s="389">
        <v>42985</v>
      </c>
      <c r="G30" s="389"/>
      <c r="H30" s="369">
        <f t="shared" si="3"/>
        <v>0</v>
      </c>
      <c r="I30" s="389">
        <v>43031</v>
      </c>
      <c r="J30" s="391">
        <f t="shared" si="4"/>
        <v>46</v>
      </c>
      <c r="K30" s="392">
        <f t="shared" si="0"/>
        <v>46</v>
      </c>
      <c r="L30" s="336">
        <f t="shared" si="1"/>
        <v>134418.9</v>
      </c>
      <c r="M30" s="26"/>
      <c r="N30" s="370">
        <f t="shared" si="5"/>
        <v>15</v>
      </c>
      <c r="O30" s="370">
        <f t="shared" si="6"/>
        <v>46</v>
      </c>
      <c r="P30" s="370">
        <f t="shared" si="7"/>
        <v>61</v>
      </c>
      <c r="Q30" s="371">
        <f t="shared" si="8"/>
        <v>178251.15</v>
      </c>
      <c r="R30" s="26"/>
    </row>
    <row r="31" spans="1:18">
      <c r="A31" s="368">
        <f t="shared" si="2"/>
        <v>20</v>
      </c>
      <c r="B31" s="388" t="s">
        <v>408</v>
      </c>
      <c r="C31" s="388" t="s">
        <v>396</v>
      </c>
      <c r="D31" s="389">
        <v>42825</v>
      </c>
      <c r="E31" s="390">
        <v>107100</v>
      </c>
      <c r="F31" s="389">
        <v>42825</v>
      </c>
      <c r="G31" s="389"/>
      <c r="H31" s="369">
        <f t="shared" si="3"/>
        <v>0</v>
      </c>
      <c r="I31" s="389">
        <v>42856</v>
      </c>
      <c r="J31" s="391">
        <f t="shared" si="4"/>
        <v>31</v>
      </c>
      <c r="K31" s="392">
        <f t="shared" si="0"/>
        <v>31</v>
      </c>
      <c r="L31" s="336">
        <f t="shared" si="1"/>
        <v>3320100</v>
      </c>
      <c r="M31" s="26"/>
      <c r="N31" s="370">
        <f t="shared" si="5"/>
        <v>15</v>
      </c>
      <c r="O31" s="370">
        <f t="shared" si="6"/>
        <v>31</v>
      </c>
      <c r="P31" s="370">
        <f t="shared" si="7"/>
        <v>46</v>
      </c>
      <c r="Q31" s="371">
        <f t="shared" si="8"/>
        <v>4926600</v>
      </c>
      <c r="R31" s="26"/>
    </row>
    <row r="32" spans="1:18">
      <c r="A32" s="368">
        <f t="shared" si="2"/>
        <v>21</v>
      </c>
      <c r="B32" s="388" t="s">
        <v>409</v>
      </c>
      <c r="C32" s="388" t="s">
        <v>396</v>
      </c>
      <c r="D32" s="389">
        <v>43045</v>
      </c>
      <c r="E32" s="390">
        <v>54594</v>
      </c>
      <c r="F32" s="389">
        <v>43042</v>
      </c>
      <c r="G32" s="389"/>
      <c r="H32" s="369">
        <f t="shared" si="3"/>
        <v>0</v>
      </c>
      <c r="I32" s="389">
        <v>43076</v>
      </c>
      <c r="J32" s="391">
        <f t="shared" si="4"/>
        <v>34</v>
      </c>
      <c r="K32" s="392">
        <f t="shared" si="0"/>
        <v>34</v>
      </c>
      <c r="L32" s="336">
        <f t="shared" si="1"/>
        <v>1856196</v>
      </c>
      <c r="M32" s="26"/>
      <c r="N32" s="370">
        <f t="shared" si="5"/>
        <v>15</v>
      </c>
      <c r="O32" s="370">
        <f t="shared" si="6"/>
        <v>34</v>
      </c>
      <c r="P32" s="370">
        <f t="shared" si="7"/>
        <v>49</v>
      </c>
      <c r="Q32" s="371">
        <f t="shared" si="8"/>
        <v>2675106</v>
      </c>
      <c r="R32" s="26"/>
    </row>
    <row r="33" spans="1:18">
      <c r="A33" s="368">
        <f t="shared" si="2"/>
        <v>22</v>
      </c>
      <c r="B33" s="388" t="s">
        <v>410</v>
      </c>
      <c r="C33" s="388" t="s">
        <v>396</v>
      </c>
      <c r="D33" s="389">
        <v>42811</v>
      </c>
      <c r="E33" s="390">
        <v>77256</v>
      </c>
      <c r="F33" s="389">
        <v>42811</v>
      </c>
      <c r="G33" s="389"/>
      <c r="H33" s="369">
        <f t="shared" si="3"/>
        <v>0</v>
      </c>
      <c r="I33" s="389">
        <v>42839</v>
      </c>
      <c r="J33" s="391">
        <f t="shared" si="4"/>
        <v>28</v>
      </c>
      <c r="K33" s="392">
        <f t="shared" si="0"/>
        <v>28</v>
      </c>
      <c r="L33" s="336">
        <f t="shared" si="1"/>
        <v>2163168</v>
      </c>
      <c r="M33" s="26"/>
      <c r="N33" s="370">
        <f t="shared" si="5"/>
        <v>15</v>
      </c>
      <c r="O33" s="370">
        <f t="shared" si="6"/>
        <v>28</v>
      </c>
      <c r="P33" s="370">
        <f t="shared" si="7"/>
        <v>43</v>
      </c>
      <c r="Q33" s="371">
        <f t="shared" si="8"/>
        <v>3322008</v>
      </c>
      <c r="R33" s="26"/>
    </row>
    <row r="34" spans="1:18">
      <c r="A34" s="368">
        <f t="shared" si="2"/>
        <v>23</v>
      </c>
      <c r="B34" s="388" t="s">
        <v>410</v>
      </c>
      <c r="C34" s="388" t="s">
        <v>396</v>
      </c>
      <c r="D34" s="389">
        <v>43031</v>
      </c>
      <c r="E34" s="390">
        <v>86413.759999999995</v>
      </c>
      <c r="F34" s="389">
        <v>43031</v>
      </c>
      <c r="G34" s="389"/>
      <c r="H34" s="369">
        <f t="shared" si="3"/>
        <v>0</v>
      </c>
      <c r="I34" s="389">
        <v>43042</v>
      </c>
      <c r="J34" s="391">
        <f t="shared" si="4"/>
        <v>11</v>
      </c>
      <c r="K34" s="392">
        <f t="shared" si="0"/>
        <v>11</v>
      </c>
      <c r="L34" s="336">
        <f t="shared" si="1"/>
        <v>950551.36</v>
      </c>
      <c r="M34" s="26"/>
      <c r="N34" s="370">
        <f t="shared" si="5"/>
        <v>15</v>
      </c>
      <c r="O34" s="370">
        <f t="shared" si="6"/>
        <v>11</v>
      </c>
      <c r="P34" s="370">
        <f t="shared" si="7"/>
        <v>26</v>
      </c>
      <c r="Q34" s="371">
        <f t="shared" si="8"/>
        <v>2246757.7599999998</v>
      </c>
      <c r="R34" s="26"/>
    </row>
    <row r="35" spans="1:18">
      <c r="A35" s="368">
        <f t="shared" si="2"/>
        <v>24</v>
      </c>
      <c r="B35" s="388" t="s">
        <v>399</v>
      </c>
      <c r="C35" s="388" t="s">
        <v>396</v>
      </c>
      <c r="D35" s="389">
        <v>42776</v>
      </c>
      <c r="E35" s="390">
        <v>119.19</v>
      </c>
      <c r="F35" s="389">
        <v>42776</v>
      </c>
      <c r="G35" s="389"/>
      <c r="H35" s="369">
        <f t="shared" si="3"/>
        <v>0</v>
      </c>
      <c r="I35" s="389">
        <v>42807</v>
      </c>
      <c r="J35" s="391">
        <f t="shared" si="4"/>
        <v>31</v>
      </c>
      <c r="K35" s="392">
        <f t="shared" si="0"/>
        <v>31</v>
      </c>
      <c r="L35" s="336">
        <f t="shared" si="1"/>
        <v>3694.89</v>
      </c>
      <c r="M35" s="26"/>
      <c r="N35" s="370">
        <f t="shared" si="5"/>
        <v>15</v>
      </c>
      <c r="O35" s="370">
        <f t="shared" si="6"/>
        <v>31</v>
      </c>
      <c r="P35" s="370">
        <f t="shared" si="7"/>
        <v>46</v>
      </c>
      <c r="Q35" s="371">
        <f t="shared" si="8"/>
        <v>5482.74</v>
      </c>
      <c r="R35" s="26"/>
    </row>
    <row r="36" spans="1:18">
      <c r="A36" s="368">
        <f t="shared" si="2"/>
        <v>25</v>
      </c>
      <c r="B36" s="388" t="s">
        <v>411</v>
      </c>
      <c r="C36" s="388" t="s">
        <v>396</v>
      </c>
      <c r="D36" s="389">
        <v>43027</v>
      </c>
      <c r="E36" s="390">
        <v>73215</v>
      </c>
      <c r="F36" s="389">
        <v>43027</v>
      </c>
      <c r="G36" s="389"/>
      <c r="H36" s="369">
        <f t="shared" si="3"/>
        <v>0</v>
      </c>
      <c r="I36" s="389">
        <v>43059</v>
      </c>
      <c r="J36" s="391">
        <f t="shared" si="4"/>
        <v>32</v>
      </c>
      <c r="K36" s="392">
        <f t="shared" si="0"/>
        <v>32</v>
      </c>
      <c r="L36" s="336">
        <f t="shared" si="1"/>
        <v>2342880</v>
      </c>
      <c r="M36" s="26"/>
      <c r="N36" s="370">
        <f t="shared" si="5"/>
        <v>15</v>
      </c>
      <c r="O36" s="370">
        <f t="shared" si="6"/>
        <v>32</v>
      </c>
      <c r="P36" s="370">
        <f t="shared" si="7"/>
        <v>47</v>
      </c>
      <c r="Q36" s="371">
        <f t="shared" si="8"/>
        <v>3441105</v>
      </c>
      <c r="R36" s="26"/>
    </row>
    <row r="37" spans="1:18">
      <c r="A37" s="368">
        <f t="shared" si="2"/>
        <v>26</v>
      </c>
      <c r="B37" s="388" t="s">
        <v>411</v>
      </c>
      <c r="C37" s="388" t="s">
        <v>396</v>
      </c>
      <c r="D37" s="389">
        <v>43039</v>
      </c>
      <c r="E37" s="390">
        <v>122025</v>
      </c>
      <c r="F37" s="389">
        <v>43039</v>
      </c>
      <c r="G37" s="389"/>
      <c r="H37" s="369">
        <f t="shared" si="3"/>
        <v>0</v>
      </c>
      <c r="I37" s="389">
        <v>43070</v>
      </c>
      <c r="J37" s="391">
        <f t="shared" si="4"/>
        <v>31</v>
      </c>
      <c r="K37" s="392">
        <f t="shared" si="0"/>
        <v>31</v>
      </c>
      <c r="L37" s="336">
        <f t="shared" si="1"/>
        <v>3782775</v>
      </c>
      <c r="M37" s="26"/>
      <c r="N37" s="370">
        <f t="shared" si="5"/>
        <v>15</v>
      </c>
      <c r="O37" s="370">
        <f t="shared" si="6"/>
        <v>31</v>
      </c>
      <c r="P37" s="370">
        <f t="shared" si="7"/>
        <v>46</v>
      </c>
      <c r="Q37" s="371">
        <f t="shared" si="8"/>
        <v>5613150</v>
      </c>
      <c r="R37" s="26"/>
    </row>
    <row r="38" spans="1:18">
      <c r="A38" s="368">
        <f t="shared" si="2"/>
        <v>27</v>
      </c>
      <c r="B38" s="388" t="s">
        <v>406</v>
      </c>
      <c r="C38" s="388" t="s">
        <v>396</v>
      </c>
      <c r="D38" s="389">
        <v>43031</v>
      </c>
      <c r="E38" s="390">
        <v>81.94</v>
      </c>
      <c r="F38" s="389">
        <v>43031</v>
      </c>
      <c r="G38" s="389"/>
      <c r="H38" s="369">
        <f t="shared" si="3"/>
        <v>0</v>
      </c>
      <c r="I38" s="389">
        <v>43052</v>
      </c>
      <c r="J38" s="391">
        <f t="shared" si="4"/>
        <v>21</v>
      </c>
      <c r="K38" s="392">
        <f t="shared" si="0"/>
        <v>21</v>
      </c>
      <c r="L38" s="336">
        <f t="shared" si="1"/>
        <v>1720.74</v>
      </c>
      <c r="M38" s="26"/>
      <c r="N38" s="370">
        <f t="shared" si="5"/>
        <v>15</v>
      </c>
      <c r="O38" s="370">
        <f t="shared" si="6"/>
        <v>21</v>
      </c>
      <c r="P38" s="370">
        <f t="shared" si="7"/>
        <v>36</v>
      </c>
      <c r="Q38" s="371">
        <f t="shared" si="8"/>
        <v>2949.84</v>
      </c>
      <c r="R38" s="26"/>
    </row>
    <row r="39" spans="1:18">
      <c r="A39" s="368">
        <f t="shared" si="2"/>
        <v>28</v>
      </c>
      <c r="B39" s="388" t="s">
        <v>412</v>
      </c>
      <c r="C39" s="388" t="s">
        <v>396</v>
      </c>
      <c r="D39" s="389">
        <v>42823</v>
      </c>
      <c r="E39" s="390">
        <v>61459</v>
      </c>
      <c r="F39" s="389">
        <v>42823</v>
      </c>
      <c r="G39" s="389"/>
      <c r="H39" s="369">
        <f t="shared" si="3"/>
        <v>0</v>
      </c>
      <c r="I39" s="389">
        <v>42856</v>
      </c>
      <c r="J39" s="391">
        <f t="shared" si="4"/>
        <v>33</v>
      </c>
      <c r="K39" s="392">
        <f t="shared" si="0"/>
        <v>33</v>
      </c>
      <c r="L39" s="336">
        <f t="shared" si="1"/>
        <v>2028147</v>
      </c>
      <c r="M39" s="26"/>
      <c r="N39" s="370">
        <f t="shared" si="5"/>
        <v>15</v>
      </c>
      <c r="O39" s="370">
        <f t="shared" si="6"/>
        <v>33</v>
      </c>
      <c r="P39" s="370">
        <f t="shared" si="7"/>
        <v>48</v>
      </c>
      <c r="Q39" s="371">
        <f t="shared" si="8"/>
        <v>2950032</v>
      </c>
      <c r="R39" s="26"/>
    </row>
    <row r="40" spans="1:18">
      <c r="A40" s="368">
        <f t="shared" si="2"/>
        <v>29</v>
      </c>
      <c r="B40" s="388" t="s">
        <v>413</v>
      </c>
      <c r="C40" s="388" t="s">
        <v>396</v>
      </c>
      <c r="D40" s="389">
        <v>43006</v>
      </c>
      <c r="E40" s="390">
        <v>65.89</v>
      </c>
      <c r="F40" s="389">
        <v>43006</v>
      </c>
      <c r="G40" s="389"/>
      <c r="H40" s="369">
        <f t="shared" si="3"/>
        <v>0</v>
      </c>
      <c r="I40" s="389">
        <v>43038</v>
      </c>
      <c r="J40" s="391">
        <f t="shared" si="4"/>
        <v>32</v>
      </c>
      <c r="K40" s="392">
        <f t="shared" si="0"/>
        <v>32</v>
      </c>
      <c r="L40" s="336">
        <f t="shared" si="1"/>
        <v>2108.48</v>
      </c>
      <c r="M40" s="26"/>
      <c r="N40" s="370">
        <f t="shared" si="5"/>
        <v>15</v>
      </c>
      <c r="O40" s="370">
        <f t="shared" si="6"/>
        <v>32</v>
      </c>
      <c r="P40" s="370">
        <f t="shared" si="7"/>
        <v>47</v>
      </c>
      <c r="Q40" s="371">
        <f t="shared" si="8"/>
        <v>3096.83</v>
      </c>
      <c r="R40" s="26"/>
    </row>
    <row r="41" spans="1:18">
      <c r="A41" s="368">
        <f t="shared" si="2"/>
        <v>30</v>
      </c>
      <c r="B41" s="388" t="s">
        <v>414</v>
      </c>
      <c r="C41" s="388" t="s">
        <v>396</v>
      </c>
      <c r="D41" s="389">
        <v>42849</v>
      </c>
      <c r="E41" s="390">
        <v>4082.35</v>
      </c>
      <c r="F41" s="389">
        <v>42843</v>
      </c>
      <c r="G41" s="389"/>
      <c r="H41" s="369">
        <f t="shared" si="3"/>
        <v>0</v>
      </c>
      <c r="I41" s="389">
        <v>42880</v>
      </c>
      <c r="J41" s="391">
        <f t="shared" si="4"/>
        <v>37</v>
      </c>
      <c r="K41" s="392">
        <f t="shared" si="0"/>
        <v>37</v>
      </c>
      <c r="L41" s="336">
        <f t="shared" si="1"/>
        <v>151046.95000000001</v>
      </c>
      <c r="M41" s="26"/>
      <c r="N41" s="370">
        <f t="shared" si="5"/>
        <v>15</v>
      </c>
      <c r="O41" s="370">
        <f t="shared" si="6"/>
        <v>37</v>
      </c>
      <c r="P41" s="370">
        <f t="shared" si="7"/>
        <v>52</v>
      </c>
      <c r="Q41" s="371">
        <f t="shared" si="8"/>
        <v>212282.19999999998</v>
      </c>
      <c r="R41" s="26"/>
    </row>
    <row r="42" spans="1:18">
      <c r="A42" s="368">
        <f t="shared" si="2"/>
        <v>31</v>
      </c>
      <c r="B42" s="388" t="s">
        <v>397</v>
      </c>
      <c r="C42" s="388" t="s">
        <v>396</v>
      </c>
      <c r="D42" s="389">
        <v>42790</v>
      </c>
      <c r="E42" s="390">
        <v>2447.29</v>
      </c>
      <c r="F42" s="389">
        <v>42765</v>
      </c>
      <c r="G42" s="389">
        <v>42786</v>
      </c>
      <c r="H42" s="369">
        <f t="shared" si="3"/>
        <v>10.5</v>
      </c>
      <c r="I42" s="389">
        <v>42797</v>
      </c>
      <c r="J42" s="391">
        <f t="shared" si="4"/>
        <v>11</v>
      </c>
      <c r="K42" s="392">
        <f t="shared" si="0"/>
        <v>21.5</v>
      </c>
      <c r="L42" s="336">
        <f t="shared" si="1"/>
        <v>52616.74</v>
      </c>
      <c r="M42" s="26"/>
      <c r="N42" s="370">
        <f t="shared" si="5"/>
        <v>10.5</v>
      </c>
      <c r="O42" s="370">
        <f t="shared" si="6"/>
        <v>11</v>
      </c>
      <c r="P42" s="370">
        <f t="shared" si="7"/>
        <v>21.5</v>
      </c>
      <c r="Q42" s="371">
        <f t="shared" si="8"/>
        <v>52616.735000000001</v>
      </c>
      <c r="R42" s="26"/>
    </row>
    <row r="43" spans="1:18">
      <c r="A43" s="368">
        <f t="shared" si="2"/>
        <v>32</v>
      </c>
      <c r="B43" s="388" t="s">
        <v>395</v>
      </c>
      <c r="C43" s="388" t="s">
        <v>396</v>
      </c>
      <c r="D43" s="389">
        <v>42978</v>
      </c>
      <c r="E43" s="390">
        <v>26.06</v>
      </c>
      <c r="F43" s="389">
        <v>42963</v>
      </c>
      <c r="G43" s="389"/>
      <c r="H43" s="369">
        <f t="shared" si="3"/>
        <v>0</v>
      </c>
      <c r="I43" s="389">
        <v>43003</v>
      </c>
      <c r="J43" s="391">
        <f t="shared" si="4"/>
        <v>40</v>
      </c>
      <c r="K43" s="392">
        <f t="shared" si="0"/>
        <v>40</v>
      </c>
      <c r="L43" s="336">
        <f t="shared" si="1"/>
        <v>1042.4000000000001</v>
      </c>
      <c r="M43" s="26"/>
      <c r="N43" s="370">
        <f t="shared" si="5"/>
        <v>15</v>
      </c>
      <c r="O43" s="370">
        <f t="shared" si="6"/>
        <v>40</v>
      </c>
      <c r="P43" s="370">
        <f t="shared" si="7"/>
        <v>55</v>
      </c>
      <c r="Q43" s="371">
        <f t="shared" si="8"/>
        <v>1433.3</v>
      </c>
      <c r="R43" s="26"/>
    </row>
    <row r="44" spans="1:18">
      <c r="A44" s="368">
        <f t="shared" si="2"/>
        <v>33</v>
      </c>
      <c r="B44" s="388" t="s">
        <v>395</v>
      </c>
      <c r="C44" s="388" t="s">
        <v>396</v>
      </c>
      <c r="D44" s="389">
        <v>43100</v>
      </c>
      <c r="E44" s="390">
        <v>225.81</v>
      </c>
      <c r="F44" s="389">
        <v>42746</v>
      </c>
      <c r="G44" s="389"/>
      <c r="H44" s="369">
        <f t="shared" si="3"/>
        <v>0</v>
      </c>
      <c r="I44" s="389">
        <v>43125</v>
      </c>
      <c r="J44" s="391">
        <f t="shared" si="4"/>
        <v>379</v>
      </c>
      <c r="K44" s="392">
        <f t="shared" si="0"/>
        <v>379</v>
      </c>
      <c r="L44" s="336">
        <f t="shared" si="1"/>
        <v>85581.99</v>
      </c>
      <c r="M44" s="26"/>
      <c r="N44" s="370">
        <f t="shared" si="5"/>
        <v>15</v>
      </c>
      <c r="O44" s="370">
        <f t="shared" si="6"/>
        <v>379</v>
      </c>
      <c r="P44" s="370">
        <f t="shared" si="7"/>
        <v>394</v>
      </c>
      <c r="Q44" s="371">
        <f t="shared" si="8"/>
        <v>88969.14</v>
      </c>
      <c r="R44" s="26"/>
    </row>
    <row r="45" spans="1:18">
      <c r="A45" s="368">
        <f t="shared" si="2"/>
        <v>34</v>
      </c>
      <c r="B45" s="388" t="s">
        <v>415</v>
      </c>
      <c r="C45" s="388" t="s">
        <v>396</v>
      </c>
      <c r="D45" s="389">
        <v>42739</v>
      </c>
      <c r="E45" s="390">
        <v>230.56</v>
      </c>
      <c r="F45" s="389">
        <v>42739</v>
      </c>
      <c r="G45" s="389"/>
      <c r="H45" s="369">
        <f t="shared" si="3"/>
        <v>0</v>
      </c>
      <c r="I45" s="389">
        <v>42755</v>
      </c>
      <c r="J45" s="391">
        <f t="shared" si="4"/>
        <v>16</v>
      </c>
      <c r="K45" s="392">
        <f t="shared" si="0"/>
        <v>16</v>
      </c>
      <c r="L45" s="336">
        <f t="shared" si="1"/>
        <v>3688.96</v>
      </c>
      <c r="M45" s="26"/>
      <c r="N45" s="370">
        <f t="shared" si="5"/>
        <v>15</v>
      </c>
      <c r="O45" s="370">
        <f t="shared" si="6"/>
        <v>16</v>
      </c>
      <c r="P45" s="370">
        <f t="shared" si="7"/>
        <v>31</v>
      </c>
      <c r="Q45" s="371">
        <f t="shared" si="8"/>
        <v>7147.36</v>
      </c>
      <c r="R45" s="26"/>
    </row>
    <row r="46" spans="1:18">
      <c r="A46" s="368">
        <f t="shared" si="2"/>
        <v>35</v>
      </c>
      <c r="B46" s="388" t="s">
        <v>395</v>
      </c>
      <c r="C46" s="388" t="s">
        <v>396</v>
      </c>
      <c r="D46" s="389">
        <v>43008</v>
      </c>
      <c r="E46" s="390">
        <v>65.52</v>
      </c>
      <c r="F46" s="389">
        <v>42927</v>
      </c>
      <c r="G46" s="389"/>
      <c r="H46" s="369">
        <f t="shared" si="3"/>
        <v>0</v>
      </c>
      <c r="I46" s="389">
        <v>43033</v>
      </c>
      <c r="J46" s="391">
        <f t="shared" si="4"/>
        <v>106</v>
      </c>
      <c r="K46" s="392">
        <f t="shared" si="0"/>
        <v>106</v>
      </c>
      <c r="L46" s="336">
        <f t="shared" si="1"/>
        <v>6945.12</v>
      </c>
      <c r="M46" s="26"/>
      <c r="N46" s="370">
        <f t="shared" si="5"/>
        <v>15</v>
      </c>
      <c r="O46" s="370">
        <f t="shared" si="6"/>
        <v>106</v>
      </c>
      <c r="P46" s="370">
        <f t="shared" si="7"/>
        <v>121</v>
      </c>
      <c r="Q46" s="371">
        <f t="shared" si="8"/>
        <v>7927.9199999999992</v>
      </c>
      <c r="R46" s="26"/>
    </row>
    <row r="47" spans="1:18">
      <c r="A47" s="368">
        <f t="shared" si="2"/>
        <v>36</v>
      </c>
      <c r="B47" s="388" t="s">
        <v>416</v>
      </c>
      <c r="C47" s="388" t="s">
        <v>396</v>
      </c>
      <c r="D47" s="389">
        <v>42947</v>
      </c>
      <c r="E47" s="390">
        <v>96073.12</v>
      </c>
      <c r="F47" s="389">
        <v>42947</v>
      </c>
      <c r="G47" s="389"/>
      <c r="H47" s="369">
        <f t="shared" si="3"/>
        <v>0</v>
      </c>
      <c r="I47" s="389">
        <v>42977</v>
      </c>
      <c r="J47" s="391">
        <f t="shared" si="4"/>
        <v>30</v>
      </c>
      <c r="K47" s="392">
        <f t="shared" si="0"/>
        <v>30</v>
      </c>
      <c r="L47" s="336">
        <f t="shared" si="1"/>
        <v>2882193.6</v>
      </c>
      <c r="M47" s="26"/>
      <c r="N47" s="370">
        <f t="shared" si="5"/>
        <v>15</v>
      </c>
      <c r="O47" s="370">
        <f t="shared" si="6"/>
        <v>30</v>
      </c>
      <c r="P47" s="370">
        <f t="shared" si="7"/>
        <v>45</v>
      </c>
      <c r="Q47" s="371">
        <f t="shared" si="8"/>
        <v>4323290.3999999994</v>
      </c>
      <c r="R47" s="26"/>
    </row>
    <row r="48" spans="1:18">
      <c r="A48" s="368">
        <f t="shared" si="2"/>
        <v>37</v>
      </c>
      <c r="B48" s="388" t="s">
        <v>399</v>
      </c>
      <c r="C48" s="388" t="s">
        <v>396</v>
      </c>
      <c r="D48" s="389">
        <v>43069</v>
      </c>
      <c r="E48" s="390">
        <v>106500</v>
      </c>
      <c r="F48" s="389">
        <v>43069</v>
      </c>
      <c r="G48" s="389"/>
      <c r="H48" s="369">
        <f t="shared" si="3"/>
        <v>0</v>
      </c>
      <c r="I48" s="389">
        <v>43102</v>
      </c>
      <c r="J48" s="391">
        <f t="shared" si="4"/>
        <v>33</v>
      </c>
      <c r="K48" s="392">
        <f t="shared" si="0"/>
        <v>33</v>
      </c>
      <c r="L48" s="336">
        <f t="shared" si="1"/>
        <v>3514500</v>
      </c>
      <c r="M48" s="26"/>
      <c r="N48" s="370">
        <f t="shared" si="5"/>
        <v>15</v>
      </c>
      <c r="O48" s="370">
        <f t="shared" si="6"/>
        <v>33</v>
      </c>
      <c r="P48" s="370">
        <f t="shared" si="7"/>
        <v>48</v>
      </c>
      <c r="Q48" s="371">
        <f t="shared" si="8"/>
        <v>5112000</v>
      </c>
      <c r="R48" s="26"/>
    </row>
    <row r="49" spans="1:18">
      <c r="A49" s="368">
        <f t="shared" si="2"/>
        <v>38</v>
      </c>
      <c r="B49" s="388" t="s">
        <v>395</v>
      </c>
      <c r="C49" s="388" t="s">
        <v>396</v>
      </c>
      <c r="D49" s="389">
        <v>42825</v>
      </c>
      <c r="E49" s="390">
        <v>31.5</v>
      </c>
      <c r="F49" s="389">
        <v>42802</v>
      </c>
      <c r="G49" s="389"/>
      <c r="H49" s="369">
        <f t="shared" si="3"/>
        <v>0</v>
      </c>
      <c r="I49" s="389">
        <v>42850</v>
      </c>
      <c r="J49" s="391">
        <f t="shared" si="4"/>
        <v>48</v>
      </c>
      <c r="K49" s="392">
        <f t="shared" si="0"/>
        <v>48</v>
      </c>
      <c r="L49" s="336">
        <f t="shared" si="1"/>
        <v>1512</v>
      </c>
      <c r="M49" s="26"/>
      <c r="N49" s="370">
        <f t="shared" si="5"/>
        <v>15</v>
      </c>
      <c r="O49" s="370">
        <f t="shared" si="6"/>
        <v>48</v>
      </c>
      <c r="P49" s="370">
        <f t="shared" si="7"/>
        <v>63</v>
      </c>
      <c r="Q49" s="371">
        <f t="shared" si="8"/>
        <v>1984.5</v>
      </c>
      <c r="R49" s="26"/>
    </row>
    <row r="50" spans="1:18">
      <c r="A50" s="368">
        <f t="shared" si="2"/>
        <v>39</v>
      </c>
      <c r="B50" s="388" t="s">
        <v>417</v>
      </c>
      <c r="C50" s="388" t="s">
        <v>396</v>
      </c>
      <c r="D50" s="389">
        <v>43017</v>
      </c>
      <c r="E50" s="390">
        <v>215.07</v>
      </c>
      <c r="F50" s="389">
        <v>42996</v>
      </c>
      <c r="G50" s="389"/>
      <c r="H50" s="369">
        <f t="shared" si="3"/>
        <v>0</v>
      </c>
      <c r="I50" s="389">
        <v>43048</v>
      </c>
      <c r="J50" s="391">
        <f t="shared" si="4"/>
        <v>52</v>
      </c>
      <c r="K50" s="392">
        <f t="shared" si="0"/>
        <v>52</v>
      </c>
      <c r="L50" s="336">
        <f t="shared" si="1"/>
        <v>11183.64</v>
      </c>
      <c r="M50" s="26"/>
      <c r="N50" s="370">
        <f t="shared" si="5"/>
        <v>15</v>
      </c>
      <c r="O50" s="370">
        <f t="shared" si="6"/>
        <v>52</v>
      </c>
      <c r="P50" s="370">
        <f t="shared" si="7"/>
        <v>67</v>
      </c>
      <c r="Q50" s="371">
        <f t="shared" si="8"/>
        <v>14409.689999999999</v>
      </c>
      <c r="R50" s="26"/>
    </row>
    <row r="51" spans="1:18">
      <c r="A51" s="368">
        <f t="shared" si="2"/>
        <v>40</v>
      </c>
      <c r="B51" s="388" t="s">
        <v>399</v>
      </c>
      <c r="C51" s="388" t="s">
        <v>396</v>
      </c>
      <c r="D51" s="389">
        <v>42768</v>
      </c>
      <c r="E51" s="390">
        <v>82545</v>
      </c>
      <c r="F51" s="389">
        <v>42768</v>
      </c>
      <c r="G51" s="389"/>
      <c r="H51" s="369">
        <f t="shared" si="3"/>
        <v>0</v>
      </c>
      <c r="I51" s="389">
        <v>42800</v>
      </c>
      <c r="J51" s="391">
        <f t="shared" si="4"/>
        <v>32</v>
      </c>
      <c r="K51" s="392">
        <f t="shared" si="0"/>
        <v>32</v>
      </c>
      <c r="L51" s="336">
        <f t="shared" si="1"/>
        <v>2641440</v>
      </c>
      <c r="M51" s="26"/>
      <c r="N51" s="370">
        <f t="shared" si="5"/>
        <v>15</v>
      </c>
      <c r="O51" s="370">
        <f t="shared" si="6"/>
        <v>32</v>
      </c>
      <c r="P51" s="370">
        <f t="shared" si="7"/>
        <v>47</v>
      </c>
      <c r="Q51" s="371">
        <f t="shared" si="8"/>
        <v>3879615</v>
      </c>
      <c r="R51" s="26"/>
    </row>
    <row r="52" spans="1:18">
      <c r="A52" s="368">
        <f t="shared" si="2"/>
        <v>41</v>
      </c>
      <c r="B52" s="388" t="s">
        <v>395</v>
      </c>
      <c r="C52" s="388" t="s">
        <v>418</v>
      </c>
      <c r="D52" s="389">
        <v>42794</v>
      </c>
      <c r="E52" s="390">
        <v>14.45</v>
      </c>
      <c r="F52" s="389">
        <v>42766</v>
      </c>
      <c r="G52" s="389">
        <v>42788</v>
      </c>
      <c r="H52" s="369">
        <f t="shared" si="3"/>
        <v>11</v>
      </c>
      <c r="I52" s="389">
        <v>42824</v>
      </c>
      <c r="J52" s="391">
        <f t="shared" si="4"/>
        <v>36</v>
      </c>
      <c r="K52" s="392">
        <f t="shared" si="0"/>
        <v>47</v>
      </c>
      <c r="L52" s="336">
        <f t="shared" si="1"/>
        <v>679.15</v>
      </c>
      <c r="M52" s="26"/>
      <c r="N52" s="370">
        <f t="shared" si="5"/>
        <v>11</v>
      </c>
      <c r="O52" s="370">
        <f t="shared" si="6"/>
        <v>36</v>
      </c>
      <c r="P52" s="370">
        <f t="shared" si="7"/>
        <v>47</v>
      </c>
      <c r="Q52" s="371">
        <f t="shared" si="8"/>
        <v>679.15</v>
      </c>
      <c r="R52" s="26"/>
    </row>
    <row r="53" spans="1:18">
      <c r="A53" s="368">
        <f t="shared" si="2"/>
        <v>42</v>
      </c>
      <c r="B53" s="388" t="s">
        <v>397</v>
      </c>
      <c r="C53" s="388" t="s">
        <v>419</v>
      </c>
      <c r="D53" s="389">
        <v>42914</v>
      </c>
      <c r="E53" s="390">
        <v>440.45</v>
      </c>
      <c r="F53" s="389">
        <v>42905</v>
      </c>
      <c r="G53" s="389">
        <v>42906</v>
      </c>
      <c r="H53" s="369">
        <f t="shared" si="3"/>
        <v>0.5</v>
      </c>
      <c r="I53" s="389">
        <v>42919</v>
      </c>
      <c r="J53" s="391">
        <f t="shared" si="4"/>
        <v>13</v>
      </c>
      <c r="K53" s="392">
        <f t="shared" si="0"/>
        <v>13.5</v>
      </c>
      <c r="L53" s="336">
        <f t="shared" si="1"/>
        <v>5946.08</v>
      </c>
      <c r="M53" s="26"/>
      <c r="N53" s="370">
        <f t="shared" si="5"/>
        <v>0.5</v>
      </c>
      <c r="O53" s="370">
        <f t="shared" si="6"/>
        <v>13</v>
      </c>
      <c r="P53" s="370">
        <f t="shared" si="7"/>
        <v>13.5</v>
      </c>
      <c r="Q53" s="371">
        <f t="shared" si="8"/>
        <v>5946.0749999999998</v>
      </c>
      <c r="R53" s="26"/>
    </row>
    <row r="54" spans="1:18">
      <c r="A54" s="368">
        <f t="shared" si="2"/>
        <v>43</v>
      </c>
      <c r="B54" s="388" t="s">
        <v>405</v>
      </c>
      <c r="C54" s="388" t="s">
        <v>420</v>
      </c>
      <c r="D54" s="389">
        <v>42844</v>
      </c>
      <c r="E54" s="390">
        <v>1191.71</v>
      </c>
      <c r="F54" s="389">
        <v>42836</v>
      </c>
      <c r="G54" s="389"/>
      <c r="H54" s="369">
        <f t="shared" si="3"/>
        <v>0</v>
      </c>
      <c r="I54" s="389">
        <v>42856</v>
      </c>
      <c r="J54" s="391">
        <f t="shared" si="4"/>
        <v>20</v>
      </c>
      <c r="K54" s="392">
        <f t="shared" si="0"/>
        <v>20</v>
      </c>
      <c r="L54" s="336">
        <f t="shared" si="1"/>
        <v>23834.2</v>
      </c>
      <c r="M54" s="26"/>
      <c r="N54" s="370">
        <f t="shared" si="5"/>
        <v>15</v>
      </c>
      <c r="O54" s="370">
        <f t="shared" si="6"/>
        <v>20</v>
      </c>
      <c r="P54" s="370">
        <f t="shared" si="7"/>
        <v>35</v>
      </c>
      <c r="Q54" s="371">
        <f t="shared" si="8"/>
        <v>41709.85</v>
      </c>
      <c r="R54" s="26"/>
    </row>
    <row r="55" spans="1:18">
      <c r="A55" s="368">
        <f t="shared" si="2"/>
        <v>44</v>
      </c>
      <c r="B55" s="388" t="s">
        <v>421</v>
      </c>
      <c r="C55" s="388" t="s">
        <v>422</v>
      </c>
      <c r="D55" s="389">
        <v>42766</v>
      </c>
      <c r="E55" s="390">
        <v>291.72000000000003</v>
      </c>
      <c r="F55" s="389">
        <v>42766</v>
      </c>
      <c r="G55" s="389"/>
      <c r="H55" s="369">
        <f t="shared" si="3"/>
        <v>0</v>
      </c>
      <c r="I55" s="389">
        <v>42797</v>
      </c>
      <c r="J55" s="391">
        <f t="shared" si="4"/>
        <v>31</v>
      </c>
      <c r="K55" s="392">
        <f t="shared" si="0"/>
        <v>31</v>
      </c>
      <c r="L55" s="336">
        <f t="shared" si="1"/>
        <v>9043.32</v>
      </c>
      <c r="M55" s="26"/>
      <c r="N55" s="370">
        <f t="shared" si="5"/>
        <v>15</v>
      </c>
      <c r="O55" s="370">
        <f t="shared" si="6"/>
        <v>31</v>
      </c>
      <c r="P55" s="370">
        <f t="shared" si="7"/>
        <v>46</v>
      </c>
      <c r="Q55" s="371">
        <f t="shared" si="8"/>
        <v>13419.12</v>
      </c>
      <c r="R55" s="26"/>
    </row>
    <row r="56" spans="1:18">
      <c r="A56" s="368">
        <f t="shared" si="2"/>
        <v>45</v>
      </c>
      <c r="B56" s="388" t="s">
        <v>423</v>
      </c>
      <c r="C56" s="388" t="s">
        <v>424</v>
      </c>
      <c r="D56" s="389">
        <v>42934</v>
      </c>
      <c r="E56" s="390">
        <v>90647.39</v>
      </c>
      <c r="F56" s="389">
        <v>42736</v>
      </c>
      <c r="G56" s="389">
        <v>43100</v>
      </c>
      <c r="H56" s="369">
        <f t="shared" si="3"/>
        <v>182</v>
      </c>
      <c r="I56" s="389">
        <v>42979</v>
      </c>
      <c r="J56" s="391">
        <f t="shared" si="4"/>
        <v>-121</v>
      </c>
      <c r="K56" s="392">
        <f t="shared" si="0"/>
        <v>61</v>
      </c>
      <c r="L56" s="336">
        <f t="shared" si="1"/>
        <v>5529490.79</v>
      </c>
      <c r="M56" s="26"/>
      <c r="N56" s="370">
        <f t="shared" si="5"/>
        <v>182</v>
      </c>
      <c r="O56" s="370">
        <f t="shared" si="6"/>
        <v>-121</v>
      </c>
      <c r="P56" s="370">
        <f t="shared" si="7"/>
        <v>61</v>
      </c>
      <c r="Q56" s="371">
        <f t="shared" si="8"/>
        <v>5529490.79</v>
      </c>
      <c r="R56" s="26"/>
    </row>
    <row r="57" spans="1:18">
      <c r="A57" s="368">
        <f t="shared" si="2"/>
        <v>46</v>
      </c>
      <c r="B57" s="388" t="s">
        <v>425</v>
      </c>
      <c r="C57" s="388" t="s">
        <v>426</v>
      </c>
      <c r="D57" s="389">
        <v>43060</v>
      </c>
      <c r="E57" s="390">
        <v>368</v>
      </c>
      <c r="F57" s="389">
        <v>43060</v>
      </c>
      <c r="G57" s="389"/>
      <c r="H57" s="369">
        <f t="shared" si="3"/>
        <v>0</v>
      </c>
      <c r="I57" s="389">
        <v>43075</v>
      </c>
      <c r="J57" s="391">
        <f t="shared" si="4"/>
        <v>15</v>
      </c>
      <c r="K57" s="392">
        <f t="shared" si="0"/>
        <v>15</v>
      </c>
      <c r="L57" s="336">
        <f t="shared" si="1"/>
        <v>5520</v>
      </c>
      <c r="M57" s="26"/>
      <c r="N57" s="370">
        <f t="shared" si="5"/>
        <v>15</v>
      </c>
      <c r="O57" s="370">
        <f t="shared" si="6"/>
        <v>15</v>
      </c>
      <c r="P57" s="370">
        <f t="shared" si="7"/>
        <v>30</v>
      </c>
      <c r="Q57" s="371">
        <f t="shared" si="8"/>
        <v>11040</v>
      </c>
      <c r="R57" s="26"/>
    </row>
    <row r="58" spans="1:18">
      <c r="A58" s="368">
        <f t="shared" si="2"/>
        <v>47</v>
      </c>
      <c r="B58" s="388" t="s">
        <v>427</v>
      </c>
      <c r="C58" s="388" t="s">
        <v>428</v>
      </c>
      <c r="D58" s="389">
        <v>42793</v>
      </c>
      <c r="E58" s="390">
        <v>175</v>
      </c>
      <c r="F58" s="389">
        <v>42793</v>
      </c>
      <c r="G58" s="389"/>
      <c r="H58" s="369">
        <f t="shared" si="3"/>
        <v>0</v>
      </c>
      <c r="I58" s="389">
        <v>42800</v>
      </c>
      <c r="J58" s="391">
        <f t="shared" si="4"/>
        <v>7</v>
      </c>
      <c r="K58" s="392">
        <f t="shared" si="0"/>
        <v>7</v>
      </c>
      <c r="L58" s="336">
        <f t="shared" si="1"/>
        <v>1225</v>
      </c>
      <c r="M58" s="26"/>
      <c r="N58" s="370">
        <f t="shared" si="5"/>
        <v>15</v>
      </c>
      <c r="O58" s="370">
        <f t="shared" si="6"/>
        <v>7</v>
      </c>
      <c r="P58" s="370">
        <f t="shared" si="7"/>
        <v>22</v>
      </c>
      <c r="Q58" s="371">
        <f t="shared" si="8"/>
        <v>3850</v>
      </c>
      <c r="R58" s="26"/>
    </row>
    <row r="59" spans="1:18">
      <c r="A59" s="368">
        <f t="shared" si="2"/>
        <v>48</v>
      </c>
      <c r="B59" s="388" t="s">
        <v>429</v>
      </c>
      <c r="C59" s="388" t="s">
        <v>430</v>
      </c>
      <c r="D59" s="389">
        <v>42766</v>
      </c>
      <c r="E59" s="390">
        <v>65920</v>
      </c>
      <c r="F59" s="389">
        <v>42766</v>
      </c>
      <c r="G59" s="389"/>
      <c r="H59" s="369">
        <f t="shared" si="3"/>
        <v>0</v>
      </c>
      <c r="I59" s="389">
        <v>42800</v>
      </c>
      <c r="J59" s="391">
        <f t="shared" si="4"/>
        <v>34</v>
      </c>
      <c r="K59" s="392">
        <f t="shared" si="0"/>
        <v>34</v>
      </c>
      <c r="L59" s="336">
        <f t="shared" si="1"/>
        <v>2241280</v>
      </c>
      <c r="M59" s="26"/>
      <c r="N59" s="370">
        <f t="shared" si="5"/>
        <v>15</v>
      </c>
      <c r="O59" s="370">
        <f t="shared" si="6"/>
        <v>34</v>
      </c>
      <c r="P59" s="370">
        <f t="shared" si="7"/>
        <v>49</v>
      </c>
      <c r="Q59" s="371">
        <f t="shared" si="8"/>
        <v>3230080</v>
      </c>
      <c r="R59" s="26"/>
    </row>
    <row r="60" spans="1:18">
      <c r="A60" s="368">
        <f t="shared" si="2"/>
        <v>49</v>
      </c>
      <c r="B60" s="388" t="s">
        <v>431</v>
      </c>
      <c r="C60" s="388" t="s">
        <v>432</v>
      </c>
      <c r="D60" s="389">
        <v>42797</v>
      </c>
      <c r="E60" s="390">
        <v>518.85</v>
      </c>
      <c r="F60" s="389">
        <v>42797</v>
      </c>
      <c r="G60" s="389"/>
      <c r="H60" s="369">
        <f t="shared" si="3"/>
        <v>0</v>
      </c>
      <c r="I60" s="389">
        <v>42856</v>
      </c>
      <c r="J60" s="391">
        <f t="shared" si="4"/>
        <v>59</v>
      </c>
      <c r="K60" s="392">
        <f t="shared" si="0"/>
        <v>59</v>
      </c>
      <c r="L60" s="336">
        <f t="shared" si="1"/>
        <v>30612.15</v>
      </c>
      <c r="M60" s="26"/>
      <c r="N60" s="370">
        <f t="shared" si="5"/>
        <v>15</v>
      </c>
      <c r="O60" s="370">
        <f t="shared" si="6"/>
        <v>59</v>
      </c>
      <c r="P60" s="370">
        <f t="shared" si="7"/>
        <v>74</v>
      </c>
      <c r="Q60" s="371">
        <f t="shared" si="8"/>
        <v>38394.9</v>
      </c>
      <c r="R60" s="26"/>
    </row>
    <row r="61" spans="1:18">
      <c r="A61" s="368">
        <f t="shared" si="2"/>
        <v>50</v>
      </c>
      <c r="B61" s="388" t="s">
        <v>395</v>
      </c>
      <c r="C61" s="388" t="s">
        <v>433</v>
      </c>
      <c r="D61" s="389">
        <v>42794</v>
      </c>
      <c r="E61" s="390">
        <v>1.19</v>
      </c>
      <c r="F61" s="389">
        <v>42788</v>
      </c>
      <c r="G61" s="389"/>
      <c r="H61" s="369">
        <f t="shared" si="3"/>
        <v>0</v>
      </c>
      <c r="I61" s="389">
        <v>42824</v>
      </c>
      <c r="J61" s="391">
        <f t="shared" si="4"/>
        <v>36</v>
      </c>
      <c r="K61" s="392">
        <f t="shared" si="0"/>
        <v>36</v>
      </c>
      <c r="L61" s="336">
        <f t="shared" si="1"/>
        <v>42.84</v>
      </c>
      <c r="M61" s="26"/>
      <c r="N61" s="370">
        <f t="shared" si="5"/>
        <v>15</v>
      </c>
      <c r="O61" s="370">
        <f t="shared" si="6"/>
        <v>36</v>
      </c>
      <c r="P61" s="370">
        <f t="shared" si="7"/>
        <v>51</v>
      </c>
      <c r="Q61" s="371">
        <f t="shared" si="8"/>
        <v>60.69</v>
      </c>
      <c r="R61" s="26"/>
    </row>
    <row r="62" spans="1:18">
      <c r="A62" s="368">
        <f t="shared" si="2"/>
        <v>51</v>
      </c>
      <c r="B62" s="388" t="s">
        <v>434</v>
      </c>
      <c r="C62" s="388" t="s">
        <v>433</v>
      </c>
      <c r="D62" s="389">
        <v>43017</v>
      </c>
      <c r="E62" s="390">
        <v>76.27</v>
      </c>
      <c r="F62" s="389">
        <v>43017</v>
      </c>
      <c r="G62" s="389"/>
      <c r="H62" s="369">
        <f t="shared" si="3"/>
        <v>0</v>
      </c>
      <c r="I62" s="389">
        <v>43048</v>
      </c>
      <c r="J62" s="391">
        <f t="shared" si="4"/>
        <v>31</v>
      </c>
      <c r="K62" s="392">
        <f t="shared" si="0"/>
        <v>31</v>
      </c>
      <c r="L62" s="336">
        <f t="shared" si="1"/>
        <v>2364.37</v>
      </c>
      <c r="M62" s="26"/>
      <c r="N62" s="370">
        <f t="shared" si="5"/>
        <v>15</v>
      </c>
      <c r="O62" s="370">
        <f t="shared" si="6"/>
        <v>31</v>
      </c>
      <c r="P62" s="370">
        <f t="shared" si="7"/>
        <v>46</v>
      </c>
      <c r="Q62" s="371">
        <f t="shared" si="8"/>
        <v>3508.4199999999996</v>
      </c>
      <c r="R62" s="26"/>
    </row>
    <row r="63" spans="1:18">
      <c r="A63" s="368">
        <f t="shared" si="2"/>
        <v>52</v>
      </c>
      <c r="B63" s="388" t="s">
        <v>395</v>
      </c>
      <c r="C63" s="388" t="s">
        <v>433</v>
      </c>
      <c r="D63" s="389">
        <v>43039</v>
      </c>
      <c r="E63" s="390">
        <v>15.48</v>
      </c>
      <c r="F63" s="389">
        <v>43012</v>
      </c>
      <c r="G63" s="389">
        <v>43034</v>
      </c>
      <c r="H63" s="369">
        <f t="shared" si="3"/>
        <v>11</v>
      </c>
      <c r="I63" s="389">
        <v>43080</v>
      </c>
      <c r="J63" s="391">
        <f t="shared" si="4"/>
        <v>46</v>
      </c>
      <c r="K63" s="392">
        <f t="shared" si="0"/>
        <v>57</v>
      </c>
      <c r="L63" s="336">
        <f t="shared" si="1"/>
        <v>882.36</v>
      </c>
      <c r="M63" s="26"/>
      <c r="N63" s="370">
        <f t="shared" si="5"/>
        <v>11</v>
      </c>
      <c r="O63" s="370">
        <f t="shared" si="6"/>
        <v>46</v>
      </c>
      <c r="P63" s="370">
        <f t="shared" si="7"/>
        <v>57</v>
      </c>
      <c r="Q63" s="371">
        <f t="shared" si="8"/>
        <v>882.36</v>
      </c>
      <c r="R63" s="26"/>
    </row>
    <row r="64" spans="1:18">
      <c r="A64" s="368">
        <f t="shared" si="2"/>
        <v>53</v>
      </c>
      <c r="B64" s="388" t="s">
        <v>395</v>
      </c>
      <c r="C64" s="388" t="s">
        <v>433</v>
      </c>
      <c r="D64" s="389">
        <v>42916</v>
      </c>
      <c r="E64" s="390">
        <v>0.97</v>
      </c>
      <c r="F64" s="389">
        <v>42913</v>
      </c>
      <c r="G64" s="389"/>
      <c r="H64" s="369">
        <f t="shared" si="3"/>
        <v>0</v>
      </c>
      <c r="I64" s="389">
        <v>42941</v>
      </c>
      <c r="J64" s="391">
        <f t="shared" si="4"/>
        <v>28</v>
      </c>
      <c r="K64" s="392">
        <f t="shared" si="0"/>
        <v>28</v>
      </c>
      <c r="L64" s="336">
        <f t="shared" si="1"/>
        <v>27.16</v>
      </c>
      <c r="M64" s="26"/>
      <c r="N64" s="370">
        <f t="shared" si="5"/>
        <v>15</v>
      </c>
      <c r="O64" s="370">
        <f t="shared" si="6"/>
        <v>28</v>
      </c>
      <c r="P64" s="370">
        <f t="shared" si="7"/>
        <v>43</v>
      </c>
      <c r="Q64" s="371">
        <f t="shared" si="8"/>
        <v>41.71</v>
      </c>
      <c r="R64" s="26"/>
    </row>
    <row r="65" spans="1:18">
      <c r="A65" s="368">
        <f t="shared" si="2"/>
        <v>54</v>
      </c>
      <c r="B65" s="388" t="s">
        <v>435</v>
      </c>
      <c r="C65" s="388" t="s">
        <v>433</v>
      </c>
      <c r="D65" s="389">
        <v>42809</v>
      </c>
      <c r="E65" s="390">
        <v>158.52000000000001</v>
      </c>
      <c r="F65" s="389">
        <v>42793</v>
      </c>
      <c r="G65" s="389"/>
      <c r="H65" s="369">
        <f t="shared" si="3"/>
        <v>0</v>
      </c>
      <c r="I65" s="389">
        <v>42860</v>
      </c>
      <c r="J65" s="391">
        <f t="shared" si="4"/>
        <v>67</v>
      </c>
      <c r="K65" s="392">
        <f t="shared" si="0"/>
        <v>67</v>
      </c>
      <c r="L65" s="336">
        <f t="shared" si="1"/>
        <v>10620.84</v>
      </c>
      <c r="M65" s="26"/>
      <c r="N65" s="370">
        <f t="shared" si="5"/>
        <v>15</v>
      </c>
      <c r="O65" s="370">
        <f t="shared" si="6"/>
        <v>67</v>
      </c>
      <c r="P65" s="370">
        <f t="shared" si="7"/>
        <v>82</v>
      </c>
      <c r="Q65" s="371">
        <f t="shared" si="8"/>
        <v>12998.640000000001</v>
      </c>
      <c r="R65" s="26"/>
    </row>
    <row r="66" spans="1:18">
      <c r="A66" s="368">
        <f t="shared" si="2"/>
        <v>55</v>
      </c>
      <c r="B66" s="388" t="s">
        <v>436</v>
      </c>
      <c r="C66" s="388" t="s">
        <v>433</v>
      </c>
      <c r="D66" s="389">
        <v>42898</v>
      </c>
      <c r="E66" s="390">
        <v>11.6</v>
      </c>
      <c r="F66" s="389">
        <v>42898</v>
      </c>
      <c r="G66" s="389"/>
      <c r="H66" s="369">
        <f t="shared" si="3"/>
        <v>0</v>
      </c>
      <c r="I66" s="389">
        <v>42928</v>
      </c>
      <c r="J66" s="391">
        <f t="shared" si="4"/>
        <v>30</v>
      </c>
      <c r="K66" s="392">
        <f t="shared" si="0"/>
        <v>30</v>
      </c>
      <c r="L66" s="336">
        <f t="shared" si="1"/>
        <v>348</v>
      </c>
      <c r="M66" s="26"/>
      <c r="N66" s="370">
        <f t="shared" si="5"/>
        <v>15</v>
      </c>
      <c r="O66" s="370">
        <f t="shared" si="6"/>
        <v>30</v>
      </c>
      <c r="P66" s="370">
        <f t="shared" si="7"/>
        <v>45</v>
      </c>
      <c r="Q66" s="371">
        <f t="shared" si="8"/>
        <v>522</v>
      </c>
      <c r="R66" s="26"/>
    </row>
    <row r="67" spans="1:18">
      <c r="A67" s="368">
        <f t="shared" si="2"/>
        <v>56</v>
      </c>
      <c r="B67" s="388" t="s">
        <v>437</v>
      </c>
      <c r="C67" s="388" t="s">
        <v>433</v>
      </c>
      <c r="D67" s="389">
        <v>42927</v>
      </c>
      <c r="E67" s="390">
        <v>27.21</v>
      </c>
      <c r="F67" s="389">
        <v>42927</v>
      </c>
      <c r="G67" s="389"/>
      <c r="H67" s="369">
        <f t="shared" si="3"/>
        <v>0</v>
      </c>
      <c r="I67" s="389">
        <v>42957</v>
      </c>
      <c r="J67" s="391">
        <f t="shared" si="4"/>
        <v>30</v>
      </c>
      <c r="K67" s="392">
        <f t="shared" si="0"/>
        <v>30</v>
      </c>
      <c r="L67" s="336">
        <f t="shared" si="1"/>
        <v>816.3</v>
      </c>
      <c r="M67" s="26"/>
      <c r="N67" s="370">
        <f t="shared" si="5"/>
        <v>15</v>
      </c>
      <c r="O67" s="370">
        <f t="shared" si="6"/>
        <v>30</v>
      </c>
      <c r="P67" s="370">
        <f t="shared" si="7"/>
        <v>45</v>
      </c>
      <c r="Q67" s="371">
        <f t="shared" si="8"/>
        <v>1224.45</v>
      </c>
      <c r="R67" s="26"/>
    </row>
    <row r="68" spans="1:18">
      <c r="A68" s="368">
        <f t="shared" si="2"/>
        <v>57</v>
      </c>
      <c r="B68" s="388" t="s">
        <v>395</v>
      </c>
      <c r="C68" s="388" t="s">
        <v>433</v>
      </c>
      <c r="D68" s="389">
        <v>42766</v>
      </c>
      <c r="E68" s="390">
        <v>0.9</v>
      </c>
      <c r="F68" s="389">
        <v>42719</v>
      </c>
      <c r="G68" s="389"/>
      <c r="H68" s="369">
        <f t="shared" si="3"/>
        <v>0</v>
      </c>
      <c r="I68" s="389">
        <v>42793</v>
      </c>
      <c r="J68" s="391">
        <f t="shared" si="4"/>
        <v>74</v>
      </c>
      <c r="K68" s="392">
        <f t="shared" si="0"/>
        <v>74</v>
      </c>
      <c r="L68" s="336">
        <f t="shared" si="1"/>
        <v>66.599999999999994</v>
      </c>
      <c r="M68" s="26"/>
      <c r="N68" s="370">
        <f t="shared" si="5"/>
        <v>15</v>
      </c>
      <c r="O68" s="370">
        <f t="shared" si="6"/>
        <v>74</v>
      </c>
      <c r="P68" s="370">
        <f t="shared" si="7"/>
        <v>89</v>
      </c>
      <c r="Q68" s="371">
        <f t="shared" si="8"/>
        <v>80.100000000000009</v>
      </c>
      <c r="R68" s="26"/>
    </row>
    <row r="69" spans="1:18">
      <c r="A69" s="368">
        <f t="shared" si="2"/>
        <v>58</v>
      </c>
      <c r="B69" s="388" t="s">
        <v>395</v>
      </c>
      <c r="C69" s="388" t="s">
        <v>433</v>
      </c>
      <c r="D69" s="389">
        <v>42855</v>
      </c>
      <c r="E69" s="390">
        <v>4.63</v>
      </c>
      <c r="F69" s="389">
        <v>42842</v>
      </c>
      <c r="G69" s="389"/>
      <c r="H69" s="369">
        <f t="shared" si="3"/>
        <v>0</v>
      </c>
      <c r="I69" s="389">
        <v>42880</v>
      </c>
      <c r="J69" s="391">
        <f t="shared" si="4"/>
        <v>38</v>
      </c>
      <c r="K69" s="392">
        <f t="shared" si="0"/>
        <v>38</v>
      </c>
      <c r="L69" s="336">
        <f t="shared" si="1"/>
        <v>175.94</v>
      </c>
      <c r="M69" s="26"/>
      <c r="N69" s="370">
        <f t="shared" si="5"/>
        <v>15</v>
      </c>
      <c r="O69" s="370">
        <f t="shared" si="6"/>
        <v>38</v>
      </c>
      <c r="P69" s="370">
        <f t="shared" si="7"/>
        <v>53</v>
      </c>
      <c r="Q69" s="371">
        <f t="shared" si="8"/>
        <v>245.39</v>
      </c>
      <c r="R69" s="26"/>
    </row>
    <row r="70" spans="1:18">
      <c r="A70" s="368">
        <f t="shared" si="2"/>
        <v>59</v>
      </c>
      <c r="B70" s="388" t="s">
        <v>438</v>
      </c>
      <c r="C70" s="388" t="s">
        <v>433</v>
      </c>
      <c r="D70" s="389">
        <v>42947</v>
      </c>
      <c r="E70" s="390">
        <v>62.43</v>
      </c>
      <c r="F70" s="389">
        <v>42943</v>
      </c>
      <c r="G70" s="389"/>
      <c r="H70" s="369">
        <f t="shared" si="3"/>
        <v>0</v>
      </c>
      <c r="I70" s="389">
        <v>42977</v>
      </c>
      <c r="J70" s="391">
        <f t="shared" si="4"/>
        <v>34</v>
      </c>
      <c r="K70" s="392">
        <f t="shared" si="0"/>
        <v>34</v>
      </c>
      <c r="L70" s="336">
        <f t="shared" si="1"/>
        <v>2122.62</v>
      </c>
      <c r="M70" s="26"/>
      <c r="N70" s="370">
        <f t="shared" si="5"/>
        <v>15</v>
      </c>
      <c r="O70" s="370">
        <f t="shared" si="6"/>
        <v>34</v>
      </c>
      <c r="P70" s="370">
        <f t="shared" si="7"/>
        <v>49</v>
      </c>
      <c r="Q70" s="371">
        <f t="shared" si="8"/>
        <v>3059.07</v>
      </c>
      <c r="R70" s="26"/>
    </row>
    <row r="71" spans="1:18">
      <c r="A71" s="368">
        <f t="shared" si="2"/>
        <v>60</v>
      </c>
      <c r="B71" s="388" t="s">
        <v>439</v>
      </c>
      <c r="C71" s="388" t="s">
        <v>433</v>
      </c>
      <c r="D71" s="389">
        <v>42961</v>
      </c>
      <c r="E71" s="390">
        <v>215</v>
      </c>
      <c r="F71" s="389">
        <v>42961</v>
      </c>
      <c r="G71" s="389"/>
      <c r="H71" s="369">
        <f t="shared" si="3"/>
        <v>0</v>
      </c>
      <c r="I71" s="389">
        <v>42991</v>
      </c>
      <c r="J71" s="391">
        <f t="shared" si="4"/>
        <v>30</v>
      </c>
      <c r="K71" s="392">
        <f t="shared" si="0"/>
        <v>30</v>
      </c>
      <c r="L71" s="336">
        <f t="shared" si="1"/>
        <v>6450</v>
      </c>
      <c r="M71" s="26"/>
      <c r="N71" s="370">
        <f t="shared" si="5"/>
        <v>15</v>
      </c>
      <c r="O71" s="370">
        <f t="shared" si="6"/>
        <v>30</v>
      </c>
      <c r="P71" s="370">
        <f t="shared" si="7"/>
        <v>45</v>
      </c>
      <c r="Q71" s="371">
        <f t="shared" si="8"/>
        <v>9675</v>
      </c>
      <c r="R71" s="26"/>
    </row>
    <row r="72" spans="1:18">
      <c r="A72" s="368">
        <f t="shared" si="2"/>
        <v>61</v>
      </c>
      <c r="B72" s="388" t="s">
        <v>440</v>
      </c>
      <c r="C72" s="388" t="s">
        <v>441</v>
      </c>
      <c r="D72" s="389">
        <v>42936</v>
      </c>
      <c r="E72" s="390">
        <v>32.54</v>
      </c>
      <c r="F72" s="389">
        <v>42936</v>
      </c>
      <c r="G72" s="389"/>
      <c r="H72" s="369">
        <f t="shared" si="3"/>
        <v>0</v>
      </c>
      <c r="I72" s="389">
        <v>42943</v>
      </c>
      <c r="J72" s="391">
        <f t="shared" si="4"/>
        <v>7</v>
      </c>
      <c r="K72" s="392">
        <f t="shared" si="0"/>
        <v>7</v>
      </c>
      <c r="L72" s="336">
        <f t="shared" si="1"/>
        <v>227.78</v>
      </c>
      <c r="M72" s="26"/>
      <c r="N72" s="370">
        <f t="shared" si="5"/>
        <v>15</v>
      </c>
      <c r="O72" s="370">
        <f t="shared" si="6"/>
        <v>7</v>
      </c>
      <c r="P72" s="370">
        <f t="shared" si="7"/>
        <v>22</v>
      </c>
      <c r="Q72" s="371">
        <f t="shared" si="8"/>
        <v>715.88</v>
      </c>
      <c r="R72" s="26"/>
    </row>
    <row r="73" spans="1:18">
      <c r="A73" s="368">
        <f t="shared" si="2"/>
        <v>62</v>
      </c>
      <c r="B73" s="388" t="s">
        <v>442</v>
      </c>
      <c r="C73" s="388" t="s">
        <v>443</v>
      </c>
      <c r="D73" s="389">
        <v>42968</v>
      </c>
      <c r="E73" s="390">
        <v>287.36</v>
      </c>
      <c r="F73" s="389">
        <v>42944</v>
      </c>
      <c r="G73" s="389">
        <v>42968</v>
      </c>
      <c r="H73" s="369">
        <f t="shared" si="3"/>
        <v>12</v>
      </c>
      <c r="I73" s="389">
        <v>42991</v>
      </c>
      <c r="J73" s="391">
        <f t="shared" si="4"/>
        <v>23</v>
      </c>
      <c r="K73" s="392">
        <f t="shared" si="0"/>
        <v>35</v>
      </c>
      <c r="L73" s="336">
        <f t="shared" si="1"/>
        <v>10057.6</v>
      </c>
      <c r="M73" s="26"/>
      <c r="N73" s="370">
        <f t="shared" si="5"/>
        <v>12</v>
      </c>
      <c r="O73" s="370">
        <f t="shared" si="6"/>
        <v>23</v>
      </c>
      <c r="P73" s="370">
        <f t="shared" si="7"/>
        <v>35</v>
      </c>
      <c r="Q73" s="371">
        <f t="shared" si="8"/>
        <v>10057.6</v>
      </c>
      <c r="R73" s="26"/>
    </row>
    <row r="74" spans="1:18">
      <c r="A74" s="368">
        <f t="shared" si="2"/>
        <v>63</v>
      </c>
      <c r="B74" s="388" t="s">
        <v>444</v>
      </c>
      <c r="C74" s="388" t="s">
        <v>445</v>
      </c>
      <c r="D74" s="389">
        <v>42762</v>
      </c>
      <c r="E74" s="390">
        <v>155344.79999999999</v>
      </c>
      <c r="F74" s="389">
        <v>42762</v>
      </c>
      <c r="G74" s="389"/>
      <c r="H74" s="369">
        <f t="shared" si="3"/>
        <v>0</v>
      </c>
      <c r="I74" s="389">
        <v>42793</v>
      </c>
      <c r="J74" s="391">
        <f t="shared" si="4"/>
        <v>31</v>
      </c>
      <c r="K74" s="392">
        <f t="shared" si="0"/>
        <v>31</v>
      </c>
      <c r="L74" s="336">
        <f t="shared" si="1"/>
        <v>4815688.8</v>
      </c>
      <c r="M74" s="26"/>
      <c r="N74" s="370">
        <f t="shared" si="5"/>
        <v>15</v>
      </c>
      <c r="O74" s="370">
        <f t="shared" si="6"/>
        <v>31</v>
      </c>
      <c r="P74" s="370">
        <f t="shared" si="7"/>
        <v>46</v>
      </c>
      <c r="Q74" s="371">
        <f t="shared" si="8"/>
        <v>7145860.7999999998</v>
      </c>
      <c r="R74" s="26"/>
    </row>
    <row r="75" spans="1:18">
      <c r="A75" s="368">
        <f t="shared" si="2"/>
        <v>64</v>
      </c>
      <c r="B75" s="388" t="s">
        <v>444</v>
      </c>
      <c r="C75" s="388" t="s">
        <v>445</v>
      </c>
      <c r="D75" s="389">
        <v>42790</v>
      </c>
      <c r="E75" s="390">
        <v>250420.6</v>
      </c>
      <c r="F75" s="389">
        <v>42790</v>
      </c>
      <c r="G75" s="389"/>
      <c r="H75" s="369">
        <f t="shared" si="3"/>
        <v>0</v>
      </c>
      <c r="I75" s="389">
        <v>42821</v>
      </c>
      <c r="J75" s="391">
        <f t="shared" si="4"/>
        <v>31</v>
      </c>
      <c r="K75" s="392">
        <f t="shared" si="0"/>
        <v>31</v>
      </c>
      <c r="L75" s="336">
        <f t="shared" si="1"/>
        <v>7763038.5999999996</v>
      </c>
      <c r="M75" s="26"/>
      <c r="N75" s="370">
        <f t="shared" si="5"/>
        <v>15</v>
      </c>
      <c r="O75" s="370">
        <f t="shared" si="6"/>
        <v>31</v>
      </c>
      <c r="P75" s="370">
        <f t="shared" si="7"/>
        <v>46</v>
      </c>
      <c r="Q75" s="371">
        <f t="shared" si="8"/>
        <v>11519347.6</v>
      </c>
      <c r="R75" s="26"/>
    </row>
    <row r="76" spans="1:18">
      <c r="A76" s="368">
        <f t="shared" si="2"/>
        <v>65</v>
      </c>
      <c r="B76" s="388" t="s">
        <v>444</v>
      </c>
      <c r="C76" s="388" t="s">
        <v>445</v>
      </c>
      <c r="D76" s="389">
        <v>42822</v>
      </c>
      <c r="E76" s="390">
        <v>88526.92</v>
      </c>
      <c r="F76" s="389">
        <v>42810</v>
      </c>
      <c r="G76" s="389">
        <v>42811</v>
      </c>
      <c r="H76" s="369">
        <f t="shared" si="3"/>
        <v>0.5</v>
      </c>
      <c r="I76" s="389">
        <v>42853</v>
      </c>
      <c r="J76" s="391">
        <f t="shared" si="4"/>
        <v>42</v>
      </c>
      <c r="K76" s="392">
        <f t="shared" ref="K76:K139" si="9">H76+J76</f>
        <v>42.5</v>
      </c>
      <c r="L76" s="336">
        <f t="shared" ref="L76:L139" si="10">ROUND(E76*K76,2)</f>
        <v>3762394.1</v>
      </c>
      <c r="M76" s="26"/>
      <c r="N76" s="370">
        <f t="shared" si="5"/>
        <v>0.5</v>
      </c>
      <c r="O76" s="370">
        <f t="shared" si="6"/>
        <v>42</v>
      </c>
      <c r="P76" s="370">
        <f t="shared" si="7"/>
        <v>42.5</v>
      </c>
      <c r="Q76" s="371">
        <f t="shared" si="8"/>
        <v>3762394.1</v>
      </c>
      <c r="R76" s="26"/>
    </row>
    <row r="77" spans="1:18">
      <c r="A77" s="368">
        <f t="shared" ref="A77:A140" si="11">A76+1</f>
        <v>66</v>
      </c>
      <c r="B77" s="388" t="s">
        <v>444</v>
      </c>
      <c r="C77" s="388" t="s">
        <v>445</v>
      </c>
      <c r="D77" s="389">
        <v>42851</v>
      </c>
      <c r="E77" s="390">
        <v>115403.4</v>
      </c>
      <c r="F77" s="389">
        <v>42838</v>
      </c>
      <c r="G77" s="389">
        <v>42843</v>
      </c>
      <c r="H77" s="369">
        <f t="shared" ref="H77:H140" si="12">IF(G77="",0,(G77-F77)/2)</f>
        <v>2.5</v>
      </c>
      <c r="I77" s="389">
        <v>42885</v>
      </c>
      <c r="J77" s="391">
        <f t="shared" ref="J77:J140" si="13">IF(G77="",I77-F77,I77-G77)</f>
        <v>42</v>
      </c>
      <c r="K77" s="392">
        <f t="shared" si="9"/>
        <v>44.5</v>
      </c>
      <c r="L77" s="336">
        <f t="shared" si="10"/>
        <v>5135451.3</v>
      </c>
      <c r="N77" s="370">
        <f t="shared" ref="N77:N140" si="14">IF(G77="",30/2,H77)</f>
        <v>2.5</v>
      </c>
      <c r="O77" s="370">
        <f t="shared" ref="O77:O140" si="15">J77</f>
        <v>42</v>
      </c>
      <c r="P77" s="370">
        <f t="shared" ref="P77:P140" si="16">N77+O77</f>
        <v>44.5</v>
      </c>
      <c r="Q77" s="371">
        <f t="shared" ref="Q77:Q140" si="17">E77*P77</f>
        <v>5135451.3</v>
      </c>
    </row>
    <row r="78" spans="1:18">
      <c r="A78" s="368">
        <f t="shared" si="11"/>
        <v>67</v>
      </c>
      <c r="B78" s="388" t="s">
        <v>444</v>
      </c>
      <c r="C78" s="388" t="s">
        <v>445</v>
      </c>
      <c r="D78" s="389">
        <v>42879</v>
      </c>
      <c r="E78" s="390">
        <v>198472.4</v>
      </c>
      <c r="F78" s="389">
        <v>42857</v>
      </c>
      <c r="G78" s="389">
        <v>42878</v>
      </c>
      <c r="H78" s="369">
        <f t="shared" si="12"/>
        <v>10.5</v>
      </c>
      <c r="I78" s="389">
        <v>42909</v>
      </c>
      <c r="J78" s="391">
        <f t="shared" si="13"/>
        <v>31</v>
      </c>
      <c r="K78" s="392">
        <f t="shared" si="9"/>
        <v>41.5</v>
      </c>
      <c r="L78" s="336">
        <f t="shared" si="10"/>
        <v>8236604.5999999996</v>
      </c>
      <c r="N78" s="370">
        <f t="shared" si="14"/>
        <v>10.5</v>
      </c>
      <c r="O78" s="370">
        <f t="shared" si="15"/>
        <v>31</v>
      </c>
      <c r="P78" s="370">
        <f t="shared" si="16"/>
        <v>41.5</v>
      </c>
      <c r="Q78" s="371">
        <f t="shared" si="17"/>
        <v>8236604.5999999996</v>
      </c>
    </row>
    <row r="79" spans="1:18">
      <c r="A79" s="368">
        <f t="shared" si="11"/>
        <v>68</v>
      </c>
      <c r="B79" s="388" t="s">
        <v>444</v>
      </c>
      <c r="C79" s="388" t="s">
        <v>445</v>
      </c>
      <c r="D79" s="389">
        <v>42914</v>
      </c>
      <c r="E79" s="390">
        <v>316044.90000000002</v>
      </c>
      <c r="F79" s="389">
        <v>42879</v>
      </c>
      <c r="G79" s="389">
        <v>42908</v>
      </c>
      <c r="H79" s="369">
        <f t="shared" si="12"/>
        <v>14.5</v>
      </c>
      <c r="I79" s="389">
        <v>42947</v>
      </c>
      <c r="J79" s="391">
        <f t="shared" si="13"/>
        <v>39</v>
      </c>
      <c r="K79" s="392">
        <f t="shared" si="9"/>
        <v>53.5</v>
      </c>
      <c r="L79" s="336">
        <f t="shared" si="10"/>
        <v>16908402.149999999</v>
      </c>
      <c r="N79" s="370">
        <f t="shared" si="14"/>
        <v>14.5</v>
      </c>
      <c r="O79" s="370">
        <f t="shared" si="15"/>
        <v>39</v>
      </c>
      <c r="P79" s="370">
        <f t="shared" si="16"/>
        <v>53.5</v>
      </c>
      <c r="Q79" s="371">
        <f t="shared" si="17"/>
        <v>16908402.150000002</v>
      </c>
    </row>
    <row r="80" spans="1:18">
      <c r="A80" s="368">
        <f t="shared" si="11"/>
        <v>69</v>
      </c>
      <c r="B80" s="388" t="s">
        <v>444</v>
      </c>
      <c r="C80" s="388" t="s">
        <v>445</v>
      </c>
      <c r="D80" s="389">
        <v>42941</v>
      </c>
      <c r="E80" s="390">
        <v>254525.02</v>
      </c>
      <c r="F80" s="389">
        <v>42914</v>
      </c>
      <c r="G80" s="389">
        <v>42936</v>
      </c>
      <c r="H80" s="369">
        <f t="shared" si="12"/>
        <v>11</v>
      </c>
      <c r="I80" s="389">
        <v>42972</v>
      </c>
      <c r="J80" s="391">
        <f t="shared" si="13"/>
        <v>36</v>
      </c>
      <c r="K80" s="392">
        <f t="shared" si="9"/>
        <v>47</v>
      </c>
      <c r="L80" s="336">
        <f t="shared" si="10"/>
        <v>11962675.939999999</v>
      </c>
      <c r="N80" s="370">
        <f t="shared" si="14"/>
        <v>11</v>
      </c>
      <c r="O80" s="370">
        <f t="shared" si="15"/>
        <v>36</v>
      </c>
      <c r="P80" s="370">
        <f t="shared" si="16"/>
        <v>47</v>
      </c>
      <c r="Q80" s="371">
        <f t="shared" si="17"/>
        <v>11962675.939999999</v>
      </c>
    </row>
    <row r="81" spans="1:17">
      <c r="A81" s="368">
        <f t="shared" si="11"/>
        <v>70</v>
      </c>
      <c r="B81" s="388" t="s">
        <v>444</v>
      </c>
      <c r="C81" s="388" t="s">
        <v>445</v>
      </c>
      <c r="D81" s="389">
        <v>42976</v>
      </c>
      <c r="E81" s="390">
        <v>291656.02</v>
      </c>
      <c r="F81" s="389">
        <v>42950</v>
      </c>
      <c r="G81" s="389">
        <v>42969</v>
      </c>
      <c r="H81" s="369">
        <f t="shared" si="12"/>
        <v>9.5</v>
      </c>
      <c r="I81" s="389">
        <v>43007</v>
      </c>
      <c r="J81" s="391">
        <f t="shared" si="13"/>
        <v>38</v>
      </c>
      <c r="K81" s="392">
        <f t="shared" si="9"/>
        <v>47.5</v>
      </c>
      <c r="L81" s="336">
        <f t="shared" si="10"/>
        <v>13853660.949999999</v>
      </c>
      <c r="N81" s="370">
        <f t="shared" si="14"/>
        <v>9.5</v>
      </c>
      <c r="O81" s="370">
        <f t="shared" si="15"/>
        <v>38</v>
      </c>
      <c r="P81" s="370">
        <f t="shared" si="16"/>
        <v>47.5</v>
      </c>
      <c r="Q81" s="371">
        <f t="shared" si="17"/>
        <v>13853660.950000001</v>
      </c>
    </row>
    <row r="82" spans="1:17">
      <c r="A82" s="368">
        <f t="shared" si="11"/>
        <v>71</v>
      </c>
      <c r="B82" s="388" t="s">
        <v>444</v>
      </c>
      <c r="C82" s="388" t="s">
        <v>445</v>
      </c>
      <c r="D82" s="389">
        <v>43006</v>
      </c>
      <c r="E82" s="390">
        <v>236221.5</v>
      </c>
      <c r="F82" s="389">
        <v>42978</v>
      </c>
      <c r="G82" s="389">
        <v>42997</v>
      </c>
      <c r="H82" s="369">
        <f t="shared" si="12"/>
        <v>9.5</v>
      </c>
      <c r="I82" s="389">
        <v>43038</v>
      </c>
      <c r="J82" s="391">
        <f t="shared" si="13"/>
        <v>41</v>
      </c>
      <c r="K82" s="392">
        <f t="shared" si="9"/>
        <v>50.5</v>
      </c>
      <c r="L82" s="336">
        <f t="shared" si="10"/>
        <v>11929185.75</v>
      </c>
      <c r="N82" s="370">
        <f t="shared" si="14"/>
        <v>9.5</v>
      </c>
      <c r="O82" s="370">
        <f t="shared" si="15"/>
        <v>41</v>
      </c>
      <c r="P82" s="370">
        <f t="shared" si="16"/>
        <v>50.5</v>
      </c>
      <c r="Q82" s="371">
        <f t="shared" si="17"/>
        <v>11929185.75</v>
      </c>
    </row>
    <row r="83" spans="1:17">
      <c r="A83" s="368">
        <f t="shared" si="11"/>
        <v>72</v>
      </c>
      <c r="B83" s="388" t="s">
        <v>444</v>
      </c>
      <c r="C83" s="388" t="s">
        <v>445</v>
      </c>
      <c r="D83" s="389">
        <v>43035</v>
      </c>
      <c r="E83" s="390">
        <v>225142.2</v>
      </c>
      <c r="F83" s="389">
        <v>43035</v>
      </c>
      <c r="G83" s="389"/>
      <c r="H83" s="369">
        <f t="shared" si="12"/>
        <v>0</v>
      </c>
      <c r="I83" s="389">
        <v>43063</v>
      </c>
      <c r="J83" s="391">
        <f t="shared" si="13"/>
        <v>28</v>
      </c>
      <c r="K83" s="392">
        <f t="shared" si="9"/>
        <v>28</v>
      </c>
      <c r="L83" s="336">
        <f t="shared" si="10"/>
        <v>6303981.5999999996</v>
      </c>
      <c r="N83" s="370">
        <f t="shared" si="14"/>
        <v>15</v>
      </c>
      <c r="O83" s="370">
        <f t="shared" si="15"/>
        <v>28</v>
      </c>
      <c r="P83" s="370">
        <f t="shared" si="16"/>
        <v>43</v>
      </c>
      <c r="Q83" s="371">
        <f t="shared" si="17"/>
        <v>9681114.5999999996</v>
      </c>
    </row>
    <row r="84" spans="1:17">
      <c r="A84" s="368">
        <f t="shared" si="11"/>
        <v>73</v>
      </c>
      <c r="B84" s="388" t="s">
        <v>444</v>
      </c>
      <c r="C84" s="388" t="s">
        <v>445</v>
      </c>
      <c r="D84" s="389">
        <v>43067</v>
      </c>
      <c r="E84" s="390">
        <v>268142.78999999998</v>
      </c>
      <c r="F84" s="389">
        <v>43033</v>
      </c>
      <c r="G84" s="389">
        <v>43054</v>
      </c>
      <c r="H84" s="369">
        <f t="shared" si="12"/>
        <v>10.5</v>
      </c>
      <c r="I84" s="389">
        <v>43098</v>
      </c>
      <c r="J84" s="391">
        <f t="shared" si="13"/>
        <v>44</v>
      </c>
      <c r="K84" s="392">
        <f t="shared" si="9"/>
        <v>54.5</v>
      </c>
      <c r="L84" s="336">
        <f t="shared" si="10"/>
        <v>14613782.060000001</v>
      </c>
      <c r="N84" s="370">
        <f t="shared" si="14"/>
        <v>10.5</v>
      </c>
      <c r="O84" s="370">
        <f t="shared" si="15"/>
        <v>44</v>
      </c>
      <c r="P84" s="370">
        <f t="shared" si="16"/>
        <v>54.5</v>
      </c>
      <c r="Q84" s="371">
        <f t="shared" si="17"/>
        <v>14613782.055</v>
      </c>
    </row>
    <row r="85" spans="1:17">
      <c r="A85" s="368">
        <f t="shared" si="11"/>
        <v>74</v>
      </c>
      <c r="B85" s="388" t="s">
        <v>444</v>
      </c>
      <c r="C85" s="388" t="s">
        <v>445</v>
      </c>
      <c r="D85" s="389">
        <v>43097</v>
      </c>
      <c r="E85" s="390">
        <v>279242.19</v>
      </c>
      <c r="F85" s="389">
        <v>43066</v>
      </c>
      <c r="G85" s="389">
        <v>43088</v>
      </c>
      <c r="H85" s="369">
        <f t="shared" si="12"/>
        <v>11</v>
      </c>
      <c r="I85" s="389">
        <v>43129</v>
      </c>
      <c r="J85" s="391">
        <f t="shared" si="13"/>
        <v>41</v>
      </c>
      <c r="K85" s="392">
        <f t="shared" si="9"/>
        <v>52</v>
      </c>
      <c r="L85" s="336">
        <f t="shared" si="10"/>
        <v>14520593.880000001</v>
      </c>
      <c r="N85" s="370">
        <f t="shared" si="14"/>
        <v>11</v>
      </c>
      <c r="O85" s="370">
        <f t="shared" si="15"/>
        <v>41</v>
      </c>
      <c r="P85" s="370">
        <f t="shared" si="16"/>
        <v>52</v>
      </c>
      <c r="Q85" s="371">
        <f t="shared" si="17"/>
        <v>14520593.880000001</v>
      </c>
    </row>
    <row r="86" spans="1:17">
      <c r="A86" s="368">
        <f t="shared" si="11"/>
        <v>75</v>
      </c>
      <c r="B86" s="388" t="s">
        <v>444</v>
      </c>
      <c r="C86" s="388" t="s">
        <v>445</v>
      </c>
      <c r="D86" s="389">
        <v>42762</v>
      </c>
      <c r="E86" s="390">
        <v>167944.8</v>
      </c>
      <c r="F86" s="389">
        <v>42740</v>
      </c>
      <c r="G86" s="389">
        <v>42758</v>
      </c>
      <c r="H86" s="369">
        <f t="shared" si="12"/>
        <v>9</v>
      </c>
      <c r="I86" s="389">
        <v>42793</v>
      </c>
      <c r="J86" s="391">
        <f t="shared" si="13"/>
        <v>35</v>
      </c>
      <c r="K86" s="392">
        <f t="shared" si="9"/>
        <v>44</v>
      </c>
      <c r="L86" s="336">
        <f t="shared" si="10"/>
        <v>7389571.2000000002</v>
      </c>
      <c r="N86" s="370">
        <f t="shared" si="14"/>
        <v>9</v>
      </c>
      <c r="O86" s="370">
        <f t="shared" si="15"/>
        <v>35</v>
      </c>
      <c r="P86" s="370">
        <f t="shared" si="16"/>
        <v>44</v>
      </c>
      <c r="Q86" s="371">
        <f t="shared" si="17"/>
        <v>7389571.1999999993</v>
      </c>
    </row>
    <row r="87" spans="1:17">
      <c r="A87" s="368">
        <f t="shared" si="11"/>
        <v>76</v>
      </c>
      <c r="B87" s="388" t="s">
        <v>444</v>
      </c>
      <c r="C87" s="388" t="s">
        <v>445</v>
      </c>
      <c r="D87" s="389">
        <v>42790</v>
      </c>
      <c r="E87" s="390">
        <v>170586.4</v>
      </c>
      <c r="F87" s="389">
        <v>42767</v>
      </c>
      <c r="G87" s="389">
        <v>42781</v>
      </c>
      <c r="H87" s="369">
        <f t="shared" si="12"/>
        <v>7</v>
      </c>
      <c r="I87" s="389">
        <v>42821</v>
      </c>
      <c r="J87" s="391">
        <f t="shared" si="13"/>
        <v>40</v>
      </c>
      <c r="K87" s="392">
        <f t="shared" si="9"/>
        <v>47</v>
      </c>
      <c r="L87" s="336">
        <f t="shared" si="10"/>
        <v>8017560.7999999998</v>
      </c>
      <c r="N87" s="370">
        <f t="shared" si="14"/>
        <v>7</v>
      </c>
      <c r="O87" s="370">
        <f t="shared" si="15"/>
        <v>40</v>
      </c>
      <c r="P87" s="370">
        <f t="shared" si="16"/>
        <v>47</v>
      </c>
      <c r="Q87" s="371">
        <f t="shared" si="17"/>
        <v>8017560.7999999998</v>
      </c>
    </row>
    <row r="88" spans="1:17">
      <c r="A88" s="368">
        <f t="shared" si="11"/>
        <v>77</v>
      </c>
      <c r="B88" s="388" t="s">
        <v>444</v>
      </c>
      <c r="C88" s="388" t="s">
        <v>445</v>
      </c>
      <c r="D88" s="389">
        <v>42851</v>
      </c>
      <c r="E88" s="390">
        <v>172550.39999999999</v>
      </c>
      <c r="F88" s="389">
        <v>42835</v>
      </c>
      <c r="G88" s="389">
        <v>42850</v>
      </c>
      <c r="H88" s="369">
        <f t="shared" si="12"/>
        <v>7.5</v>
      </c>
      <c r="I88" s="389">
        <v>42881</v>
      </c>
      <c r="J88" s="391">
        <f t="shared" si="13"/>
        <v>31</v>
      </c>
      <c r="K88" s="392">
        <f t="shared" si="9"/>
        <v>38.5</v>
      </c>
      <c r="L88" s="336">
        <f t="shared" si="10"/>
        <v>6643190.4000000004</v>
      </c>
      <c r="N88" s="370">
        <f t="shared" si="14"/>
        <v>7.5</v>
      </c>
      <c r="O88" s="370">
        <f t="shared" si="15"/>
        <v>31</v>
      </c>
      <c r="P88" s="370">
        <f t="shared" si="16"/>
        <v>38.5</v>
      </c>
      <c r="Q88" s="371">
        <f t="shared" si="17"/>
        <v>6643190.3999999994</v>
      </c>
    </row>
    <row r="89" spans="1:17">
      <c r="A89" s="368">
        <f t="shared" si="11"/>
        <v>78</v>
      </c>
      <c r="B89" s="388" t="s">
        <v>444</v>
      </c>
      <c r="C89" s="388" t="s">
        <v>445</v>
      </c>
      <c r="D89" s="389">
        <v>42879</v>
      </c>
      <c r="E89" s="390">
        <v>172705.2</v>
      </c>
      <c r="F89" s="389">
        <v>42870</v>
      </c>
      <c r="G89" s="389">
        <v>42878</v>
      </c>
      <c r="H89" s="369">
        <f t="shared" si="12"/>
        <v>4</v>
      </c>
      <c r="I89" s="389">
        <v>42909</v>
      </c>
      <c r="J89" s="391">
        <f t="shared" si="13"/>
        <v>31</v>
      </c>
      <c r="K89" s="392">
        <f t="shared" si="9"/>
        <v>35</v>
      </c>
      <c r="L89" s="336">
        <f t="shared" si="10"/>
        <v>6044682</v>
      </c>
      <c r="N89" s="370">
        <f t="shared" si="14"/>
        <v>4</v>
      </c>
      <c r="O89" s="370">
        <f t="shared" si="15"/>
        <v>31</v>
      </c>
      <c r="P89" s="370">
        <f t="shared" si="16"/>
        <v>35</v>
      </c>
      <c r="Q89" s="371">
        <f t="shared" si="17"/>
        <v>6044682</v>
      </c>
    </row>
    <row r="90" spans="1:17">
      <c r="A90" s="368">
        <f t="shared" si="11"/>
        <v>79</v>
      </c>
      <c r="B90" s="388" t="s">
        <v>444</v>
      </c>
      <c r="C90" s="388" t="s">
        <v>445</v>
      </c>
      <c r="D90" s="389">
        <v>42914</v>
      </c>
      <c r="E90" s="390">
        <v>169686.6</v>
      </c>
      <c r="F90" s="389">
        <v>42893</v>
      </c>
      <c r="G90" s="389">
        <v>42913</v>
      </c>
      <c r="H90" s="369">
        <f t="shared" si="12"/>
        <v>10</v>
      </c>
      <c r="I90" s="389">
        <v>42944</v>
      </c>
      <c r="J90" s="391">
        <f t="shared" si="13"/>
        <v>31</v>
      </c>
      <c r="K90" s="392">
        <f t="shared" si="9"/>
        <v>41</v>
      </c>
      <c r="L90" s="336">
        <f t="shared" si="10"/>
        <v>6957150.5999999996</v>
      </c>
      <c r="N90" s="370">
        <f t="shared" si="14"/>
        <v>10</v>
      </c>
      <c r="O90" s="370">
        <f t="shared" si="15"/>
        <v>31</v>
      </c>
      <c r="P90" s="370">
        <f t="shared" si="16"/>
        <v>41</v>
      </c>
      <c r="Q90" s="371">
        <f t="shared" si="17"/>
        <v>6957150.6000000006</v>
      </c>
    </row>
    <row r="91" spans="1:17">
      <c r="A91" s="368">
        <f t="shared" si="11"/>
        <v>80</v>
      </c>
      <c r="B91" s="388" t="s">
        <v>444</v>
      </c>
      <c r="C91" s="388" t="s">
        <v>445</v>
      </c>
      <c r="D91" s="389">
        <v>42941</v>
      </c>
      <c r="E91" s="390">
        <v>115326</v>
      </c>
      <c r="F91" s="389">
        <v>42929</v>
      </c>
      <c r="G91" s="389">
        <v>42936</v>
      </c>
      <c r="H91" s="369">
        <f t="shared" si="12"/>
        <v>3.5</v>
      </c>
      <c r="I91" s="389">
        <v>42971</v>
      </c>
      <c r="J91" s="391">
        <f t="shared" si="13"/>
        <v>35</v>
      </c>
      <c r="K91" s="392">
        <f t="shared" si="9"/>
        <v>38.5</v>
      </c>
      <c r="L91" s="336">
        <f t="shared" si="10"/>
        <v>4440051</v>
      </c>
      <c r="N91" s="370">
        <f t="shared" si="14"/>
        <v>3.5</v>
      </c>
      <c r="O91" s="370">
        <f t="shared" si="15"/>
        <v>35</v>
      </c>
      <c r="P91" s="370">
        <f t="shared" si="16"/>
        <v>38.5</v>
      </c>
      <c r="Q91" s="371">
        <f t="shared" si="17"/>
        <v>4440051</v>
      </c>
    </row>
    <row r="92" spans="1:17">
      <c r="A92" s="368">
        <f t="shared" si="11"/>
        <v>81</v>
      </c>
      <c r="B92" s="388" t="s">
        <v>444</v>
      </c>
      <c r="C92" s="388" t="s">
        <v>445</v>
      </c>
      <c r="D92" s="389">
        <v>42976</v>
      </c>
      <c r="E92" s="390">
        <v>115300.2</v>
      </c>
      <c r="F92" s="389">
        <v>42955</v>
      </c>
      <c r="G92" s="389">
        <v>42962</v>
      </c>
      <c r="H92" s="369">
        <f t="shared" si="12"/>
        <v>3.5</v>
      </c>
      <c r="I92" s="389">
        <v>43006</v>
      </c>
      <c r="J92" s="391">
        <f t="shared" si="13"/>
        <v>44</v>
      </c>
      <c r="K92" s="392">
        <f t="shared" si="9"/>
        <v>47.5</v>
      </c>
      <c r="L92" s="336">
        <f t="shared" si="10"/>
        <v>5476759.5</v>
      </c>
      <c r="N92" s="370">
        <f t="shared" si="14"/>
        <v>3.5</v>
      </c>
      <c r="O92" s="370">
        <f t="shared" si="15"/>
        <v>44</v>
      </c>
      <c r="P92" s="370">
        <f t="shared" si="16"/>
        <v>47.5</v>
      </c>
      <c r="Q92" s="371">
        <f t="shared" si="17"/>
        <v>5476759.5</v>
      </c>
    </row>
    <row r="93" spans="1:17">
      <c r="A93" s="368">
        <f t="shared" si="11"/>
        <v>82</v>
      </c>
      <c r="B93" s="388" t="s">
        <v>444</v>
      </c>
      <c r="C93" s="388" t="s">
        <v>445</v>
      </c>
      <c r="D93" s="389">
        <v>43006</v>
      </c>
      <c r="E93" s="390">
        <v>171724.79999999999</v>
      </c>
      <c r="F93" s="389">
        <v>42985</v>
      </c>
      <c r="G93" s="389">
        <v>42996</v>
      </c>
      <c r="H93" s="369">
        <f t="shared" si="12"/>
        <v>5.5</v>
      </c>
      <c r="I93" s="389">
        <v>43038</v>
      </c>
      <c r="J93" s="391">
        <f t="shared" si="13"/>
        <v>42</v>
      </c>
      <c r="K93" s="392">
        <f t="shared" si="9"/>
        <v>47.5</v>
      </c>
      <c r="L93" s="336">
        <f t="shared" si="10"/>
        <v>8156928</v>
      </c>
      <c r="N93" s="370">
        <f t="shared" si="14"/>
        <v>5.5</v>
      </c>
      <c r="O93" s="370">
        <f t="shared" si="15"/>
        <v>42</v>
      </c>
      <c r="P93" s="370">
        <f t="shared" si="16"/>
        <v>47.5</v>
      </c>
      <c r="Q93" s="371">
        <f t="shared" si="17"/>
        <v>8156927.9999999991</v>
      </c>
    </row>
    <row r="94" spans="1:17">
      <c r="A94" s="368">
        <f t="shared" si="11"/>
        <v>83</v>
      </c>
      <c r="B94" s="388" t="s">
        <v>444</v>
      </c>
      <c r="C94" s="388" t="s">
        <v>445</v>
      </c>
      <c r="D94" s="389">
        <v>43034</v>
      </c>
      <c r="E94" s="390">
        <v>230394</v>
      </c>
      <c r="F94" s="389">
        <v>43005</v>
      </c>
      <c r="G94" s="389">
        <v>43027</v>
      </c>
      <c r="H94" s="369">
        <f t="shared" si="12"/>
        <v>11</v>
      </c>
      <c r="I94" s="389">
        <v>43063</v>
      </c>
      <c r="J94" s="391">
        <f t="shared" si="13"/>
        <v>36</v>
      </c>
      <c r="K94" s="392">
        <f t="shared" si="9"/>
        <v>47</v>
      </c>
      <c r="L94" s="336">
        <f t="shared" si="10"/>
        <v>10828518</v>
      </c>
      <c r="N94" s="370">
        <f t="shared" si="14"/>
        <v>11</v>
      </c>
      <c r="O94" s="370">
        <f t="shared" si="15"/>
        <v>36</v>
      </c>
      <c r="P94" s="370">
        <f t="shared" si="16"/>
        <v>47</v>
      </c>
      <c r="Q94" s="371">
        <f t="shared" si="17"/>
        <v>10828518</v>
      </c>
    </row>
    <row r="95" spans="1:17">
      <c r="A95" s="368">
        <f t="shared" si="11"/>
        <v>84</v>
      </c>
      <c r="B95" s="388" t="s">
        <v>444</v>
      </c>
      <c r="C95" s="388" t="s">
        <v>445</v>
      </c>
      <c r="D95" s="389">
        <v>43067</v>
      </c>
      <c r="E95" s="390">
        <v>172937.4</v>
      </c>
      <c r="F95" s="389">
        <v>43041</v>
      </c>
      <c r="G95" s="389">
        <v>43060</v>
      </c>
      <c r="H95" s="369">
        <f t="shared" si="12"/>
        <v>9.5</v>
      </c>
      <c r="I95" s="389">
        <v>43097</v>
      </c>
      <c r="J95" s="391">
        <f t="shared" si="13"/>
        <v>37</v>
      </c>
      <c r="K95" s="392">
        <f t="shared" si="9"/>
        <v>46.5</v>
      </c>
      <c r="L95" s="336">
        <f t="shared" si="10"/>
        <v>8041589.0999999996</v>
      </c>
      <c r="N95" s="370">
        <f t="shared" si="14"/>
        <v>9.5</v>
      </c>
      <c r="O95" s="370">
        <f t="shared" si="15"/>
        <v>37</v>
      </c>
      <c r="P95" s="370">
        <f t="shared" si="16"/>
        <v>46.5</v>
      </c>
      <c r="Q95" s="371">
        <f t="shared" si="17"/>
        <v>8041589.0999999996</v>
      </c>
    </row>
    <row r="96" spans="1:17">
      <c r="A96" s="368">
        <f t="shared" si="11"/>
        <v>85</v>
      </c>
      <c r="B96" s="388" t="s">
        <v>446</v>
      </c>
      <c r="C96" s="388" t="s">
        <v>447</v>
      </c>
      <c r="D96" s="389">
        <v>42955</v>
      </c>
      <c r="E96" s="390">
        <v>124.12</v>
      </c>
      <c r="F96" s="389">
        <v>42954</v>
      </c>
      <c r="G96" s="389">
        <v>42955</v>
      </c>
      <c r="H96" s="369">
        <f t="shared" si="12"/>
        <v>0.5</v>
      </c>
      <c r="I96" s="389">
        <v>43006</v>
      </c>
      <c r="J96" s="391">
        <f t="shared" si="13"/>
        <v>51</v>
      </c>
      <c r="K96" s="392">
        <f t="shared" si="9"/>
        <v>51.5</v>
      </c>
      <c r="L96" s="336">
        <f t="shared" si="10"/>
        <v>6392.18</v>
      </c>
      <c r="N96" s="370">
        <f t="shared" si="14"/>
        <v>0.5</v>
      </c>
      <c r="O96" s="370">
        <f t="shared" si="15"/>
        <v>51</v>
      </c>
      <c r="P96" s="370">
        <f t="shared" si="16"/>
        <v>51.5</v>
      </c>
      <c r="Q96" s="371">
        <f t="shared" si="17"/>
        <v>6392.18</v>
      </c>
    </row>
    <row r="97" spans="1:17">
      <c r="A97" s="368">
        <f t="shared" si="11"/>
        <v>86</v>
      </c>
      <c r="B97" s="388" t="s">
        <v>448</v>
      </c>
      <c r="C97" s="388" t="s">
        <v>447</v>
      </c>
      <c r="D97" s="389">
        <v>43076</v>
      </c>
      <c r="E97" s="390">
        <v>39.590000000000003</v>
      </c>
      <c r="F97" s="389">
        <v>43076</v>
      </c>
      <c r="G97" s="389"/>
      <c r="H97" s="369">
        <f t="shared" si="12"/>
        <v>0</v>
      </c>
      <c r="I97" s="389">
        <v>43083</v>
      </c>
      <c r="J97" s="391">
        <f t="shared" si="13"/>
        <v>7</v>
      </c>
      <c r="K97" s="392">
        <f t="shared" si="9"/>
        <v>7</v>
      </c>
      <c r="L97" s="336">
        <f t="shared" si="10"/>
        <v>277.13</v>
      </c>
      <c r="N97" s="370">
        <f t="shared" si="14"/>
        <v>15</v>
      </c>
      <c r="O97" s="370">
        <f t="shared" si="15"/>
        <v>7</v>
      </c>
      <c r="P97" s="370">
        <f t="shared" si="16"/>
        <v>22</v>
      </c>
      <c r="Q97" s="371">
        <f t="shared" si="17"/>
        <v>870.98</v>
      </c>
    </row>
    <row r="98" spans="1:17">
      <c r="A98" s="368">
        <f t="shared" si="11"/>
        <v>87</v>
      </c>
      <c r="B98" s="388" t="s">
        <v>449</v>
      </c>
      <c r="C98" s="388" t="s">
        <v>450</v>
      </c>
      <c r="D98" s="389">
        <v>42807</v>
      </c>
      <c r="E98" s="390">
        <v>240.58</v>
      </c>
      <c r="F98" s="389">
        <v>42807</v>
      </c>
      <c r="G98" s="389"/>
      <c r="H98" s="369">
        <f t="shared" si="12"/>
        <v>0</v>
      </c>
      <c r="I98" s="389">
        <v>42822</v>
      </c>
      <c r="J98" s="391">
        <f t="shared" si="13"/>
        <v>15</v>
      </c>
      <c r="K98" s="392">
        <f t="shared" si="9"/>
        <v>15</v>
      </c>
      <c r="L98" s="336">
        <f t="shared" si="10"/>
        <v>3608.7</v>
      </c>
      <c r="N98" s="370">
        <f t="shared" si="14"/>
        <v>15</v>
      </c>
      <c r="O98" s="370">
        <f t="shared" si="15"/>
        <v>15</v>
      </c>
      <c r="P98" s="370">
        <f t="shared" si="16"/>
        <v>30</v>
      </c>
      <c r="Q98" s="371">
        <f t="shared" si="17"/>
        <v>7217.4000000000005</v>
      </c>
    </row>
    <row r="99" spans="1:17">
      <c r="A99" s="368">
        <f t="shared" si="11"/>
        <v>88</v>
      </c>
      <c r="B99" s="388" t="s">
        <v>451</v>
      </c>
      <c r="C99" s="388" t="s">
        <v>452</v>
      </c>
      <c r="D99" s="389">
        <v>42773</v>
      </c>
      <c r="E99" s="390">
        <v>64600.53</v>
      </c>
      <c r="F99" s="389">
        <v>42736</v>
      </c>
      <c r="G99" s="389">
        <v>42763</v>
      </c>
      <c r="H99" s="369">
        <f t="shared" si="12"/>
        <v>13.5</v>
      </c>
      <c r="I99" s="389">
        <v>42804</v>
      </c>
      <c r="J99" s="391">
        <f t="shared" si="13"/>
        <v>41</v>
      </c>
      <c r="K99" s="392">
        <f t="shared" si="9"/>
        <v>54.5</v>
      </c>
      <c r="L99" s="336">
        <f t="shared" si="10"/>
        <v>3520728.89</v>
      </c>
      <c r="N99" s="370">
        <f t="shared" si="14"/>
        <v>13.5</v>
      </c>
      <c r="O99" s="370">
        <f t="shared" si="15"/>
        <v>41</v>
      </c>
      <c r="P99" s="370">
        <f t="shared" si="16"/>
        <v>54.5</v>
      </c>
      <c r="Q99" s="371">
        <f t="shared" si="17"/>
        <v>3520728.8849999998</v>
      </c>
    </row>
    <row r="100" spans="1:17">
      <c r="A100" s="368">
        <f t="shared" si="11"/>
        <v>89</v>
      </c>
      <c r="B100" s="388" t="s">
        <v>451</v>
      </c>
      <c r="C100" s="388" t="s">
        <v>452</v>
      </c>
      <c r="D100" s="389">
        <v>42797</v>
      </c>
      <c r="E100" s="390">
        <v>54250.86</v>
      </c>
      <c r="F100" s="389">
        <v>42764</v>
      </c>
      <c r="G100" s="389">
        <v>42791</v>
      </c>
      <c r="H100" s="369">
        <f t="shared" si="12"/>
        <v>13.5</v>
      </c>
      <c r="I100" s="389">
        <v>42829</v>
      </c>
      <c r="J100" s="391">
        <f t="shared" si="13"/>
        <v>38</v>
      </c>
      <c r="K100" s="392">
        <f t="shared" si="9"/>
        <v>51.5</v>
      </c>
      <c r="L100" s="336">
        <f t="shared" si="10"/>
        <v>2793919.29</v>
      </c>
      <c r="N100" s="370">
        <f t="shared" si="14"/>
        <v>13.5</v>
      </c>
      <c r="O100" s="370">
        <f t="shared" si="15"/>
        <v>38</v>
      </c>
      <c r="P100" s="370">
        <f t="shared" si="16"/>
        <v>51.5</v>
      </c>
      <c r="Q100" s="371">
        <f t="shared" si="17"/>
        <v>2793919.29</v>
      </c>
    </row>
    <row r="101" spans="1:17">
      <c r="A101" s="368">
        <f t="shared" si="11"/>
        <v>90</v>
      </c>
      <c r="B101" s="388" t="s">
        <v>451</v>
      </c>
      <c r="C101" s="388" t="s">
        <v>452</v>
      </c>
      <c r="D101" s="389">
        <v>42832</v>
      </c>
      <c r="E101" s="390">
        <v>65590.7</v>
      </c>
      <c r="F101" s="389">
        <v>42792</v>
      </c>
      <c r="G101" s="389">
        <v>42826</v>
      </c>
      <c r="H101" s="369">
        <f t="shared" si="12"/>
        <v>17</v>
      </c>
      <c r="I101" s="389">
        <v>42863</v>
      </c>
      <c r="J101" s="391">
        <f t="shared" si="13"/>
        <v>37</v>
      </c>
      <c r="K101" s="392">
        <f t="shared" si="9"/>
        <v>54</v>
      </c>
      <c r="L101" s="336">
        <f t="shared" si="10"/>
        <v>3541897.8</v>
      </c>
      <c r="N101" s="370">
        <f t="shared" si="14"/>
        <v>17</v>
      </c>
      <c r="O101" s="370">
        <f t="shared" si="15"/>
        <v>37</v>
      </c>
      <c r="P101" s="370">
        <f t="shared" si="16"/>
        <v>54</v>
      </c>
      <c r="Q101" s="371">
        <f t="shared" si="17"/>
        <v>3541897.8</v>
      </c>
    </row>
    <row r="102" spans="1:17">
      <c r="A102" s="368">
        <f t="shared" si="11"/>
        <v>91</v>
      </c>
      <c r="B102" s="388" t="s">
        <v>451</v>
      </c>
      <c r="C102" s="388" t="s">
        <v>452</v>
      </c>
      <c r="D102" s="389">
        <v>42923</v>
      </c>
      <c r="E102" s="390">
        <v>56783.99</v>
      </c>
      <c r="F102" s="389">
        <v>42890</v>
      </c>
      <c r="G102" s="389">
        <v>42917</v>
      </c>
      <c r="H102" s="369">
        <f t="shared" si="12"/>
        <v>13.5</v>
      </c>
      <c r="I102" s="389">
        <v>42954</v>
      </c>
      <c r="J102" s="391">
        <f t="shared" si="13"/>
        <v>37</v>
      </c>
      <c r="K102" s="392">
        <f t="shared" si="9"/>
        <v>50.5</v>
      </c>
      <c r="L102" s="336">
        <f t="shared" si="10"/>
        <v>2867591.5</v>
      </c>
      <c r="N102" s="370">
        <f t="shared" si="14"/>
        <v>13.5</v>
      </c>
      <c r="O102" s="370">
        <f t="shared" si="15"/>
        <v>37</v>
      </c>
      <c r="P102" s="370">
        <f t="shared" si="16"/>
        <v>50.5</v>
      </c>
      <c r="Q102" s="371">
        <f t="shared" si="17"/>
        <v>2867591.4950000001</v>
      </c>
    </row>
    <row r="103" spans="1:17">
      <c r="A103" s="368">
        <f t="shared" si="11"/>
        <v>92</v>
      </c>
      <c r="B103" s="388" t="s">
        <v>451</v>
      </c>
      <c r="C103" s="388" t="s">
        <v>452</v>
      </c>
      <c r="D103" s="389">
        <v>42951</v>
      </c>
      <c r="E103" s="390">
        <v>59946.92</v>
      </c>
      <c r="F103" s="389">
        <v>42918</v>
      </c>
      <c r="G103" s="389">
        <v>42945</v>
      </c>
      <c r="H103" s="369">
        <f t="shared" si="12"/>
        <v>13.5</v>
      </c>
      <c r="I103" s="389">
        <v>42986</v>
      </c>
      <c r="J103" s="391">
        <f t="shared" si="13"/>
        <v>41</v>
      </c>
      <c r="K103" s="392">
        <f t="shared" si="9"/>
        <v>54.5</v>
      </c>
      <c r="L103" s="336">
        <f t="shared" si="10"/>
        <v>3267107.14</v>
      </c>
      <c r="N103" s="370">
        <f t="shared" si="14"/>
        <v>13.5</v>
      </c>
      <c r="O103" s="370">
        <f t="shared" si="15"/>
        <v>41</v>
      </c>
      <c r="P103" s="370">
        <f t="shared" si="16"/>
        <v>54.5</v>
      </c>
      <c r="Q103" s="371">
        <f t="shared" si="17"/>
        <v>3267107.14</v>
      </c>
    </row>
    <row r="104" spans="1:17">
      <c r="A104" s="368">
        <f t="shared" si="11"/>
        <v>93</v>
      </c>
      <c r="B104" s="388" t="s">
        <v>451</v>
      </c>
      <c r="C104" s="388" t="s">
        <v>452</v>
      </c>
      <c r="D104" s="389">
        <v>42986</v>
      </c>
      <c r="E104" s="390">
        <v>72436.36</v>
      </c>
      <c r="F104" s="389">
        <v>42946</v>
      </c>
      <c r="G104" s="389">
        <v>42980</v>
      </c>
      <c r="H104" s="369">
        <f t="shared" si="12"/>
        <v>17</v>
      </c>
      <c r="I104" s="389">
        <v>43018</v>
      </c>
      <c r="J104" s="391">
        <f t="shared" si="13"/>
        <v>38</v>
      </c>
      <c r="K104" s="392">
        <f t="shared" si="9"/>
        <v>55</v>
      </c>
      <c r="L104" s="336">
        <f t="shared" si="10"/>
        <v>3983999.8</v>
      </c>
      <c r="N104" s="370">
        <f t="shared" si="14"/>
        <v>17</v>
      </c>
      <c r="O104" s="370">
        <f t="shared" si="15"/>
        <v>38</v>
      </c>
      <c r="P104" s="370">
        <f t="shared" si="16"/>
        <v>55</v>
      </c>
      <c r="Q104" s="371">
        <f t="shared" si="17"/>
        <v>3983999.8</v>
      </c>
    </row>
    <row r="105" spans="1:17">
      <c r="A105" s="368">
        <f t="shared" si="11"/>
        <v>94</v>
      </c>
      <c r="B105" s="388" t="s">
        <v>451</v>
      </c>
      <c r="C105" s="388" t="s">
        <v>452</v>
      </c>
      <c r="D105" s="389">
        <v>43042</v>
      </c>
      <c r="E105" s="390">
        <v>58269.43</v>
      </c>
      <c r="F105" s="389">
        <v>43009</v>
      </c>
      <c r="G105" s="389">
        <v>43036</v>
      </c>
      <c r="H105" s="369">
        <f t="shared" si="12"/>
        <v>13.5</v>
      </c>
      <c r="I105" s="389">
        <v>43075</v>
      </c>
      <c r="J105" s="391">
        <f t="shared" si="13"/>
        <v>39</v>
      </c>
      <c r="K105" s="392">
        <f t="shared" si="9"/>
        <v>52.5</v>
      </c>
      <c r="L105" s="336">
        <f t="shared" si="10"/>
        <v>3059145.08</v>
      </c>
      <c r="N105" s="370">
        <f t="shared" si="14"/>
        <v>13.5</v>
      </c>
      <c r="O105" s="370">
        <f t="shared" si="15"/>
        <v>39</v>
      </c>
      <c r="P105" s="370">
        <f t="shared" si="16"/>
        <v>52.5</v>
      </c>
      <c r="Q105" s="371">
        <f t="shared" si="17"/>
        <v>3059145.0750000002</v>
      </c>
    </row>
    <row r="106" spans="1:17">
      <c r="A106" s="368">
        <f t="shared" si="11"/>
        <v>95</v>
      </c>
      <c r="B106" s="388" t="s">
        <v>451</v>
      </c>
      <c r="C106" s="388" t="s">
        <v>452</v>
      </c>
      <c r="D106" s="389">
        <v>43077</v>
      </c>
      <c r="E106" s="390">
        <v>81039.240000000005</v>
      </c>
      <c r="F106" s="389">
        <v>43037</v>
      </c>
      <c r="G106" s="389">
        <v>43071</v>
      </c>
      <c r="H106" s="369">
        <f t="shared" si="12"/>
        <v>17</v>
      </c>
      <c r="I106" s="389">
        <v>43108</v>
      </c>
      <c r="J106" s="391">
        <f t="shared" si="13"/>
        <v>37</v>
      </c>
      <c r="K106" s="392">
        <f t="shared" si="9"/>
        <v>54</v>
      </c>
      <c r="L106" s="336">
        <f t="shared" si="10"/>
        <v>4376118.96</v>
      </c>
      <c r="N106" s="370">
        <f t="shared" si="14"/>
        <v>17</v>
      </c>
      <c r="O106" s="370">
        <f t="shared" si="15"/>
        <v>37</v>
      </c>
      <c r="P106" s="370">
        <f t="shared" si="16"/>
        <v>54</v>
      </c>
      <c r="Q106" s="371">
        <f t="shared" si="17"/>
        <v>4376118.96</v>
      </c>
    </row>
    <row r="107" spans="1:17">
      <c r="A107" s="368">
        <f t="shared" si="11"/>
        <v>96</v>
      </c>
      <c r="B107" s="388" t="s">
        <v>453</v>
      </c>
      <c r="C107" s="388" t="s">
        <v>452</v>
      </c>
      <c r="D107" s="389">
        <v>42733</v>
      </c>
      <c r="E107" s="390">
        <v>76522.25</v>
      </c>
      <c r="F107" s="389">
        <v>42733</v>
      </c>
      <c r="G107" s="389"/>
      <c r="H107" s="369">
        <f t="shared" si="12"/>
        <v>0</v>
      </c>
      <c r="I107" s="389">
        <v>42765</v>
      </c>
      <c r="J107" s="391">
        <f t="shared" si="13"/>
        <v>32</v>
      </c>
      <c r="K107" s="392">
        <f t="shared" si="9"/>
        <v>32</v>
      </c>
      <c r="L107" s="336">
        <f t="shared" si="10"/>
        <v>2448712</v>
      </c>
      <c r="N107" s="370">
        <f t="shared" si="14"/>
        <v>15</v>
      </c>
      <c r="O107" s="370">
        <f t="shared" si="15"/>
        <v>32</v>
      </c>
      <c r="P107" s="370">
        <f t="shared" si="16"/>
        <v>47</v>
      </c>
      <c r="Q107" s="371">
        <f t="shared" si="17"/>
        <v>3596545.75</v>
      </c>
    </row>
    <row r="108" spans="1:17">
      <c r="A108" s="368">
        <f t="shared" si="11"/>
        <v>97</v>
      </c>
      <c r="B108" s="388" t="s">
        <v>454</v>
      </c>
      <c r="C108" s="388" t="s">
        <v>452</v>
      </c>
      <c r="D108" s="389">
        <v>42986</v>
      </c>
      <c r="E108" s="390">
        <v>4599.9799999999996</v>
      </c>
      <c r="F108" s="389">
        <v>42973</v>
      </c>
      <c r="G108" s="389"/>
      <c r="H108" s="369">
        <f t="shared" si="12"/>
        <v>0</v>
      </c>
      <c r="I108" s="389">
        <v>43018</v>
      </c>
      <c r="J108" s="391">
        <f t="shared" si="13"/>
        <v>45</v>
      </c>
      <c r="K108" s="392">
        <f t="shared" si="9"/>
        <v>45</v>
      </c>
      <c r="L108" s="336">
        <f t="shared" si="10"/>
        <v>206999.1</v>
      </c>
      <c r="N108" s="370">
        <f t="shared" si="14"/>
        <v>15</v>
      </c>
      <c r="O108" s="370">
        <f t="shared" si="15"/>
        <v>45</v>
      </c>
      <c r="P108" s="370">
        <f t="shared" si="16"/>
        <v>60</v>
      </c>
      <c r="Q108" s="371">
        <f t="shared" si="17"/>
        <v>275998.8</v>
      </c>
    </row>
    <row r="109" spans="1:17">
      <c r="A109" s="368">
        <f t="shared" si="11"/>
        <v>98</v>
      </c>
      <c r="B109" s="388" t="s">
        <v>455</v>
      </c>
      <c r="C109" s="388" t="s">
        <v>452</v>
      </c>
      <c r="D109" s="389">
        <v>42839</v>
      </c>
      <c r="E109" s="390">
        <v>59403.63</v>
      </c>
      <c r="F109" s="389">
        <v>42827</v>
      </c>
      <c r="G109" s="389">
        <v>42831</v>
      </c>
      <c r="H109" s="369">
        <f t="shared" si="12"/>
        <v>2</v>
      </c>
      <c r="I109" s="389">
        <v>42870</v>
      </c>
      <c r="J109" s="391">
        <f t="shared" si="13"/>
        <v>39</v>
      </c>
      <c r="K109" s="392">
        <f t="shared" si="9"/>
        <v>41</v>
      </c>
      <c r="L109" s="336">
        <f t="shared" si="10"/>
        <v>2435548.83</v>
      </c>
      <c r="N109" s="370">
        <f t="shared" si="14"/>
        <v>2</v>
      </c>
      <c r="O109" s="370">
        <f t="shared" si="15"/>
        <v>39</v>
      </c>
      <c r="P109" s="370">
        <f t="shared" si="16"/>
        <v>41</v>
      </c>
      <c r="Q109" s="371">
        <f t="shared" si="17"/>
        <v>2435548.83</v>
      </c>
    </row>
    <row r="110" spans="1:17">
      <c r="A110" s="368">
        <f t="shared" si="11"/>
        <v>99</v>
      </c>
      <c r="B110" s="388" t="s">
        <v>456</v>
      </c>
      <c r="C110" s="388" t="s">
        <v>452</v>
      </c>
      <c r="D110" s="389">
        <v>42860</v>
      </c>
      <c r="E110" s="390">
        <v>75515.55</v>
      </c>
      <c r="F110" s="389">
        <v>42857</v>
      </c>
      <c r="G110" s="389">
        <v>42860</v>
      </c>
      <c r="H110" s="369">
        <f t="shared" si="12"/>
        <v>1.5</v>
      </c>
      <c r="I110" s="389">
        <v>42891</v>
      </c>
      <c r="J110" s="391">
        <f t="shared" si="13"/>
        <v>31</v>
      </c>
      <c r="K110" s="392">
        <f t="shared" si="9"/>
        <v>32.5</v>
      </c>
      <c r="L110" s="336">
        <f t="shared" si="10"/>
        <v>2454255.38</v>
      </c>
      <c r="N110" s="370">
        <f t="shared" si="14"/>
        <v>1.5</v>
      </c>
      <c r="O110" s="370">
        <f t="shared" si="15"/>
        <v>31</v>
      </c>
      <c r="P110" s="370">
        <f t="shared" si="16"/>
        <v>32.5</v>
      </c>
      <c r="Q110" s="371">
        <f t="shared" si="17"/>
        <v>2454255.375</v>
      </c>
    </row>
    <row r="111" spans="1:17">
      <c r="A111" s="368">
        <f t="shared" si="11"/>
        <v>100</v>
      </c>
      <c r="B111" s="388" t="s">
        <v>457</v>
      </c>
      <c r="C111" s="388" t="s">
        <v>452</v>
      </c>
      <c r="D111" s="389">
        <v>42850</v>
      </c>
      <c r="E111" s="390">
        <v>91400</v>
      </c>
      <c r="F111" s="389">
        <v>42844</v>
      </c>
      <c r="G111" s="389"/>
      <c r="H111" s="369">
        <f t="shared" si="12"/>
        <v>0</v>
      </c>
      <c r="I111" s="389">
        <v>42881</v>
      </c>
      <c r="J111" s="391">
        <f t="shared" si="13"/>
        <v>37</v>
      </c>
      <c r="K111" s="392">
        <f t="shared" si="9"/>
        <v>37</v>
      </c>
      <c r="L111" s="336">
        <f t="shared" si="10"/>
        <v>3381800</v>
      </c>
      <c r="N111" s="370">
        <f t="shared" si="14"/>
        <v>15</v>
      </c>
      <c r="O111" s="370">
        <f t="shared" si="15"/>
        <v>37</v>
      </c>
      <c r="P111" s="370">
        <f t="shared" si="16"/>
        <v>52</v>
      </c>
      <c r="Q111" s="371">
        <f t="shared" si="17"/>
        <v>4752800</v>
      </c>
    </row>
    <row r="112" spans="1:17">
      <c r="A112" s="368">
        <f t="shared" si="11"/>
        <v>101</v>
      </c>
      <c r="B112" s="388" t="s">
        <v>458</v>
      </c>
      <c r="C112" s="388" t="s">
        <v>452</v>
      </c>
      <c r="D112" s="389">
        <v>42851</v>
      </c>
      <c r="E112" s="390">
        <v>4663.4399999999996</v>
      </c>
      <c r="F112" s="389">
        <v>42840</v>
      </c>
      <c r="G112" s="389">
        <v>42846</v>
      </c>
      <c r="H112" s="369">
        <f t="shared" si="12"/>
        <v>3</v>
      </c>
      <c r="I112" s="389">
        <v>42877</v>
      </c>
      <c r="J112" s="391">
        <f t="shared" si="13"/>
        <v>31</v>
      </c>
      <c r="K112" s="392">
        <f t="shared" si="9"/>
        <v>34</v>
      </c>
      <c r="L112" s="336">
        <f t="shared" si="10"/>
        <v>158556.96</v>
      </c>
      <c r="N112" s="370">
        <f t="shared" si="14"/>
        <v>3</v>
      </c>
      <c r="O112" s="370">
        <f t="shared" si="15"/>
        <v>31</v>
      </c>
      <c r="P112" s="370">
        <f t="shared" si="16"/>
        <v>34</v>
      </c>
      <c r="Q112" s="371">
        <f t="shared" si="17"/>
        <v>158556.96</v>
      </c>
    </row>
    <row r="113" spans="1:17">
      <c r="A113" s="368">
        <f t="shared" si="11"/>
        <v>102</v>
      </c>
      <c r="B113" s="388" t="s">
        <v>459</v>
      </c>
      <c r="C113" s="388" t="s">
        <v>452</v>
      </c>
      <c r="D113" s="389">
        <v>42768</v>
      </c>
      <c r="E113" s="390">
        <v>265.89999999999998</v>
      </c>
      <c r="F113" s="389">
        <v>42768</v>
      </c>
      <c r="G113" s="389"/>
      <c r="H113" s="369">
        <f t="shared" si="12"/>
        <v>0</v>
      </c>
      <c r="I113" s="389">
        <v>42800</v>
      </c>
      <c r="J113" s="391">
        <f t="shared" si="13"/>
        <v>32</v>
      </c>
      <c r="K113" s="392">
        <f t="shared" si="9"/>
        <v>32</v>
      </c>
      <c r="L113" s="336">
        <f t="shared" si="10"/>
        <v>8508.7999999999993</v>
      </c>
      <c r="N113" s="370">
        <f t="shared" si="14"/>
        <v>15</v>
      </c>
      <c r="O113" s="370">
        <f t="shared" si="15"/>
        <v>32</v>
      </c>
      <c r="P113" s="370">
        <f t="shared" si="16"/>
        <v>47</v>
      </c>
      <c r="Q113" s="371">
        <f t="shared" si="17"/>
        <v>12497.3</v>
      </c>
    </row>
    <row r="114" spans="1:17">
      <c r="A114" s="368">
        <f t="shared" si="11"/>
        <v>103</v>
      </c>
      <c r="B114" s="388" t="s">
        <v>460</v>
      </c>
      <c r="C114" s="388" t="s">
        <v>452</v>
      </c>
      <c r="D114" s="389">
        <v>42936</v>
      </c>
      <c r="E114" s="390">
        <v>-460.66</v>
      </c>
      <c r="F114" s="389">
        <v>42887</v>
      </c>
      <c r="G114" s="389">
        <v>42915</v>
      </c>
      <c r="H114" s="369">
        <f t="shared" si="12"/>
        <v>14</v>
      </c>
      <c r="I114" s="389">
        <v>42947</v>
      </c>
      <c r="J114" s="391">
        <f t="shared" si="13"/>
        <v>32</v>
      </c>
      <c r="K114" s="392">
        <f t="shared" si="9"/>
        <v>46</v>
      </c>
      <c r="L114" s="336">
        <f t="shared" si="10"/>
        <v>-21190.36</v>
      </c>
      <c r="N114" s="370">
        <f t="shared" si="14"/>
        <v>14</v>
      </c>
      <c r="O114" s="370">
        <f t="shared" si="15"/>
        <v>32</v>
      </c>
      <c r="P114" s="370">
        <f t="shared" si="16"/>
        <v>46</v>
      </c>
      <c r="Q114" s="371">
        <f t="shared" si="17"/>
        <v>-21190.36</v>
      </c>
    </row>
    <row r="115" spans="1:17">
      <c r="A115" s="368">
        <f t="shared" si="11"/>
        <v>104</v>
      </c>
      <c r="B115" s="388" t="s">
        <v>461</v>
      </c>
      <c r="C115" s="388" t="s">
        <v>452</v>
      </c>
      <c r="D115" s="389">
        <v>43069</v>
      </c>
      <c r="E115" s="390">
        <v>16104.88</v>
      </c>
      <c r="F115" s="389">
        <v>43040</v>
      </c>
      <c r="G115" s="389">
        <v>43069</v>
      </c>
      <c r="H115" s="369">
        <f t="shared" si="12"/>
        <v>14.5</v>
      </c>
      <c r="I115" s="389">
        <v>43102</v>
      </c>
      <c r="J115" s="391">
        <f t="shared" si="13"/>
        <v>33</v>
      </c>
      <c r="K115" s="392">
        <f t="shared" si="9"/>
        <v>47.5</v>
      </c>
      <c r="L115" s="336">
        <f t="shared" si="10"/>
        <v>764981.8</v>
      </c>
      <c r="N115" s="370">
        <f t="shared" si="14"/>
        <v>14.5</v>
      </c>
      <c r="O115" s="370">
        <f t="shared" si="15"/>
        <v>33</v>
      </c>
      <c r="P115" s="370">
        <f t="shared" si="16"/>
        <v>47.5</v>
      </c>
      <c r="Q115" s="371">
        <f t="shared" si="17"/>
        <v>764981.79999999993</v>
      </c>
    </row>
    <row r="116" spans="1:17">
      <c r="A116" s="368">
        <f t="shared" si="11"/>
        <v>105</v>
      </c>
      <c r="B116" s="388" t="s">
        <v>462</v>
      </c>
      <c r="C116" s="388" t="s">
        <v>452</v>
      </c>
      <c r="D116" s="389">
        <v>43067</v>
      </c>
      <c r="E116" s="390">
        <v>6557.78</v>
      </c>
      <c r="F116" s="389">
        <v>43067</v>
      </c>
      <c r="G116" s="389"/>
      <c r="H116" s="369">
        <f t="shared" si="12"/>
        <v>0</v>
      </c>
      <c r="I116" s="389">
        <v>43098</v>
      </c>
      <c r="J116" s="391">
        <f t="shared" si="13"/>
        <v>31</v>
      </c>
      <c r="K116" s="392">
        <f t="shared" si="9"/>
        <v>31</v>
      </c>
      <c r="L116" s="336">
        <f t="shared" si="10"/>
        <v>203291.18</v>
      </c>
      <c r="N116" s="370">
        <f t="shared" si="14"/>
        <v>15</v>
      </c>
      <c r="O116" s="370">
        <f t="shared" si="15"/>
        <v>31</v>
      </c>
      <c r="P116" s="370">
        <f t="shared" si="16"/>
        <v>46</v>
      </c>
      <c r="Q116" s="371">
        <f t="shared" si="17"/>
        <v>301657.88</v>
      </c>
    </row>
    <row r="117" spans="1:17">
      <c r="A117" s="368">
        <f t="shared" si="11"/>
        <v>106</v>
      </c>
      <c r="B117" s="388" t="s">
        <v>461</v>
      </c>
      <c r="C117" s="388" t="s">
        <v>452</v>
      </c>
      <c r="D117" s="389">
        <v>42735</v>
      </c>
      <c r="E117" s="390">
        <v>59453.87</v>
      </c>
      <c r="F117" s="389">
        <v>42705</v>
      </c>
      <c r="G117" s="389">
        <v>42735</v>
      </c>
      <c r="H117" s="369">
        <f t="shared" si="12"/>
        <v>15</v>
      </c>
      <c r="I117" s="389">
        <v>42766</v>
      </c>
      <c r="J117" s="391">
        <f t="shared" si="13"/>
        <v>31</v>
      </c>
      <c r="K117" s="392">
        <f t="shared" si="9"/>
        <v>46</v>
      </c>
      <c r="L117" s="336">
        <f t="shared" si="10"/>
        <v>2734878.02</v>
      </c>
      <c r="N117" s="370">
        <f t="shared" si="14"/>
        <v>15</v>
      </c>
      <c r="O117" s="370">
        <f t="shared" si="15"/>
        <v>31</v>
      </c>
      <c r="P117" s="370">
        <f t="shared" si="16"/>
        <v>46</v>
      </c>
      <c r="Q117" s="371">
        <f t="shared" si="17"/>
        <v>2734878.02</v>
      </c>
    </row>
    <row r="118" spans="1:17">
      <c r="A118" s="368">
        <f t="shared" si="11"/>
        <v>107</v>
      </c>
      <c r="B118" s="388" t="s">
        <v>461</v>
      </c>
      <c r="C118" s="388" t="s">
        <v>452</v>
      </c>
      <c r="D118" s="389">
        <v>42766</v>
      </c>
      <c r="E118" s="390">
        <v>59076.28</v>
      </c>
      <c r="F118" s="389">
        <v>42736</v>
      </c>
      <c r="G118" s="389">
        <v>42766</v>
      </c>
      <c r="H118" s="369">
        <f t="shared" si="12"/>
        <v>15</v>
      </c>
      <c r="I118" s="389">
        <v>42797</v>
      </c>
      <c r="J118" s="391">
        <f t="shared" si="13"/>
        <v>31</v>
      </c>
      <c r="K118" s="392">
        <f t="shared" si="9"/>
        <v>46</v>
      </c>
      <c r="L118" s="336">
        <f t="shared" si="10"/>
        <v>2717508.88</v>
      </c>
      <c r="N118" s="370">
        <f t="shared" si="14"/>
        <v>15</v>
      </c>
      <c r="O118" s="370">
        <f t="shared" si="15"/>
        <v>31</v>
      </c>
      <c r="P118" s="370">
        <f t="shared" si="16"/>
        <v>46</v>
      </c>
      <c r="Q118" s="371">
        <f t="shared" si="17"/>
        <v>2717508.88</v>
      </c>
    </row>
    <row r="119" spans="1:17">
      <c r="A119" s="368">
        <f t="shared" si="11"/>
        <v>108</v>
      </c>
      <c r="B119" s="388" t="s">
        <v>463</v>
      </c>
      <c r="C119" s="388" t="s">
        <v>452</v>
      </c>
      <c r="D119" s="389">
        <v>43092</v>
      </c>
      <c r="E119" s="390">
        <v>84500</v>
      </c>
      <c r="F119" s="389">
        <v>43092</v>
      </c>
      <c r="G119" s="389"/>
      <c r="H119" s="369">
        <f t="shared" si="12"/>
        <v>0</v>
      </c>
      <c r="I119" s="389">
        <v>43123</v>
      </c>
      <c r="J119" s="391">
        <f t="shared" si="13"/>
        <v>31</v>
      </c>
      <c r="K119" s="392">
        <f t="shared" si="9"/>
        <v>31</v>
      </c>
      <c r="L119" s="336">
        <f t="shared" si="10"/>
        <v>2619500</v>
      </c>
      <c r="N119" s="370">
        <f t="shared" si="14"/>
        <v>15</v>
      </c>
      <c r="O119" s="370">
        <f t="shared" si="15"/>
        <v>31</v>
      </c>
      <c r="P119" s="370">
        <f t="shared" si="16"/>
        <v>46</v>
      </c>
      <c r="Q119" s="371">
        <f t="shared" si="17"/>
        <v>3887000</v>
      </c>
    </row>
    <row r="120" spans="1:17">
      <c r="A120" s="368">
        <f t="shared" si="11"/>
        <v>109</v>
      </c>
      <c r="B120" s="388" t="s">
        <v>464</v>
      </c>
      <c r="C120" s="388" t="s">
        <v>452</v>
      </c>
      <c r="D120" s="389">
        <v>42978</v>
      </c>
      <c r="E120" s="390">
        <v>957.26</v>
      </c>
      <c r="F120" s="389">
        <v>42978</v>
      </c>
      <c r="G120" s="389"/>
      <c r="H120" s="369">
        <f t="shared" si="12"/>
        <v>0</v>
      </c>
      <c r="I120" s="389">
        <v>43010</v>
      </c>
      <c r="J120" s="391">
        <f t="shared" si="13"/>
        <v>32</v>
      </c>
      <c r="K120" s="392">
        <f t="shared" si="9"/>
        <v>32</v>
      </c>
      <c r="L120" s="336">
        <f t="shared" si="10"/>
        <v>30632.32</v>
      </c>
      <c r="N120" s="370">
        <f t="shared" si="14"/>
        <v>15</v>
      </c>
      <c r="O120" s="370">
        <f t="shared" si="15"/>
        <v>32</v>
      </c>
      <c r="P120" s="370">
        <f t="shared" si="16"/>
        <v>47</v>
      </c>
      <c r="Q120" s="371">
        <f t="shared" si="17"/>
        <v>44991.22</v>
      </c>
    </row>
    <row r="121" spans="1:17">
      <c r="A121" s="368">
        <f t="shared" si="11"/>
        <v>110</v>
      </c>
      <c r="B121" s="388" t="s">
        <v>465</v>
      </c>
      <c r="C121" s="388" t="s">
        <v>452</v>
      </c>
      <c r="D121" s="389">
        <v>42809</v>
      </c>
      <c r="E121" s="390">
        <v>268.12</v>
      </c>
      <c r="F121" s="389">
        <v>42806</v>
      </c>
      <c r="G121" s="389"/>
      <c r="H121" s="369">
        <f t="shared" si="12"/>
        <v>0</v>
      </c>
      <c r="I121" s="389">
        <v>42838</v>
      </c>
      <c r="J121" s="391">
        <f t="shared" si="13"/>
        <v>32</v>
      </c>
      <c r="K121" s="392">
        <f t="shared" si="9"/>
        <v>32</v>
      </c>
      <c r="L121" s="336">
        <f t="shared" si="10"/>
        <v>8579.84</v>
      </c>
      <c r="N121" s="370">
        <f t="shared" si="14"/>
        <v>15</v>
      </c>
      <c r="O121" s="370">
        <f t="shared" si="15"/>
        <v>32</v>
      </c>
      <c r="P121" s="370">
        <f t="shared" si="16"/>
        <v>47</v>
      </c>
      <c r="Q121" s="371">
        <f t="shared" si="17"/>
        <v>12601.64</v>
      </c>
    </row>
    <row r="122" spans="1:17">
      <c r="A122" s="368">
        <f t="shared" si="11"/>
        <v>111</v>
      </c>
      <c r="B122" s="388" t="s">
        <v>465</v>
      </c>
      <c r="C122" s="388" t="s">
        <v>452</v>
      </c>
      <c r="D122" s="389">
        <v>42951</v>
      </c>
      <c r="E122" s="390">
        <v>105.84</v>
      </c>
      <c r="F122" s="389">
        <v>42939</v>
      </c>
      <c r="G122" s="389"/>
      <c r="H122" s="369">
        <f t="shared" si="12"/>
        <v>0</v>
      </c>
      <c r="I122" s="389">
        <v>43004</v>
      </c>
      <c r="J122" s="391">
        <f t="shared" si="13"/>
        <v>65</v>
      </c>
      <c r="K122" s="392">
        <f t="shared" si="9"/>
        <v>65</v>
      </c>
      <c r="L122" s="336">
        <f t="shared" si="10"/>
        <v>6879.6</v>
      </c>
      <c r="N122" s="370">
        <f t="shared" si="14"/>
        <v>15</v>
      </c>
      <c r="O122" s="370">
        <f t="shared" si="15"/>
        <v>65</v>
      </c>
      <c r="P122" s="370">
        <f t="shared" si="16"/>
        <v>80</v>
      </c>
      <c r="Q122" s="371">
        <f t="shared" si="17"/>
        <v>8467.2000000000007</v>
      </c>
    </row>
    <row r="123" spans="1:17">
      <c r="A123" s="368">
        <f t="shared" si="11"/>
        <v>112</v>
      </c>
      <c r="B123" s="388" t="s">
        <v>465</v>
      </c>
      <c r="C123" s="388" t="s">
        <v>452</v>
      </c>
      <c r="D123" s="389">
        <v>43063</v>
      </c>
      <c r="E123" s="390">
        <v>715.16</v>
      </c>
      <c r="F123" s="389">
        <v>43051</v>
      </c>
      <c r="G123" s="389"/>
      <c r="H123" s="369">
        <f t="shared" si="12"/>
        <v>0</v>
      </c>
      <c r="I123" s="389">
        <v>43091</v>
      </c>
      <c r="J123" s="391">
        <f t="shared" si="13"/>
        <v>40</v>
      </c>
      <c r="K123" s="392">
        <f t="shared" si="9"/>
        <v>40</v>
      </c>
      <c r="L123" s="336">
        <f t="shared" si="10"/>
        <v>28606.400000000001</v>
      </c>
      <c r="N123" s="370">
        <f t="shared" si="14"/>
        <v>15</v>
      </c>
      <c r="O123" s="370">
        <f t="shared" si="15"/>
        <v>40</v>
      </c>
      <c r="P123" s="370">
        <f t="shared" si="16"/>
        <v>55</v>
      </c>
      <c r="Q123" s="371">
        <f t="shared" si="17"/>
        <v>39333.799999999996</v>
      </c>
    </row>
    <row r="124" spans="1:17">
      <c r="A124" s="368">
        <f t="shared" si="11"/>
        <v>113</v>
      </c>
      <c r="B124" s="388" t="s">
        <v>465</v>
      </c>
      <c r="C124" s="388" t="s">
        <v>452</v>
      </c>
      <c r="D124" s="389">
        <v>42930</v>
      </c>
      <c r="E124" s="390">
        <v>218.76</v>
      </c>
      <c r="F124" s="389">
        <v>42918</v>
      </c>
      <c r="G124" s="389"/>
      <c r="H124" s="369">
        <f t="shared" si="12"/>
        <v>0</v>
      </c>
      <c r="I124" s="389">
        <v>42977</v>
      </c>
      <c r="J124" s="391">
        <f t="shared" si="13"/>
        <v>59</v>
      </c>
      <c r="K124" s="392">
        <f t="shared" si="9"/>
        <v>59</v>
      </c>
      <c r="L124" s="336">
        <f t="shared" si="10"/>
        <v>12906.84</v>
      </c>
      <c r="N124" s="370">
        <f t="shared" si="14"/>
        <v>15</v>
      </c>
      <c r="O124" s="370">
        <f t="shared" si="15"/>
        <v>59</v>
      </c>
      <c r="P124" s="370">
        <f t="shared" si="16"/>
        <v>74</v>
      </c>
      <c r="Q124" s="371">
        <f t="shared" si="17"/>
        <v>16188.24</v>
      </c>
    </row>
    <row r="125" spans="1:17">
      <c r="A125" s="368">
        <f t="shared" si="11"/>
        <v>114</v>
      </c>
      <c r="B125" s="388" t="s">
        <v>466</v>
      </c>
      <c r="C125" s="388" t="s">
        <v>452</v>
      </c>
      <c r="D125" s="389">
        <v>43073</v>
      </c>
      <c r="E125" s="390">
        <v>80133.5</v>
      </c>
      <c r="F125" s="389">
        <v>43073</v>
      </c>
      <c r="G125" s="389"/>
      <c r="H125" s="369">
        <f t="shared" si="12"/>
        <v>0</v>
      </c>
      <c r="I125" s="389">
        <v>43105</v>
      </c>
      <c r="J125" s="391">
        <f t="shared" si="13"/>
        <v>32</v>
      </c>
      <c r="K125" s="392">
        <f t="shared" si="9"/>
        <v>32</v>
      </c>
      <c r="L125" s="336">
        <f t="shared" si="10"/>
        <v>2564272</v>
      </c>
      <c r="N125" s="370">
        <f t="shared" si="14"/>
        <v>15</v>
      </c>
      <c r="O125" s="370">
        <f t="shared" si="15"/>
        <v>32</v>
      </c>
      <c r="P125" s="370">
        <f t="shared" si="16"/>
        <v>47</v>
      </c>
      <c r="Q125" s="371">
        <f t="shared" si="17"/>
        <v>3766274.5</v>
      </c>
    </row>
    <row r="126" spans="1:17">
      <c r="A126" s="368">
        <f t="shared" si="11"/>
        <v>115</v>
      </c>
      <c r="B126" s="388" t="s">
        <v>467</v>
      </c>
      <c r="C126" s="388" t="s">
        <v>452</v>
      </c>
      <c r="D126" s="389">
        <v>43068</v>
      </c>
      <c r="E126" s="390">
        <v>67866.13</v>
      </c>
      <c r="F126" s="389">
        <v>43009</v>
      </c>
      <c r="G126" s="389">
        <v>43039</v>
      </c>
      <c r="H126" s="369">
        <f t="shared" si="12"/>
        <v>15</v>
      </c>
      <c r="I126" s="389">
        <v>43098</v>
      </c>
      <c r="J126" s="391">
        <f t="shared" si="13"/>
        <v>59</v>
      </c>
      <c r="K126" s="392">
        <f t="shared" si="9"/>
        <v>74</v>
      </c>
      <c r="L126" s="336">
        <f t="shared" si="10"/>
        <v>5022093.62</v>
      </c>
      <c r="N126" s="370">
        <f t="shared" si="14"/>
        <v>15</v>
      </c>
      <c r="O126" s="370">
        <f t="shared" si="15"/>
        <v>59</v>
      </c>
      <c r="P126" s="370">
        <f t="shared" si="16"/>
        <v>74</v>
      </c>
      <c r="Q126" s="371">
        <f t="shared" si="17"/>
        <v>5022093.62</v>
      </c>
    </row>
    <row r="127" spans="1:17">
      <c r="A127" s="368">
        <f t="shared" si="11"/>
        <v>116</v>
      </c>
      <c r="B127" s="388" t="s">
        <v>468</v>
      </c>
      <c r="C127" s="388" t="s">
        <v>452</v>
      </c>
      <c r="D127" s="389">
        <v>42844</v>
      </c>
      <c r="E127" s="390">
        <v>616.28</v>
      </c>
      <c r="F127" s="389">
        <v>42822</v>
      </c>
      <c r="G127" s="389"/>
      <c r="H127" s="369">
        <f t="shared" si="12"/>
        <v>0</v>
      </c>
      <c r="I127" s="389">
        <v>42860</v>
      </c>
      <c r="J127" s="391">
        <f t="shared" si="13"/>
        <v>38</v>
      </c>
      <c r="K127" s="392">
        <f t="shared" si="9"/>
        <v>38</v>
      </c>
      <c r="L127" s="336">
        <f t="shared" si="10"/>
        <v>23418.639999999999</v>
      </c>
      <c r="N127" s="370">
        <f t="shared" si="14"/>
        <v>15</v>
      </c>
      <c r="O127" s="370">
        <f t="shared" si="15"/>
        <v>38</v>
      </c>
      <c r="P127" s="370">
        <f t="shared" si="16"/>
        <v>53</v>
      </c>
      <c r="Q127" s="371">
        <f t="shared" si="17"/>
        <v>32662.84</v>
      </c>
    </row>
    <row r="128" spans="1:17">
      <c r="A128" s="368">
        <f t="shared" si="11"/>
        <v>117</v>
      </c>
      <c r="B128" s="388" t="s">
        <v>439</v>
      </c>
      <c r="C128" s="388" t="s">
        <v>452</v>
      </c>
      <c r="D128" s="389">
        <v>42732</v>
      </c>
      <c r="E128" s="390">
        <v>10897</v>
      </c>
      <c r="F128" s="389">
        <v>42670</v>
      </c>
      <c r="G128" s="389"/>
      <c r="H128" s="369">
        <f t="shared" si="12"/>
        <v>0</v>
      </c>
      <c r="I128" s="389">
        <v>42790</v>
      </c>
      <c r="J128" s="391">
        <f t="shared" si="13"/>
        <v>120</v>
      </c>
      <c r="K128" s="392">
        <f t="shared" si="9"/>
        <v>120</v>
      </c>
      <c r="L128" s="336">
        <f t="shared" si="10"/>
        <v>1307640</v>
      </c>
      <c r="N128" s="370">
        <f t="shared" si="14"/>
        <v>15</v>
      </c>
      <c r="O128" s="370">
        <f t="shared" si="15"/>
        <v>120</v>
      </c>
      <c r="P128" s="370">
        <f t="shared" si="16"/>
        <v>135</v>
      </c>
      <c r="Q128" s="371">
        <f t="shared" si="17"/>
        <v>1471095</v>
      </c>
    </row>
    <row r="129" spans="1:17">
      <c r="A129" s="368">
        <f t="shared" si="11"/>
        <v>118</v>
      </c>
      <c r="B129" s="388" t="s">
        <v>469</v>
      </c>
      <c r="C129" s="388" t="s">
        <v>470</v>
      </c>
      <c r="D129" s="389">
        <v>42989</v>
      </c>
      <c r="E129" s="390">
        <v>5032.1499999999996</v>
      </c>
      <c r="F129" s="389">
        <v>42934</v>
      </c>
      <c r="G129" s="389">
        <v>42935</v>
      </c>
      <c r="H129" s="369">
        <f t="shared" si="12"/>
        <v>0.5</v>
      </c>
      <c r="I129" s="389">
        <v>43033</v>
      </c>
      <c r="J129" s="391">
        <f t="shared" si="13"/>
        <v>98</v>
      </c>
      <c r="K129" s="392">
        <f t="shared" si="9"/>
        <v>98.5</v>
      </c>
      <c r="L129" s="336">
        <f t="shared" si="10"/>
        <v>495666.78</v>
      </c>
      <c r="N129" s="370">
        <f t="shared" si="14"/>
        <v>0.5</v>
      </c>
      <c r="O129" s="370">
        <f t="shared" si="15"/>
        <v>98</v>
      </c>
      <c r="P129" s="370">
        <f t="shared" si="16"/>
        <v>98.5</v>
      </c>
      <c r="Q129" s="371">
        <f t="shared" si="17"/>
        <v>495666.77499999997</v>
      </c>
    </row>
    <row r="130" spans="1:17">
      <c r="A130" s="368">
        <f t="shared" si="11"/>
        <v>119</v>
      </c>
      <c r="B130" s="388" t="s">
        <v>471</v>
      </c>
      <c r="C130" s="388" t="s">
        <v>470</v>
      </c>
      <c r="D130" s="389">
        <v>42879</v>
      </c>
      <c r="E130" s="390">
        <v>147724.5</v>
      </c>
      <c r="F130" s="389">
        <v>42879</v>
      </c>
      <c r="G130" s="389"/>
      <c r="H130" s="369">
        <f t="shared" si="12"/>
        <v>0</v>
      </c>
      <c r="I130" s="389">
        <v>42950</v>
      </c>
      <c r="J130" s="391">
        <f t="shared" si="13"/>
        <v>71</v>
      </c>
      <c r="K130" s="392">
        <f t="shared" si="9"/>
        <v>71</v>
      </c>
      <c r="L130" s="336">
        <f t="shared" si="10"/>
        <v>10488439.5</v>
      </c>
      <c r="N130" s="370">
        <f t="shared" si="14"/>
        <v>15</v>
      </c>
      <c r="O130" s="370">
        <f t="shared" si="15"/>
        <v>71</v>
      </c>
      <c r="P130" s="370">
        <f t="shared" si="16"/>
        <v>86</v>
      </c>
      <c r="Q130" s="371">
        <f t="shared" si="17"/>
        <v>12704307</v>
      </c>
    </row>
    <row r="131" spans="1:17">
      <c r="A131" s="368">
        <f t="shared" si="11"/>
        <v>120</v>
      </c>
      <c r="B131" s="388" t="s">
        <v>471</v>
      </c>
      <c r="C131" s="388" t="s">
        <v>470</v>
      </c>
      <c r="D131" s="389">
        <v>42964</v>
      </c>
      <c r="E131" s="390">
        <v>76100.5</v>
      </c>
      <c r="F131" s="389">
        <v>42964</v>
      </c>
      <c r="G131" s="389"/>
      <c r="H131" s="369">
        <f t="shared" si="12"/>
        <v>0</v>
      </c>
      <c r="I131" s="389">
        <v>43042</v>
      </c>
      <c r="J131" s="391">
        <f t="shared" si="13"/>
        <v>78</v>
      </c>
      <c r="K131" s="392">
        <f t="shared" si="9"/>
        <v>78</v>
      </c>
      <c r="L131" s="336">
        <f t="shared" si="10"/>
        <v>5935839</v>
      </c>
      <c r="N131" s="370">
        <f t="shared" si="14"/>
        <v>15</v>
      </c>
      <c r="O131" s="370">
        <f t="shared" si="15"/>
        <v>78</v>
      </c>
      <c r="P131" s="370">
        <f t="shared" si="16"/>
        <v>93</v>
      </c>
      <c r="Q131" s="371">
        <f t="shared" si="17"/>
        <v>7077346.5</v>
      </c>
    </row>
    <row r="132" spans="1:17">
      <c r="A132" s="368">
        <f t="shared" si="11"/>
        <v>121</v>
      </c>
      <c r="B132" s="388" t="s">
        <v>472</v>
      </c>
      <c r="C132" s="388" t="s">
        <v>470</v>
      </c>
      <c r="D132" s="389">
        <v>43039</v>
      </c>
      <c r="E132" s="390">
        <v>206990</v>
      </c>
      <c r="F132" s="389">
        <v>43013</v>
      </c>
      <c r="G132" s="389">
        <v>43030</v>
      </c>
      <c r="H132" s="369">
        <f t="shared" si="12"/>
        <v>8.5</v>
      </c>
      <c r="I132" s="389">
        <v>43090</v>
      </c>
      <c r="J132" s="391">
        <f t="shared" si="13"/>
        <v>60</v>
      </c>
      <c r="K132" s="392">
        <f t="shared" si="9"/>
        <v>68.5</v>
      </c>
      <c r="L132" s="336">
        <f t="shared" si="10"/>
        <v>14178815</v>
      </c>
      <c r="N132" s="370">
        <f t="shared" si="14"/>
        <v>8.5</v>
      </c>
      <c r="O132" s="370">
        <f t="shared" si="15"/>
        <v>60</v>
      </c>
      <c r="P132" s="370">
        <f t="shared" si="16"/>
        <v>68.5</v>
      </c>
      <c r="Q132" s="371">
        <f t="shared" si="17"/>
        <v>14178815</v>
      </c>
    </row>
    <row r="133" spans="1:17">
      <c r="A133" s="368">
        <f t="shared" si="11"/>
        <v>122</v>
      </c>
      <c r="B133" s="388" t="s">
        <v>472</v>
      </c>
      <c r="C133" s="388" t="s">
        <v>470</v>
      </c>
      <c r="D133" s="389">
        <v>43054</v>
      </c>
      <c r="E133" s="390">
        <v>66469.06</v>
      </c>
      <c r="F133" s="389">
        <v>43054</v>
      </c>
      <c r="G133" s="389"/>
      <c r="H133" s="369">
        <f t="shared" si="12"/>
        <v>0</v>
      </c>
      <c r="I133" s="389">
        <v>43090</v>
      </c>
      <c r="J133" s="391">
        <f t="shared" si="13"/>
        <v>36</v>
      </c>
      <c r="K133" s="392">
        <f t="shared" si="9"/>
        <v>36</v>
      </c>
      <c r="L133" s="336">
        <f t="shared" si="10"/>
        <v>2392886.16</v>
      </c>
      <c r="N133" s="370">
        <f t="shared" si="14"/>
        <v>15</v>
      </c>
      <c r="O133" s="370">
        <f t="shared" si="15"/>
        <v>36</v>
      </c>
      <c r="P133" s="370">
        <f t="shared" si="16"/>
        <v>51</v>
      </c>
      <c r="Q133" s="371">
        <f t="shared" si="17"/>
        <v>3389922.06</v>
      </c>
    </row>
    <row r="134" spans="1:17">
      <c r="A134" s="368">
        <f t="shared" si="11"/>
        <v>123</v>
      </c>
      <c r="B134" s="388" t="s">
        <v>473</v>
      </c>
      <c r="C134" s="388" t="s">
        <v>470</v>
      </c>
      <c r="D134" s="389">
        <v>42844</v>
      </c>
      <c r="E134" s="390">
        <v>73720</v>
      </c>
      <c r="F134" s="389">
        <v>42844</v>
      </c>
      <c r="G134" s="389"/>
      <c r="H134" s="369">
        <f t="shared" si="12"/>
        <v>0</v>
      </c>
      <c r="I134" s="389">
        <v>42877</v>
      </c>
      <c r="J134" s="391">
        <f t="shared" si="13"/>
        <v>33</v>
      </c>
      <c r="K134" s="392">
        <f t="shared" si="9"/>
        <v>33</v>
      </c>
      <c r="L134" s="336">
        <f t="shared" si="10"/>
        <v>2432760</v>
      </c>
      <c r="N134" s="370">
        <f t="shared" si="14"/>
        <v>15</v>
      </c>
      <c r="O134" s="370">
        <f t="shared" si="15"/>
        <v>33</v>
      </c>
      <c r="P134" s="370">
        <f t="shared" si="16"/>
        <v>48</v>
      </c>
      <c r="Q134" s="371">
        <f t="shared" si="17"/>
        <v>3538560</v>
      </c>
    </row>
    <row r="135" spans="1:17">
      <c r="A135" s="368">
        <f t="shared" si="11"/>
        <v>124</v>
      </c>
      <c r="B135" s="388" t="s">
        <v>474</v>
      </c>
      <c r="C135" s="388" t="s">
        <v>470</v>
      </c>
      <c r="D135" s="389">
        <v>43049</v>
      </c>
      <c r="E135" s="390">
        <v>134857</v>
      </c>
      <c r="F135" s="389">
        <v>43049</v>
      </c>
      <c r="G135" s="389"/>
      <c r="H135" s="369">
        <f t="shared" si="12"/>
        <v>0</v>
      </c>
      <c r="I135" s="389">
        <v>43080</v>
      </c>
      <c r="J135" s="391">
        <f t="shared" si="13"/>
        <v>31</v>
      </c>
      <c r="K135" s="392">
        <f t="shared" si="9"/>
        <v>31</v>
      </c>
      <c r="L135" s="336">
        <f t="shared" si="10"/>
        <v>4180567</v>
      </c>
      <c r="N135" s="370">
        <f t="shared" si="14"/>
        <v>15</v>
      </c>
      <c r="O135" s="370">
        <f t="shared" si="15"/>
        <v>31</v>
      </c>
      <c r="P135" s="370">
        <f t="shared" si="16"/>
        <v>46</v>
      </c>
      <c r="Q135" s="371">
        <f t="shared" si="17"/>
        <v>6203422</v>
      </c>
    </row>
    <row r="136" spans="1:17">
      <c r="A136" s="368">
        <f t="shared" si="11"/>
        <v>125</v>
      </c>
      <c r="B136" s="388" t="s">
        <v>475</v>
      </c>
      <c r="C136" s="388" t="s">
        <v>470</v>
      </c>
      <c r="D136" s="389">
        <v>43081</v>
      </c>
      <c r="E136" s="390">
        <v>132000</v>
      </c>
      <c r="F136" s="389">
        <v>43061</v>
      </c>
      <c r="G136" s="389"/>
      <c r="H136" s="369">
        <f t="shared" si="12"/>
        <v>0</v>
      </c>
      <c r="I136" s="389">
        <v>43112</v>
      </c>
      <c r="J136" s="391">
        <f t="shared" si="13"/>
        <v>51</v>
      </c>
      <c r="K136" s="392">
        <f t="shared" si="9"/>
        <v>51</v>
      </c>
      <c r="L136" s="336">
        <f t="shared" si="10"/>
        <v>6732000</v>
      </c>
      <c r="N136" s="370">
        <f t="shared" si="14"/>
        <v>15</v>
      </c>
      <c r="O136" s="370">
        <f t="shared" si="15"/>
        <v>51</v>
      </c>
      <c r="P136" s="370">
        <f t="shared" si="16"/>
        <v>66</v>
      </c>
      <c r="Q136" s="371">
        <f t="shared" si="17"/>
        <v>8712000</v>
      </c>
    </row>
    <row r="137" spans="1:17">
      <c r="A137" s="368">
        <f t="shared" si="11"/>
        <v>126</v>
      </c>
      <c r="B137" s="388" t="s">
        <v>476</v>
      </c>
      <c r="C137" s="388" t="s">
        <v>470</v>
      </c>
      <c r="D137" s="389">
        <v>42852</v>
      </c>
      <c r="E137" s="390">
        <v>110</v>
      </c>
      <c r="F137" s="389">
        <v>42852</v>
      </c>
      <c r="G137" s="389"/>
      <c r="H137" s="369">
        <f t="shared" si="12"/>
        <v>0</v>
      </c>
      <c r="I137" s="389">
        <v>42885</v>
      </c>
      <c r="J137" s="391">
        <f t="shared" si="13"/>
        <v>33</v>
      </c>
      <c r="K137" s="392">
        <f t="shared" si="9"/>
        <v>33</v>
      </c>
      <c r="L137" s="336">
        <f t="shared" si="10"/>
        <v>3630</v>
      </c>
      <c r="N137" s="370">
        <f t="shared" si="14"/>
        <v>15</v>
      </c>
      <c r="O137" s="370">
        <f t="shared" si="15"/>
        <v>33</v>
      </c>
      <c r="P137" s="370">
        <f t="shared" si="16"/>
        <v>48</v>
      </c>
      <c r="Q137" s="371">
        <f t="shared" si="17"/>
        <v>5280</v>
      </c>
    </row>
    <row r="138" spans="1:17">
      <c r="A138" s="368">
        <f t="shared" si="11"/>
        <v>127</v>
      </c>
      <c r="B138" s="388" t="s">
        <v>477</v>
      </c>
      <c r="C138" s="388" t="s">
        <v>470</v>
      </c>
      <c r="D138" s="389">
        <v>42731</v>
      </c>
      <c r="E138" s="390">
        <v>136254</v>
      </c>
      <c r="F138" s="389">
        <v>42731</v>
      </c>
      <c r="G138" s="389"/>
      <c r="H138" s="369">
        <f t="shared" si="12"/>
        <v>0</v>
      </c>
      <c r="I138" s="389">
        <v>42772</v>
      </c>
      <c r="J138" s="391">
        <f t="shared" si="13"/>
        <v>41</v>
      </c>
      <c r="K138" s="392">
        <f t="shared" si="9"/>
        <v>41</v>
      </c>
      <c r="L138" s="336">
        <f t="shared" si="10"/>
        <v>5586414</v>
      </c>
      <c r="N138" s="370">
        <f t="shared" si="14"/>
        <v>15</v>
      </c>
      <c r="O138" s="370">
        <f t="shared" si="15"/>
        <v>41</v>
      </c>
      <c r="P138" s="370">
        <f t="shared" si="16"/>
        <v>56</v>
      </c>
      <c r="Q138" s="371">
        <f t="shared" si="17"/>
        <v>7630224</v>
      </c>
    </row>
    <row r="139" spans="1:17">
      <c r="A139" s="368">
        <f t="shared" si="11"/>
        <v>128</v>
      </c>
      <c r="B139" s="388" t="s">
        <v>478</v>
      </c>
      <c r="C139" s="388" t="s">
        <v>470</v>
      </c>
      <c r="D139" s="389">
        <v>42709</v>
      </c>
      <c r="E139" s="390">
        <v>64654</v>
      </c>
      <c r="F139" s="389">
        <v>42673</v>
      </c>
      <c r="G139" s="389">
        <v>42685</v>
      </c>
      <c r="H139" s="369">
        <f t="shared" si="12"/>
        <v>6</v>
      </c>
      <c r="I139" s="389">
        <v>42752</v>
      </c>
      <c r="J139" s="391">
        <f t="shared" si="13"/>
        <v>67</v>
      </c>
      <c r="K139" s="392">
        <f t="shared" si="9"/>
        <v>73</v>
      </c>
      <c r="L139" s="336">
        <f t="shared" si="10"/>
        <v>4719742</v>
      </c>
      <c r="N139" s="370">
        <f t="shared" si="14"/>
        <v>6</v>
      </c>
      <c r="O139" s="370">
        <f t="shared" si="15"/>
        <v>67</v>
      </c>
      <c r="P139" s="370">
        <f t="shared" si="16"/>
        <v>73</v>
      </c>
      <c r="Q139" s="371">
        <f t="shared" si="17"/>
        <v>4719742</v>
      </c>
    </row>
    <row r="140" spans="1:17">
      <c r="A140" s="368">
        <f t="shared" si="11"/>
        <v>129</v>
      </c>
      <c r="B140" s="388" t="s">
        <v>479</v>
      </c>
      <c r="C140" s="388" t="s">
        <v>470</v>
      </c>
      <c r="D140" s="389">
        <v>43068</v>
      </c>
      <c r="E140" s="390">
        <v>4174.8600000000006</v>
      </c>
      <c r="F140" s="389">
        <v>43068</v>
      </c>
      <c r="G140" s="389"/>
      <c r="H140" s="369">
        <f t="shared" si="12"/>
        <v>0</v>
      </c>
      <c r="I140" s="389">
        <v>43102</v>
      </c>
      <c r="J140" s="391">
        <f t="shared" si="13"/>
        <v>34</v>
      </c>
      <c r="K140" s="392">
        <f t="shared" ref="K140:K203" si="18">H140+J140</f>
        <v>34</v>
      </c>
      <c r="L140" s="336">
        <f t="shared" ref="L140:L203" si="19">ROUND(E140*K140,2)</f>
        <v>141945.24</v>
      </c>
      <c r="N140" s="370">
        <f t="shared" si="14"/>
        <v>15</v>
      </c>
      <c r="O140" s="370">
        <f t="shared" si="15"/>
        <v>34</v>
      </c>
      <c r="P140" s="370">
        <f t="shared" si="16"/>
        <v>49</v>
      </c>
      <c r="Q140" s="371">
        <f t="shared" si="17"/>
        <v>204568.14</v>
      </c>
    </row>
    <row r="141" spans="1:17">
      <c r="A141" s="368">
        <f t="shared" ref="A141:A204" si="20">A140+1</f>
        <v>130</v>
      </c>
      <c r="B141" s="388" t="s">
        <v>480</v>
      </c>
      <c r="C141" s="388" t="s">
        <v>470</v>
      </c>
      <c r="D141" s="389">
        <v>43039</v>
      </c>
      <c r="E141" s="390">
        <v>101093.08</v>
      </c>
      <c r="F141" s="389">
        <v>43007</v>
      </c>
      <c r="G141" s="389">
        <v>43026</v>
      </c>
      <c r="H141" s="369">
        <f t="shared" ref="H141:H204" si="21">IF(G141="",0,(G141-F141)/2)</f>
        <v>9.5</v>
      </c>
      <c r="I141" s="389">
        <v>43070</v>
      </c>
      <c r="J141" s="391">
        <f t="shared" ref="J141:J204" si="22">IF(G141="",I141-F141,I141-G141)</f>
        <v>44</v>
      </c>
      <c r="K141" s="392">
        <f t="shared" si="18"/>
        <v>53.5</v>
      </c>
      <c r="L141" s="336">
        <f t="shared" si="19"/>
        <v>5408479.7800000003</v>
      </c>
      <c r="N141" s="370">
        <f t="shared" ref="N141:N204" si="23">IF(G141="",30/2,H141)</f>
        <v>9.5</v>
      </c>
      <c r="O141" s="370">
        <f t="shared" ref="O141:O204" si="24">J141</f>
        <v>44</v>
      </c>
      <c r="P141" s="370">
        <f t="shared" ref="P141:P204" si="25">N141+O141</f>
        <v>53.5</v>
      </c>
      <c r="Q141" s="371">
        <f t="shared" ref="Q141:Q204" si="26">E141*P141</f>
        <v>5408479.7800000003</v>
      </c>
    </row>
    <row r="142" spans="1:17">
      <c r="A142" s="368">
        <f t="shared" si="20"/>
        <v>131</v>
      </c>
      <c r="B142" s="388" t="s">
        <v>460</v>
      </c>
      <c r="C142" s="388" t="s">
        <v>470</v>
      </c>
      <c r="D142" s="389">
        <v>42818</v>
      </c>
      <c r="E142" s="390">
        <v>178.11999999999998</v>
      </c>
      <c r="F142" s="389">
        <v>42818</v>
      </c>
      <c r="G142" s="389"/>
      <c r="H142" s="369">
        <f t="shared" si="21"/>
        <v>0</v>
      </c>
      <c r="I142" s="389">
        <v>42835</v>
      </c>
      <c r="J142" s="391">
        <f t="shared" si="22"/>
        <v>17</v>
      </c>
      <c r="K142" s="392">
        <f t="shared" si="18"/>
        <v>17</v>
      </c>
      <c r="L142" s="336">
        <f t="shared" si="19"/>
        <v>3028.04</v>
      </c>
      <c r="N142" s="370">
        <f t="shared" si="23"/>
        <v>15</v>
      </c>
      <c r="O142" s="370">
        <f t="shared" si="24"/>
        <v>17</v>
      </c>
      <c r="P142" s="370">
        <f t="shared" si="25"/>
        <v>32</v>
      </c>
      <c r="Q142" s="371">
        <f t="shared" si="26"/>
        <v>5699.8399999999992</v>
      </c>
    </row>
    <row r="143" spans="1:17">
      <c r="A143" s="368">
        <f t="shared" si="20"/>
        <v>132</v>
      </c>
      <c r="B143" s="388" t="s">
        <v>481</v>
      </c>
      <c r="C143" s="388" t="s">
        <v>470</v>
      </c>
      <c r="D143" s="389">
        <v>42737</v>
      </c>
      <c r="E143" s="390">
        <v>70101</v>
      </c>
      <c r="F143" s="389">
        <v>42737</v>
      </c>
      <c r="G143" s="389"/>
      <c r="H143" s="369">
        <f t="shared" si="21"/>
        <v>0</v>
      </c>
      <c r="I143" s="389">
        <v>42768</v>
      </c>
      <c r="J143" s="391">
        <f t="shared" si="22"/>
        <v>31</v>
      </c>
      <c r="K143" s="392">
        <f t="shared" si="18"/>
        <v>31</v>
      </c>
      <c r="L143" s="336">
        <f t="shared" si="19"/>
        <v>2173131</v>
      </c>
      <c r="N143" s="370">
        <f t="shared" si="23"/>
        <v>15</v>
      </c>
      <c r="O143" s="370">
        <f t="shared" si="24"/>
        <v>31</v>
      </c>
      <c r="P143" s="370">
        <f t="shared" si="25"/>
        <v>46</v>
      </c>
      <c r="Q143" s="371">
        <f t="shared" si="26"/>
        <v>3224646</v>
      </c>
    </row>
    <row r="144" spans="1:17">
      <c r="A144" s="368">
        <f t="shared" si="20"/>
        <v>133</v>
      </c>
      <c r="B144" s="388" t="s">
        <v>482</v>
      </c>
      <c r="C144" s="388" t="s">
        <v>470</v>
      </c>
      <c r="D144" s="389">
        <v>43026</v>
      </c>
      <c r="E144" s="390">
        <v>31269.68</v>
      </c>
      <c r="F144" s="389">
        <v>43011</v>
      </c>
      <c r="G144" s="389">
        <v>43020</v>
      </c>
      <c r="H144" s="369">
        <f t="shared" si="21"/>
        <v>4.5</v>
      </c>
      <c r="I144" s="389">
        <v>43090</v>
      </c>
      <c r="J144" s="391">
        <f t="shared" si="22"/>
        <v>70</v>
      </c>
      <c r="K144" s="392">
        <f t="shared" si="18"/>
        <v>74.5</v>
      </c>
      <c r="L144" s="336">
        <f t="shared" si="19"/>
        <v>2329591.16</v>
      </c>
      <c r="N144" s="370">
        <f t="shared" si="23"/>
        <v>4.5</v>
      </c>
      <c r="O144" s="370">
        <f t="shared" si="24"/>
        <v>70</v>
      </c>
      <c r="P144" s="370">
        <f t="shared" si="25"/>
        <v>74.5</v>
      </c>
      <c r="Q144" s="371">
        <f t="shared" si="26"/>
        <v>2329591.16</v>
      </c>
    </row>
    <row r="145" spans="1:17">
      <c r="A145" s="368">
        <f t="shared" si="20"/>
        <v>134</v>
      </c>
      <c r="B145" s="388" t="s">
        <v>483</v>
      </c>
      <c r="C145" s="388" t="s">
        <v>470</v>
      </c>
      <c r="D145" s="389">
        <v>42830</v>
      </c>
      <c r="E145" s="390">
        <v>287525</v>
      </c>
      <c r="F145" s="389">
        <v>42815</v>
      </c>
      <c r="G145" s="389">
        <v>42828</v>
      </c>
      <c r="H145" s="369">
        <f t="shared" si="21"/>
        <v>6.5</v>
      </c>
      <c r="I145" s="389">
        <v>42863</v>
      </c>
      <c r="J145" s="391">
        <f t="shared" si="22"/>
        <v>35</v>
      </c>
      <c r="K145" s="392">
        <f t="shared" si="18"/>
        <v>41.5</v>
      </c>
      <c r="L145" s="336">
        <f t="shared" si="19"/>
        <v>11932287.5</v>
      </c>
      <c r="N145" s="370">
        <f t="shared" si="23"/>
        <v>6.5</v>
      </c>
      <c r="O145" s="370">
        <f t="shared" si="24"/>
        <v>35</v>
      </c>
      <c r="P145" s="370">
        <f t="shared" si="25"/>
        <v>41.5</v>
      </c>
      <c r="Q145" s="371">
        <f t="shared" si="26"/>
        <v>11932287.5</v>
      </c>
    </row>
    <row r="146" spans="1:17">
      <c r="A146" s="368">
        <f t="shared" si="20"/>
        <v>135</v>
      </c>
      <c r="B146" s="388" t="s">
        <v>484</v>
      </c>
      <c r="C146" s="388" t="s">
        <v>470</v>
      </c>
      <c r="D146" s="389">
        <v>42886</v>
      </c>
      <c r="E146" s="390">
        <v>84240</v>
      </c>
      <c r="F146" s="389">
        <v>42800</v>
      </c>
      <c r="G146" s="389"/>
      <c r="H146" s="369">
        <f t="shared" si="21"/>
        <v>0</v>
      </c>
      <c r="I146" s="389">
        <v>43006</v>
      </c>
      <c r="J146" s="391">
        <f t="shared" si="22"/>
        <v>206</v>
      </c>
      <c r="K146" s="392">
        <f t="shared" si="18"/>
        <v>206</v>
      </c>
      <c r="L146" s="336">
        <f t="shared" si="19"/>
        <v>17353440</v>
      </c>
      <c r="N146" s="370">
        <f t="shared" si="23"/>
        <v>15</v>
      </c>
      <c r="O146" s="370">
        <f t="shared" si="24"/>
        <v>206</v>
      </c>
      <c r="P146" s="370">
        <f t="shared" si="25"/>
        <v>221</v>
      </c>
      <c r="Q146" s="371">
        <f t="shared" si="26"/>
        <v>18617040</v>
      </c>
    </row>
    <row r="147" spans="1:17">
      <c r="A147" s="368">
        <f t="shared" si="20"/>
        <v>136</v>
      </c>
      <c r="B147" s="388" t="s">
        <v>484</v>
      </c>
      <c r="C147" s="388" t="s">
        <v>470</v>
      </c>
      <c r="D147" s="389">
        <v>43003</v>
      </c>
      <c r="E147" s="390">
        <v>159155.45000000001</v>
      </c>
      <c r="F147" s="389">
        <v>42791</v>
      </c>
      <c r="G147" s="389">
        <v>42803</v>
      </c>
      <c r="H147" s="369">
        <f t="shared" si="21"/>
        <v>6</v>
      </c>
      <c r="I147" s="389">
        <v>43034</v>
      </c>
      <c r="J147" s="391">
        <f t="shared" si="22"/>
        <v>231</v>
      </c>
      <c r="K147" s="392">
        <f t="shared" si="18"/>
        <v>237</v>
      </c>
      <c r="L147" s="336">
        <f t="shared" si="19"/>
        <v>37719841.649999999</v>
      </c>
      <c r="N147" s="370">
        <f t="shared" si="23"/>
        <v>6</v>
      </c>
      <c r="O147" s="370">
        <f t="shared" si="24"/>
        <v>231</v>
      </c>
      <c r="P147" s="370">
        <f t="shared" si="25"/>
        <v>237</v>
      </c>
      <c r="Q147" s="371">
        <f t="shared" si="26"/>
        <v>37719841.650000006</v>
      </c>
    </row>
    <row r="148" spans="1:17">
      <c r="A148" s="368">
        <f t="shared" si="20"/>
        <v>137</v>
      </c>
      <c r="B148" s="388" t="s">
        <v>478</v>
      </c>
      <c r="C148" s="388" t="s">
        <v>470</v>
      </c>
      <c r="D148" s="389">
        <v>42838</v>
      </c>
      <c r="E148" s="390">
        <v>356686.7</v>
      </c>
      <c r="F148" s="389">
        <v>42748</v>
      </c>
      <c r="G148" s="389">
        <v>42771</v>
      </c>
      <c r="H148" s="369">
        <f t="shared" si="21"/>
        <v>11.5</v>
      </c>
      <c r="I148" s="389">
        <v>42870</v>
      </c>
      <c r="J148" s="391">
        <f t="shared" si="22"/>
        <v>99</v>
      </c>
      <c r="K148" s="392">
        <f t="shared" si="18"/>
        <v>110.5</v>
      </c>
      <c r="L148" s="336">
        <f t="shared" si="19"/>
        <v>39413880.350000001</v>
      </c>
      <c r="N148" s="370">
        <f t="shared" si="23"/>
        <v>11.5</v>
      </c>
      <c r="O148" s="370">
        <f t="shared" si="24"/>
        <v>99</v>
      </c>
      <c r="P148" s="370">
        <f t="shared" si="25"/>
        <v>110.5</v>
      </c>
      <c r="Q148" s="371">
        <f t="shared" si="26"/>
        <v>39413880.350000001</v>
      </c>
    </row>
    <row r="149" spans="1:17">
      <c r="A149" s="368">
        <f t="shared" si="20"/>
        <v>138</v>
      </c>
      <c r="B149" s="388" t="s">
        <v>460</v>
      </c>
      <c r="C149" s="388" t="s">
        <v>470</v>
      </c>
      <c r="D149" s="389">
        <v>42755</v>
      </c>
      <c r="E149" s="390">
        <v>292.54000000000002</v>
      </c>
      <c r="F149" s="389">
        <v>42755</v>
      </c>
      <c r="G149" s="389"/>
      <c r="H149" s="369">
        <f t="shared" si="21"/>
        <v>0</v>
      </c>
      <c r="I149" s="389">
        <v>42772</v>
      </c>
      <c r="J149" s="391">
        <f t="shared" si="22"/>
        <v>17</v>
      </c>
      <c r="K149" s="392">
        <f t="shared" si="18"/>
        <v>17</v>
      </c>
      <c r="L149" s="336">
        <f t="shared" si="19"/>
        <v>4973.18</v>
      </c>
      <c r="N149" s="370">
        <f t="shared" si="23"/>
        <v>15</v>
      </c>
      <c r="O149" s="370">
        <f t="shared" si="24"/>
        <v>17</v>
      </c>
      <c r="P149" s="370">
        <f t="shared" si="25"/>
        <v>32</v>
      </c>
      <c r="Q149" s="371">
        <f t="shared" si="26"/>
        <v>9361.2800000000007</v>
      </c>
    </row>
    <row r="150" spans="1:17">
      <c r="A150" s="368">
        <f t="shared" si="20"/>
        <v>139</v>
      </c>
      <c r="B150" s="388" t="s">
        <v>456</v>
      </c>
      <c r="C150" s="388" t="s">
        <v>470</v>
      </c>
      <c r="D150" s="389">
        <v>42860</v>
      </c>
      <c r="E150" s="390">
        <v>228382.45</v>
      </c>
      <c r="F150" s="389">
        <v>42857</v>
      </c>
      <c r="G150" s="389">
        <v>42860</v>
      </c>
      <c r="H150" s="369">
        <f t="shared" si="21"/>
        <v>1.5</v>
      </c>
      <c r="I150" s="389">
        <v>42891</v>
      </c>
      <c r="J150" s="391">
        <f t="shared" si="22"/>
        <v>31</v>
      </c>
      <c r="K150" s="392">
        <f t="shared" si="18"/>
        <v>32.5</v>
      </c>
      <c r="L150" s="336">
        <f t="shared" si="19"/>
        <v>7422429.6299999999</v>
      </c>
      <c r="N150" s="370">
        <f t="shared" si="23"/>
        <v>1.5</v>
      </c>
      <c r="O150" s="370">
        <f t="shared" si="24"/>
        <v>31</v>
      </c>
      <c r="P150" s="370">
        <f t="shared" si="25"/>
        <v>32.5</v>
      </c>
      <c r="Q150" s="371">
        <f t="shared" si="26"/>
        <v>7422429.625</v>
      </c>
    </row>
    <row r="151" spans="1:17">
      <c r="A151" s="368">
        <f t="shared" si="20"/>
        <v>140</v>
      </c>
      <c r="B151" s="388" t="s">
        <v>460</v>
      </c>
      <c r="C151" s="388" t="s">
        <v>470</v>
      </c>
      <c r="D151" s="389">
        <v>42843</v>
      </c>
      <c r="E151" s="390">
        <v>56376.909999999996</v>
      </c>
      <c r="F151" s="389">
        <v>42843</v>
      </c>
      <c r="G151" s="389"/>
      <c r="H151" s="369">
        <f t="shared" si="21"/>
        <v>0</v>
      </c>
      <c r="I151" s="389">
        <v>42859</v>
      </c>
      <c r="J151" s="391">
        <f t="shared" si="22"/>
        <v>16</v>
      </c>
      <c r="K151" s="392">
        <f t="shared" si="18"/>
        <v>16</v>
      </c>
      <c r="L151" s="336">
        <f t="shared" si="19"/>
        <v>902030.56</v>
      </c>
      <c r="N151" s="370">
        <f t="shared" si="23"/>
        <v>15</v>
      </c>
      <c r="O151" s="370">
        <f t="shared" si="24"/>
        <v>16</v>
      </c>
      <c r="P151" s="370">
        <f t="shared" si="25"/>
        <v>31</v>
      </c>
      <c r="Q151" s="371">
        <f t="shared" si="26"/>
        <v>1747684.21</v>
      </c>
    </row>
    <row r="152" spans="1:17">
      <c r="A152" s="368">
        <f t="shared" si="20"/>
        <v>141</v>
      </c>
      <c r="B152" s="388" t="s">
        <v>460</v>
      </c>
      <c r="C152" s="388" t="s">
        <v>470</v>
      </c>
      <c r="D152" s="389">
        <v>42852</v>
      </c>
      <c r="E152" s="390">
        <v>110940.91</v>
      </c>
      <c r="F152" s="389">
        <v>42852</v>
      </c>
      <c r="G152" s="389"/>
      <c r="H152" s="369">
        <f t="shared" si="21"/>
        <v>0</v>
      </c>
      <c r="I152" s="389">
        <v>42870</v>
      </c>
      <c r="J152" s="391">
        <f t="shared" si="22"/>
        <v>18</v>
      </c>
      <c r="K152" s="392">
        <f t="shared" si="18"/>
        <v>18</v>
      </c>
      <c r="L152" s="336">
        <f t="shared" si="19"/>
        <v>1996936.38</v>
      </c>
      <c r="N152" s="370">
        <f t="shared" si="23"/>
        <v>15</v>
      </c>
      <c r="O152" s="370">
        <f t="shared" si="24"/>
        <v>18</v>
      </c>
      <c r="P152" s="370">
        <f t="shared" si="25"/>
        <v>33</v>
      </c>
      <c r="Q152" s="371">
        <f t="shared" si="26"/>
        <v>3661050.0300000003</v>
      </c>
    </row>
    <row r="153" spans="1:17">
      <c r="A153" s="368">
        <f t="shared" si="20"/>
        <v>142</v>
      </c>
      <c r="B153" s="388" t="s">
        <v>460</v>
      </c>
      <c r="C153" s="388" t="s">
        <v>470</v>
      </c>
      <c r="D153" s="389">
        <v>42858</v>
      </c>
      <c r="E153" s="390">
        <v>116816.39</v>
      </c>
      <c r="F153" s="389">
        <v>42858</v>
      </c>
      <c r="G153" s="389"/>
      <c r="H153" s="369">
        <f t="shared" si="21"/>
        <v>0</v>
      </c>
      <c r="I153" s="389">
        <v>42874</v>
      </c>
      <c r="J153" s="391">
        <f t="shared" si="22"/>
        <v>16</v>
      </c>
      <c r="K153" s="392">
        <f t="shared" si="18"/>
        <v>16</v>
      </c>
      <c r="L153" s="336">
        <f t="shared" si="19"/>
        <v>1869062.24</v>
      </c>
      <c r="N153" s="370">
        <f t="shared" si="23"/>
        <v>15</v>
      </c>
      <c r="O153" s="370">
        <f t="shared" si="24"/>
        <v>16</v>
      </c>
      <c r="P153" s="370">
        <f t="shared" si="25"/>
        <v>31</v>
      </c>
      <c r="Q153" s="371">
        <f t="shared" si="26"/>
        <v>3621308.09</v>
      </c>
    </row>
    <row r="154" spans="1:17">
      <c r="A154" s="368">
        <f t="shared" si="20"/>
        <v>143</v>
      </c>
      <c r="B154" s="388" t="s">
        <v>460</v>
      </c>
      <c r="C154" s="388" t="s">
        <v>470</v>
      </c>
      <c r="D154" s="389">
        <v>42866</v>
      </c>
      <c r="E154" s="390">
        <v>105117.01000000001</v>
      </c>
      <c r="F154" s="389">
        <v>42866</v>
      </c>
      <c r="G154" s="389"/>
      <c r="H154" s="369">
        <f t="shared" si="21"/>
        <v>0</v>
      </c>
      <c r="I154" s="389">
        <v>42885</v>
      </c>
      <c r="J154" s="391">
        <f t="shared" si="22"/>
        <v>19</v>
      </c>
      <c r="K154" s="392">
        <f t="shared" si="18"/>
        <v>19</v>
      </c>
      <c r="L154" s="336">
        <f t="shared" si="19"/>
        <v>1997223.19</v>
      </c>
      <c r="N154" s="370">
        <f t="shared" si="23"/>
        <v>15</v>
      </c>
      <c r="O154" s="370">
        <f t="shared" si="24"/>
        <v>19</v>
      </c>
      <c r="P154" s="370">
        <f t="shared" si="25"/>
        <v>34</v>
      </c>
      <c r="Q154" s="371">
        <f t="shared" si="26"/>
        <v>3573978.3400000003</v>
      </c>
    </row>
    <row r="155" spans="1:17">
      <c r="A155" s="368">
        <f t="shared" si="20"/>
        <v>144</v>
      </c>
      <c r="B155" s="388" t="s">
        <v>485</v>
      </c>
      <c r="C155" s="388" t="s">
        <v>470</v>
      </c>
      <c r="D155" s="389">
        <v>42866</v>
      </c>
      <c r="E155" s="390">
        <v>53610</v>
      </c>
      <c r="F155" s="389">
        <v>42829</v>
      </c>
      <c r="G155" s="389">
        <v>42846</v>
      </c>
      <c r="H155" s="369">
        <f t="shared" si="21"/>
        <v>8.5</v>
      </c>
      <c r="I155" s="389">
        <v>42898</v>
      </c>
      <c r="J155" s="391">
        <f t="shared" si="22"/>
        <v>52</v>
      </c>
      <c r="K155" s="392">
        <f t="shared" si="18"/>
        <v>60.5</v>
      </c>
      <c r="L155" s="336">
        <f t="shared" si="19"/>
        <v>3243405</v>
      </c>
      <c r="N155" s="370">
        <f t="shared" si="23"/>
        <v>8.5</v>
      </c>
      <c r="O155" s="370">
        <f t="shared" si="24"/>
        <v>52</v>
      </c>
      <c r="P155" s="370">
        <f t="shared" si="25"/>
        <v>60.5</v>
      </c>
      <c r="Q155" s="371">
        <f t="shared" si="26"/>
        <v>3243405</v>
      </c>
    </row>
    <row r="156" spans="1:17">
      <c r="A156" s="368">
        <f t="shared" si="20"/>
        <v>145</v>
      </c>
      <c r="B156" s="388" t="s">
        <v>460</v>
      </c>
      <c r="C156" s="388" t="s">
        <v>470</v>
      </c>
      <c r="D156" s="389">
        <v>42858</v>
      </c>
      <c r="E156" s="390">
        <v>53387.199999999997</v>
      </c>
      <c r="F156" s="389">
        <v>42858</v>
      </c>
      <c r="G156" s="389"/>
      <c r="H156" s="369">
        <f t="shared" si="21"/>
        <v>0</v>
      </c>
      <c r="I156" s="389">
        <v>42874</v>
      </c>
      <c r="J156" s="391">
        <f t="shared" si="22"/>
        <v>16</v>
      </c>
      <c r="K156" s="392">
        <f t="shared" si="18"/>
        <v>16</v>
      </c>
      <c r="L156" s="336">
        <f t="shared" si="19"/>
        <v>854195.19999999995</v>
      </c>
      <c r="N156" s="370">
        <f t="shared" si="23"/>
        <v>15</v>
      </c>
      <c r="O156" s="370">
        <f t="shared" si="24"/>
        <v>16</v>
      </c>
      <c r="P156" s="370">
        <f t="shared" si="25"/>
        <v>31</v>
      </c>
      <c r="Q156" s="371">
        <f t="shared" si="26"/>
        <v>1655003.2</v>
      </c>
    </row>
    <row r="157" spans="1:17">
      <c r="A157" s="368">
        <f t="shared" si="20"/>
        <v>146</v>
      </c>
      <c r="B157" s="388" t="s">
        <v>457</v>
      </c>
      <c r="C157" s="388" t="s">
        <v>470</v>
      </c>
      <c r="D157" s="389">
        <v>42850</v>
      </c>
      <c r="E157" s="390">
        <v>54500</v>
      </c>
      <c r="F157" s="389">
        <v>42844</v>
      </c>
      <c r="G157" s="389"/>
      <c r="H157" s="369">
        <f t="shared" si="21"/>
        <v>0</v>
      </c>
      <c r="I157" s="389">
        <v>42881</v>
      </c>
      <c r="J157" s="391">
        <f t="shared" si="22"/>
        <v>37</v>
      </c>
      <c r="K157" s="392">
        <f t="shared" si="18"/>
        <v>37</v>
      </c>
      <c r="L157" s="336">
        <f t="shared" si="19"/>
        <v>2016500</v>
      </c>
      <c r="N157" s="370">
        <f t="shared" si="23"/>
        <v>15</v>
      </c>
      <c r="O157" s="370">
        <f t="shared" si="24"/>
        <v>37</v>
      </c>
      <c r="P157" s="370">
        <f t="shared" si="25"/>
        <v>52</v>
      </c>
      <c r="Q157" s="371">
        <f t="shared" si="26"/>
        <v>2834000</v>
      </c>
    </row>
    <row r="158" spans="1:17">
      <c r="A158" s="368">
        <f t="shared" si="20"/>
        <v>147</v>
      </c>
      <c r="B158" s="388" t="s">
        <v>486</v>
      </c>
      <c r="C158" s="388" t="s">
        <v>470</v>
      </c>
      <c r="D158" s="389">
        <v>42829</v>
      </c>
      <c r="E158" s="390">
        <v>276415</v>
      </c>
      <c r="F158" s="389">
        <v>42829</v>
      </c>
      <c r="G158" s="389"/>
      <c r="H158" s="369">
        <f t="shared" si="21"/>
        <v>0</v>
      </c>
      <c r="I158" s="389">
        <v>42860</v>
      </c>
      <c r="J158" s="391">
        <f t="shared" si="22"/>
        <v>31</v>
      </c>
      <c r="K158" s="392">
        <f t="shared" si="18"/>
        <v>31</v>
      </c>
      <c r="L158" s="336">
        <f t="shared" si="19"/>
        <v>8568865</v>
      </c>
      <c r="N158" s="370">
        <f t="shared" si="23"/>
        <v>15</v>
      </c>
      <c r="O158" s="370">
        <f t="shared" si="24"/>
        <v>31</v>
      </c>
      <c r="P158" s="370">
        <f t="shared" si="25"/>
        <v>46</v>
      </c>
      <c r="Q158" s="371">
        <f t="shared" si="26"/>
        <v>12715090</v>
      </c>
    </row>
    <row r="159" spans="1:17">
      <c r="A159" s="368">
        <f t="shared" si="20"/>
        <v>148</v>
      </c>
      <c r="B159" s="388" t="s">
        <v>486</v>
      </c>
      <c r="C159" s="388" t="s">
        <v>470</v>
      </c>
      <c r="D159" s="389">
        <v>42851</v>
      </c>
      <c r="E159" s="390">
        <v>221132.57</v>
      </c>
      <c r="F159" s="389">
        <v>42851</v>
      </c>
      <c r="G159" s="389"/>
      <c r="H159" s="369">
        <f t="shared" si="21"/>
        <v>0</v>
      </c>
      <c r="I159" s="389">
        <v>42885</v>
      </c>
      <c r="J159" s="391">
        <f t="shared" si="22"/>
        <v>34</v>
      </c>
      <c r="K159" s="392">
        <f t="shared" si="18"/>
        <v>34</v>
      </c>
      <c r="L159" s="336">
        <f t="shared" si="19"/>
        <v>7518507.3799999999</v>
      </c>
      <c r="N159" s="370">
        <f t="shared" si="23"/>
        <v>15</v>
      </c>
      <c r="O159" s="370">
        <f t="shared" si="24"/>
        <v>34</v>
      </c>
      <c r="P159" s="370">
        <f t="shared" si="25"/>
        <v>49</v>
      </c>
      <c r="Q159" s="371">
        <f t="shared" si="26"/>
        <v>10835495.93</v>
      </c>
    </row>
    <row r="160" spans="1:17">
      <c r="A160" s="368">
        <f t="shared" si="20"/>
        <v>149</v>
      </c>
      <c r="B160" s="388" t="s">
        <v>486</v>
      </c>
      <c r="C160" s="388" t="s">
        <v>470</v>
      </c>
      <c r="D160" s="389">
        <v>42828</v>
      </c>
      <c r="E160" s="390">
        <v>55283.15</v>
      </c>
      <c r="F160" s="389">
        <v>42828</v>
      </c>
      <c r="G160" s="389"/>
      <c r="H160" s="369">
        <f t="shared" si="21"/>
        <v>0</v>
      </c>
      <c r="I160" s="389">
        <v>42881</v>
      </c>
      <c r="J160" s="391">
        <f t="shared" si="22"/>
        <v>53</v>
      </c>
      <c r="K160" s="392">
        <f t="shared" si="18"/>
        <v>53</v>
      </c>
      <c r="L160" s="336">
        <f t="shared" si="19"/>
        <v>2930006.95</v>
      </c>
      <c r="N160" s="370">
        <f t="shared" si="23"/>
        <v>15</v>
      </c>
      <c r="O160" s="370">
        <f t="shared" si="24"/>
        <v>53</v>
      </c>
      <c r="P160" s="370">
        <f t="shared" si="25"/>
        <v>68</v>
      </c>
      <c r="Q160" s="371">
        <f t="shared" si="26"/>
        <v>3759254.2</v>
      </c>
    </row>
    <row r="161" spans="1:17">
      <c r="A161" s="368">
        <f t="shared" si="20"/>
        <v>150</v>
      </c>
      <c r="B161" s="388" t="s">
        <v>487</v>
      </c>
      <c r="C161" s="388" t="s">
        <v>470</v>
      </c>
      <c r="D161" s="389">
        <v>42731</v>
      </c>
      <c r="E161" s="390">
        <v>56852.5</v>
      </c>
      <c r="F161" s="389">
        <v>42689</v>
      </c>
      <c r="G161" s="389">
        <v>42692</v>
      </c>
      <c r="H161" s="369">
        <f t="shared" si="21"/>
        <v>1.5</v>
      </c>
      <c r="I161" s="389">
        <v>42762</v>
      </c>
      <c r="J161" s="391">
        <f t="shared" si="22"/>
        <v>70</v>
      </c>
      <c r="K161" s="392">
        <f t="shared" si="18"/>
        <v>71.5</v>
      </c>
      <c r="L161" s="336">
        <f t="shared" si="19"/>
        <v>4064953.75</v>
      </c>
      <c r="N161" s="370">
        <f t="shared" si="23"/>
        <v>1.5</v>
      </c>
      <c r="O161" s="370">
        <f t="shared" si="24"/>
        <v>70</v>
      </c>
      <c r="P161" s="370">
        <f t="shared" si="25"/>
        <v>71.5</v>
      </c>
      <c r="Q161" s="371">
        <f t="shared" si="26"/>
        <v>4064953.75</v>
      </c>
    </row>
    <row r="162" spans="1:17">
      <c r="A162" s="368">
        <f t="shared" si="20"/>
        <v>151</v>
      </c>
      <c r="B162" s="388" t="s">
        <v>488</v>
      </c>
      <c r="C162" s="388" t="s">
        <v>470</v>
      </c>
      <c r="D162" s="389">
        <v>43089</v>
      </c>
      <c r="E162" s="390">
        <v>58691.12</v>
      </c>
      <c r="F162" s="389">
        <v>43026</v>
      </c>
      <c r="G162" s="389">
        <v>43067</v>
      </c>
      <c r="H162" s="369">
        <f t="shared" si="21"/>
        <v>20.5</v>
      </c>
      <c r="I162" s="389">
        <v>43122</v>
      </c>
      <c r="J162" s="391">
        <f t="shared" si="22"/>
        <v>55</v>
      </c>
      <c r="K162" s="392">
        <f t="shared" si="18"/>
        <v>75.5</v>
      </c>
      <c r="L162" s="336">
        <f t="shared" si="19"/>
        <v>4431179.5599999996</v>
      </c>
      <c r="N162" s="370">
        <f t="shared" si="23"/>
        <v>20.5</v>
      </c>
      <c r="O162" s="370">
        <f t="shared" si="24"/>
        <v>55</v>
      </c>
      <c r="P162" s="370">
        <f t="shared" si="25"/>
        <v>75.5</v>
      </c>
      <c r="Q162" s="371">
        <f t="shared" si="26"/>
        <v>4431179.5600000005</v>
      </c>
    </row>
    <row r="163" spans="1:17">
      <c r="A163" s="368">
        <f t="shared" si="20"/>
        <v>152</v>
      </c>
      <c r="B163" s="388" t="s">
        <v>489</v>
      </c>
      <c r="C163" s="388" t="s">
        <v>470</v>
      </c>
      <c r="D163" s="389">
        <v>43066</v>
      </c>
      <c r="E163" s="390">
        <v>59644</v>
      </c>
      <c r="F163" s="389">
        <v>43048</v>
      </c>
      <c r="G163" s="389">
        <v>43058</v>
      </c>
      <c r="H163" s="369">
        <f t="shared" si="21"/>
        <v>5</v>
      </c>
      <c r="I163" s="389">
        <v>43102</v>
      </c>
      <c r="J163" s="391">
        <f t="shared" si="22"/>
        <v>44</v>
      </c>
      <c r="K163" s="392">
        <f t="shared" si="18"/>
        <v>49</v>
      </c>
      <c r="L163" s="336">
        <f t="shared" si="19"/>
        <v>2922556</v>
      </c>
      <c r="N163" s="370">
        <f t="shared" si="23"/>
        <v>5</v>
      </c>
      <c r="O163" s="370">
        <f t="shared" si="24"/>
        <v>44</v>
      </c>
      <c r="P163" s="370">
        <f t="shared" si="25"/>
        <v>49</v>
      </c>
      <c r="Q163" s="371">
        <f t="shared" si="26"/>
        <v>2922556</v>
      </c>
    </row>
    <row r="164" spans="1:17">
      <c r="A164" s="368">
        <f t="shared" si="20"/>
        <v>153</v>
      </c>
      <c r="B164" s="388" t="s">
        <v>490</v>
      </c>
      <c r="C164" s="388" t="s">
        <v>470</v>
      </c>
      <c r="D164" s="389">
        <v>42704</v>
      </c>
      <c r="E164" s="390">
        <v>57804</v>
      </c>
      <c r="F164" s="389">
        <v>42675</v>
      </c>
      <c r="G164" s="389">
        <v>42705</v>
      </c>
      <c r="H164" s="369">
        <f t="shared" si="21"/>
        <v>15</v>
      </c>
      <c r="I164" s="389">
        <v>42850</v>
      </c>
      <c r="J164" s="391">
        <f t="shared" si="22"/>
        <v>145</v>
      </c>
      <c r="K164" s="392">
        <f t="shared" si="18"/>
        <v>160</v>
      </c>
      <c r="L164" s="336">
        <f t="shared" si="19"/>
        <v>9248640</v>
      </c>
      <c r="N164" s="370">
        <f t="shared" si="23"/>
        <v>15</v>
      </c>
      <c r="O164" s="370">
        <f t="shared" si="24"/>
        <v>145</v>
      </c>
      <c r="P164" s="370">
        <f t="shared" si="25"/>
        <v>160</v>
      </c>
      <c r="Q164" s="371">
        <f t="shared" si="26"/>
        <v>9248640</v>
      </c>
    </row>
    <row r="165" spans="1:17">
      <c r="A165" s="368">
        <f t="shared" si="20"/>
        <v>154</v>
      </c>
      <c r="B165" s="388" t="s">
        <v>491</v>
      </c>
      <c r="C165" s="388" t="s">
        <v>470</v>
      </c>
      <c r="D165" s="389">
        <v>42759</v>
      </c>
      <c r="E165" s="390">
        <v>59500</v>
      </c>
      <c r="F165" s="389">
        <v>42736</v>
      </c>
      <c r="G165" s="389">
        <v>43100</v>
      </c>
      <c r="H165" s="369">
        <f t="shared" si="21"/>
        <v>182</v>
      </c>
      <c r="I165" s="389">
        <v>42795</v>
      </c>
      <c r="J165" s="391">
        <f t="shared" si="22"/>
        <v>-305</v>
      </c>
      <c r="K165" s="392">
        <f t="shared" si="18"/>
        <v>-123</v>
      </c>
      <c r="L165" s="336">
        <f t="shared" si="19"/>
        <v>-7318500</v>
      </c>
      <c r="N165" s="370">
        <f t="shared" si="23"/>
        <v>182</v>
      </c>
      <c r="O165" s="370">
        <f t="shared" si="24"/>
        <v>-305</v>
      </c>
      <c r="P165" s="370">
        <f t="shared" si="25"/>
        <v>-123</v>
      </c>
      <c r="Q165" s="371">
        <f t="shared" si="26"/>
        <v>-7318500</v>
      </c>
    </row>
    <row r="166" spans="1:17">
      <c r="A166" s="368">
        <f t="shared" si="20"/>
        <v>155</v>
      </c>
      <c r="B166" s="388" t="s">
        <v>492</v>
      </c>
      <c r="C166" s="388" t="s">
        <v>470</v>
      </c>
      <c r="D166" s="389">
        <v>42765</v>
      </c>
      <c r="E166" s="390">
        <v>3925</v>
      </c>
      <c r="F166" s="389">
        <v>42765</v>
      </c>
      <c r="G166" s="389"/>
      <c r="H166" s="369">
        <f t="shared" si="21"/>
        <v>0</v>
      </c>
      <c r="I166" s="389">
        <v>42796</v>
      </c>
      <c r="J166" s="391">
        <f t="shared" si="22"/>
        <v>31</v>
      </c>
      <c r="K166" s="392">
        <f t="shared" si="18"/>
        <v>31</v>
      </c>
      <c r="L166" s="336">
        <f t="shared" si="19"/>
        <v>121675</v>
      </c>
      <c r="N166" s="370">
        <f t="shared" si="23"/>
        <v>15</v>
      </c>
      <c r="O166" s="370">
        <f t="shared" si="24"/>
        <v>31</v>
      </c>
      <c r="P166" s="370">
        <f t="shared" si="25"/>
        <v>46</v>
      </c>
      <c r="Q166" s="371">
        <f t="shared" si="26"/>
        <v>180550</v>
      </c>
    </row>
    <row r="167" spans="1:17">
      <c r="A167" s="368">
        <f t="shared" si="20"/>
        <v>156</v>
      </c>
      <c r="B167" s="388" t="s">
        <v>493</v>
      </c>
      <c r="C167" s="388" t="s">
        <v>470</v>
      </c>
      <c r="D167" s="389">
        <v>43076</v>
      </c>
      <c r="E167" s="390">
        <v>77134</v>
      </c>
      <c r="F167" s="389">
        <v>43076</v>
      </c>
      <c r="G167" s="389"/>
      <c r="H167" s="369">
        <f t="shared" si="21"/>
        <v>0</v>
      </c>
      <c r="I167" s="389">
        <v>43108</v>
      </c>
      <c r="J167" s="391">
        <f t="shared" si="22"/>
        <v>32</v>
      </c>
      <c r="K167" s="392">
        <f t="shared" si="18"/>
        <v>32</v>
      </c>
      <c r="L167" s="336">
        <f t="shared" si="19"/>
        <v>2468288</v>
      </c>
      <c r="N167" s="370">
        <f t="shared" si="23"/>
        <v>15</v>
      </c>
      <c r="O167" s="370">
        <f t="shared" si="24"/>
        <v>32</v>
      </c>
      <c r="P167" s="370">
        <f t="shared" si="25"/>
        <v>47</v>
      </c>
      <c r="Q167" s="371">
        <f t="shared" si="26"/>
        <v>3625298</v>
      </c>
    </row>
    <row r="168" spans="1:17">
      <c r="A168" s="368">
        <f t="shared" si="20"/>
        <v>157</v>
      </c>
      <c r="B168" s="388" t="s">
        <v>474</v>
      </c>
      <c r="C168" s="388" t="s">
        <v>470</v>
      </c>
      <c r="D168" s="389">
        <v>43082</v>
      </c>
      <c r="E168" s="390">
        <v>238.3</v>
      </c>
      <c r="F168" s="389">
        <v>43082</v>
      </c>
      <c r="G168" s="389"/>
      <c r="H168" s="369">
        <f t="shared" si="21"/>
        <v>0</v>
      </c>
      <c r="I168" s="389">
        <v>43091</v>
      </c>
      <c r="J168" s="391">
        <f t="shared" si="22"/>
        <v>9</v>
      </c>
      <c r="K168" s="392">
        <f t="shared" si="18"/>
        <v>9</v>
      </c>
      <c r="L168" s="336">
        <f t="shared" si="19"/>
        <v>2144.6999999999998</v>
      </c>
      <c r="N168" s="370">
        <f t="shared" si="23"/>
        <v>15</v>
      </c>
      <c r="O168" s="370">
        <f t="shared" si="24"/>
        <v>9</v>
      </c>
      <c r="P168" s="370">
        <f t="shared" si="25"/>
        <v>24</v>
      </c>
      <c r="Q168" s="371">
        <f t="shared" si="26"/>
        <v>5719.2000000000007</v>
      </c>
    </row>
    <row r="169" spans="1:17">
      <c r="A169" s="368">
        <f t="shared" si="20"/>
        <v>158</v>
      </c>
      <c r="B169" s="388" t="s">
        <v>494</v>
      </c>
      <c r="C169" s="388" t="s">
        <v>470</v>
      </c>
      <c r="D169" s="389">
        <v>43073</v>
      </c>
      <c r="E169" s="390">
        <v>5586.4</v>
      </c>
      <c r="F169" s="389">
        <v>43073</v>
      </c>
      <c r="G169" s="389"/>
      <c r="H169" s="369">
        <f t="shared" si="21"/>
        <v>0</v>
      </c>
      <c r="I169" s="389">
        <v>43104</v>
      </c>
      <c r="J169" s="391">
        <f t="shared" si="22"/>
        <v>31</v>
      </c>
      <c r="K169" s="392">
        <f t="shared" si="18"/>
        <v>31</v>
      </c>
      <c r="L169" s="336">
        <f t="shared" si="19"/>
        <v>173178.4</v>
      </c>
      <c r="N169" s="370">
        <f t="shared" si="23"/>
        <v>15</v>
      </c>
      <c r="O169" s="370">
        <f t="shared" si="24"/>
        <v>31</v>
      </c>
      <c r="P169" s="370">
        <f t="shared" si="25"/>
        <v>46</v>
      </c>
      <c r="Q169" s="371">
        <f t="shared" si="26"/>
        <v>256974.4</v>
      </c>
    </row>
    <row r="170" spans="1:17">
      <c r="A170" s="368">
        <f t="shared" si="20"/>
        <v>159</v>
      </c>
      <c r="B170" s="388" t="s">
        <v>474</v>
      </c>
      <c r="C170" s="388" t="s">
        <v>470</v>
      </c>
      <c r="D170" s="389">
        <v>42978</v>
      </c>
      <c r="E170" s="390">
        <v>476.8</v>
      </c>
      <c r="F170" s="389">
        <v>42978</v>
      </c>
      <c r="G170" s="389"/>
      <c r="H170" s="369">
        <f t="shared" si="21"/>
        <v>0</v>
      </c>
      <c r="I170" s="389">
        <v>42989</v>
      </c>
      <c r="J170" s="391">
        <f t="shared" si="22"/>
        <v>11</v>
      </c>
      <c r="K170" s="392">
        <f t="shared" si="18"/>
        <v>11</v>
      </c>
      <c r="L170" s="336">
        <f t="shared" si="19"/>
        <v>5244.8</v>
      </c>
      <c r="N170" s="370">
        <f t="shared" si="23"/>
        <v>15</v>
      </c>
      <c r="O170" s="370">
        <f t="shared" si="24"/>
        <v>11</v>
      </c>
      <c r="P170" s="370">
        <f t="shared" si="25"/>
        <v>26</v>
      </c>
      <c r="Q170" s="371">
        <f t="shared" si="26"/>
        <v>12396.800000000001</v>
      </c>
    </row>
    <row r="171" spans="1:17">
      <c r="A171" s="368">
        <f t="shared" si="20"/>
        <v>160</v>
      </c>
      <c r="B171" s="388" t="s">
        <v>478</v>
      </c>
      <c r="C171" s="388" t="s">
        <v>470</v>
      </c>
      <c r="D171" s="389">
        <v>42999</v>
      </c>
      <c r="E171" s="390">
        <v>1401</v>
      </c>
      <c r="F171" s="389">
        <v>42999</v>
      </c>
      <c r="G171" s="389"/>
      <c r="H171" s="369">
        <f t="shared" si="21"/>
        <v>0</v>
      </c>
      <c r="I171" s="389">
        <v>43041</v>
      </c>
      <c r="J171" s="391">
        <f t="shared" si="22"/>
        <v>42</v>
      </c>
      <c r="K171" s="392">
        <f t="shared" si="18"/>
        <v>42</v>
      </c>
      <c r="L171" s="336">
        <f t="shared" si="19"/>
        <v>58842</v>
      </c>
      <c r="N171" s="370">
        <f t="shared" si="23"/>
        <v>15</v>
      </c>
      <c r="O171" s="370">
        <f t="shared" si="24"/>
        <v>42</v>
      </c>
      <c r="P171" s="370">
        <f t="shared" si="25"/>
        <v>57</v>
      </c>
      <c r="Q171" s="371">
        <f t="shared" si="26"/>
        <v>79857</v>
      </c>
    </row>
    <row r="172" spans="1:17">
      <c r="A172" s="368">
        <f t="shared" si="20"/>
        <v>161</v>
      </c>
      <c r="B172" s="388" t="s">
        <v>495</v>
      </c>
      <c r="C172" s="388" t="s">
        <v>470</v>
      </c>
      <c r="D172" s="389">
        <v>43042</v>
      </c>
      <c r="E172" s="390">
        <v>149850</v>
      </c>
      <c r="F172" s="389">
        <v>43041</v>
      </c>
      <c r="G172" s="389"/>
      <c r="H172" s="369">
        <f t="shared" si="21"/>
        <v>0</v>
      </c>
      <c r="I172" s="389">
        <v>43074</v>
      </c>
      <c r="J172" s="391">
        <f t="shared" si="22"/>
        <v>33</v>
      </c>
      <c r="K172" s="392">
        <f t="shared" si="18"/>
        <v>33</v>
      </c>
      <c r="L172" s="336">
        <f t="shared" si="19"/>
        <v>4945050</v>
      </c>
      <c r="N172" s="370">
        <f t="shared" si="23"/>
        <v>15</v>
      </c>
      <c r="O172" s="370">
        <f t="shared" si="24"/>
        <v>33</v>
      </c>
      <c r="P172" s="370">
        <f t="shared" si="25"/>
        <v>48</v>
      </c>
      <c r="Q172" s="371">
        <f t="shared" si="26"/>
        <v>7192800</v>
      </c>
    </row>
    <row r="173" spans="1:17">
      <c r="A173" s="368">
        <f t="shared" si="20"/>
        <v>162</v>
      </c>
      <c r="B173" s="388" t="s">
        <v>460</v>
      </c>
      <c r="C173" s="388" t="s">
        <v>470</v>
      </c>
      <c r="D173" s="389">
        <v>42811</v>
      </c>
      <c r="E173" s="390">
        <v>106.29</v>
      </c>
      <c r="F173" s="389">
        <v>42811</v>
      </c>
      <c r="G173" s="389"/>
      <c r="H173" s="369">
        <f t="shared" si="21"/>
        <v>0</v>
      </c>
      <c r="I173" s="389">
        <v>42828</v>
      </c>
      <c r="J173" s="391">
        <f t="shared" si="22"/>
        <v>17</v>
      </c>
      <c r="K173" s="392">
        <f t="shared" si="18"/>
        <v>17</v>
      </c>
      <c r="L173" s="336">
        <f t="shared" si="19"/>
        <v>1806.93</v>
      </c>
      <c r="N173" s="370">
        <f t="shared" si="23"/>
        <v>15</v>
      </c>
      <c r="O173" s="370">
        <f t="shared" si="24"/>
        <v>17</v>
      </c>
      <c r="P173" s="370">
        <f t="shared" si="25"/>
        <v>32</v>
      </c>
      <c r="Q173" s="371">
        <f t="shared" si="26"/>
        <v>3401.28</v>
      </c>
    </row>
    <row r="174" spans="1:17">
      <c r="A174" s="368">
        <f t="shared" si="20"/>
        <v>163</v>
      </c>
      <c r="B174" s="388" t="s">
        <v>496</v>
      </c>
      <c r="C174" s="388" t="s">
        <v>470</v>
      </c>
      <c r="D174" s="389">
        <v>42912</v>
      </c>
      <c r="E174" s="390">
        <v>86.5</v>
      </c>
      <c r="F174" s="389">
        <v>42856</v>
      </c>
      <c r="G174" s="389">
        <v>42886</v>
      </c>
      <c r="H174" s="369">
        <f t="shared" si="21"/>
        <v>15</v>
      </c>
      <c r="I174" s="389">
        <v>42943</v>
      </c>
      <c r="J174" s="391">
        <f t="shared" si="22"/>
        <v>57</v>
      </c>
      <c r="K174" s="392">
        <f t="shared" si="18"/>
        <v>72</v>
      </c>
      <c r="L174" s="336">
        <f t="shared" si="19"/>
        <v>6228</v>
      </c>
      <c r="N174" s="370">
        <f t="shared" si="23"/>
        <v>15</v>
      </c>
      <c r="O174" s="370">
        <f t="shared" si="24"/>
        <v>57</v>
      </c>
      <c r="P174" s="370">
        <f t="shared" si="25"/>
        <v>72</v>
      </c>
      <c r="Q174" s="371">
        <f t="shared" si="26"/>
        <v>6228</v>
      </c>
    </row>
    <row r="175" spans="1:17">
      <c r="A175" s="368">
        <f t="shared" si="20"/>
        <v>164</v>
      </c>
      <c r="B175" s="388" t="s">
        <v>497</v>
      </c>
      <c r="C175" s="388" t="s">
        <v>470</v>
      </c>
      <c r="D175" s="389">
        <v>43084</v>
      </c>
      <c r="E175" s="390">
        <v>57592</v>
      </c>
      <c r="F175" s="389">
        <v>43084</v>
      </c>
      <c r="G175" s="389"/>
      <c r="H175" s="369">
        <f t="shared" si="21"/>
        <v>0</v>
      </c>
      <c r="I175" s="389">
        <v>43116</v>
      </c>
      <c r="J175" s="391">
        <f t="shared" si="22"/>
        <v>32</v>
      </c>
      <c r="K175" s="392">
        <f t="shared" si="18"/>
        <v>32</v>
      </c>
      <c r="L175" s="336">
        <f t="shared" si="19"/>
        <v>1842944</v>
      </c>
      <c r="N175" s="370">
        <f t="shared" si="23"/>
        <v>15</v>
      </c>
      <c r="O175" s="370">
        <f t="shared" si="24"/>
        <v>32</v>
      </c>
      <c r="P175" s="370">
        <f t="shared" si="25"/>
        <v>47</v>
      </c>
      <c r="Q175" s="371">
        <f t="shared" si="26"/>
        <v>2706824</v>
      </c>
    </row>
    <row r="176" spans="1:17">
      <c r="A176" s="368">
        <f t="shared" si="20"/>
        <v>165</v>
      </c>
      <c r="B176" s="388" t="s">
        <v>497</v>
      </c>
      <c r="C176" s="388" t="s">
        <v>470</v>
      </c>
      <c r="D176" s="389">
        <v>43088</v>
      </c>
      <c r="E176" s="390">
        <v>73660</v>
      </c>
      <c r="F176" s="389">
        <v>42996</v>
      </c>
      <c r="G176" s="389">
        <v>43298</v>
      </c>
      <c r="H176" s="369">
        <f t="shared" si="21"/>
        <v>151</v>
      </c>
      <c r="I176" s="389">
        <v>43119</v>
      </c>
      <c r="J176" s="391">
        <f t="shared" si="22"/>
        <v>-179</v>
      </c>
      <c r="K176" s="392">
        <f t="shared" si="18"/>
        <v>-28</v>
      </c>
      <c r="L176" s="336">
        <f t="shared" si="19"/>
        <v>-2062480</v>
      </c>
      <c r="N176" s="370">
        <f t="shared" si="23"/>
        <v>151</v>
      </c>
      <c r="O176" s="370">
        <f t="shared" si="24"/>
        <v>-179</v>
      </c>
      <c r="P176" s="370">
        <f t="shared" si="25"/>
        <v>-28</v>
      </c>
      <c r="Q176" s="371">
        <f t="shared" si="26"/>
        <v>-2062480</v>
      </c>
    </row>
    <row r="177" spans="1:17">
      <c r="A177" s="368">
        <f t="shared" si="20"/>
        <v>166</v>
      </c>
      <c r="B177" s="388" t="s">
        <v>498</v>
      </c>
      <c r="C177" s="388" t="s">
        <v>470</v>
      </c>
      <c r="D177" s="389">
        <v>42674</v>
      </c>
      <c r="E177" s="390">
        <v>200</v>
      </c>
      <c r="F177" s="389">
        <v>42671</v>
      </c>
      <c r="G177" s="389"/>
      <c r="H177" s="369">
        <f t="shared" si="21"/>
        <v>0</v>
      </c>
      <c r="I177" s="389">
        <v>42705</v>
      </c>
      <c r="J177" s="391">
        <f t="shared" si="22"/>
        <v>34</v>
      </c>
      <c r="K177" s="392">
        <f t="shared" si="18"/>
        <v>34</v>
      </c>
      <c r="L177" s="336">
        <f t="shared" si="19"/>
        <v>6800</v>
      </c>
      <c r="N177" s="370">
        <f t="shared" si="23"/>
        <v>15</v>
      </c>
      <c r="O177" s="370">
        <f t="shared" si="24"/>
        <v>34</v>
      </c>
      <c r="P177" s="370">
        <f t="shared" si="25"/>
        <v>49</v>
      </c>
      <c r="Q177" s="371">
        <f t="shared" si="26"/>
        <v>9800</v>
      </c>
    </row>
    <row r="178" spans="1:17">
      <c r="A178" s="368">
        <f t="shared" si="20"/>
        <v>167</v>
      </c>
      <c r="B178" s="388" t="s">
        <v>499</v>
      </c>
      <c r="C178" s="388" t="s">
        <v>470</v>
      </c>
      <c r="D178" s="389">
        <v>42894</v>
      </c>
      <c r="E178" s="390">
        <v>48</v>
      </c>
      <c r="F178" s="389">
        <v>42894</v>
      </c>
      <c r="G178" s="389"/>
      <c r="H178" s="369">
        <f t="shared" si="21"/>
        <v>0</v>
      </c>
      <c r="I178" s="389">
        <v>42926</v>
      </c>
      <c r="J178" s="391">
        <f t="shared" si="22"/>
        <v>32</v>
      </c>
      <c r="K178" s="392">
        <f t="shared" si="18"/>
        <v>32</v>
      </c>
      <c r="L178" s="336">
        <f t="shared" si="19"/>
        <v>1536</v>
      </c>
      <c r="N178" s="370">
        <f t="shared" si="23"/>
        <v>15</v>
      </c>
      <c r="O178" s="370">
        <f t="shared" si="24"/>
        <v>32</v>
      </c>
      <c r="P178" s="370">
        <f t="shared" si="25"/>
        <v>47</v>
      </c>
      <c r="Q178" s="371">
        <f t="shared" si="26"/>
        <v>2256</v>
      </c>
    </row>
    <row r="179" spans="1:17">
      <c r="A179" s="368">
        <f t="shared" si="20"/>
        <v>168</v>
      </c>
      <c r="B179" s="388" t="s">
        <v>500</v>
      </c>
      <c r="C179" s="388" t="s">
        <v>470</v>
      </c>
      <c r="D179" s="389">
        <v>42998</v>
      </c>
      <c r="E179" s="390">
        <v>348360</v>
      </c>
      <c r="F179" s="389">
        <v>42998</v>
      </c>
      <c r="G179" s="389"/>
      <c r="H179" s="369">
        <f t="shared" si="21"/>
        <v>0</v>
      </c>
      <c r="I179" s="389">
        <v>43028</v>
      </c>
      <c r="J179" s="391">
        <f t="shared" si="22"/>
        <v>30</v>
      </c>
      <c r="K179" s="392">
        <f t="shared" si="18"/>
        <v>30</v>
      </c>
      <c r="L179" s="336">
        <f t="shared" si="19"/>
        <v>10450800</v>
      </c>
      <c r="N179" s="370">
        <f t="shared" si="23"/>
        <v>15</v>
      </c>
      <c r="O179" s="370">
        <f t="shared" si="24"/>
        <v>30</v>
      </c>
      <c r="P179" s="370">
        <f t="shared" si="25"/>
        <v>45</v>
      </c>
      <c r="Q179" s="371">
        <f t="shared" si="26"/>
        <v>15676200</v>
      </c>
    </row>
    <row r="180" spans="1:17">
      <c r="A180" s="368">
        <f t="shared" si="20"/>
        <v>169</v>
      </c>
      <c r="B180" s="388" t="s">
        <v>501</v>
      </c>
      <c r="C180" s="388" t="s">
        <v>470</v>
      </c>
      <c r="D180" s="389">
        <v>42762</v>
      </c>
      <c r="E180" s="390">
        <v>5720</v>
      </c>
      <c r="F180" s="389">
        <v>42762</v>
      </c>
      <c r="G180" s="389"/>
      <c r="H180" s="369">
        <f t="shared" si="21"/>
        <v>0</v>
      </c>
      <c r="I180" s="389">
        <v>42793</v>
      </c>
      <c r="J180" s="391">
        <f t="shared" si="22"/>
        <v>31</v>
      </c>
      <c r="K180" s="392">
        <f t="shared" si="18"/>
        <v>31</v>
      </c>
      <c r="L180" s="336">
        <f t="shared" si="19"/>
        <v>177320</v>
      </c>
      <c r="N180" s="370">
        <f t="shared" si="23"/>
        <v>15</v>
      </c>
      <c r="O180" s="370">
        <f t="shared" si="24"/>
        <v>31</v>
      </c>
      <c r="P180" s="370">
        <f t="shared" si="25"/>
        <v>46</v>
      </c>
      <c r="Q180" s="371">
        <f t="shared" si="26"/>
        <v>263120</v>
      </c>
    </row>
    <row r="181" spans="1:17">
      <c r="A181" s="368">
        <f t="shared" si="20"/>
        <v>170</v>
      </c>
      <c r="B181" s="388" t="s">
        <v>483</v>
      </c>
      <c r="C181" s="388" t="s">
        <v>470</v>
      </c>
      <c r="D181" s="389">
        <v>42954</v>
      </c>
      <c r="E181" s="390">
        <v>62003.75</v>
      </c>
      <c r="F181" s="389">
        <v>42923</v>
      </c>
      <c r="G181" s="389">
        <v>42944</v>
      </c>
      <c r="H181" s="369">
        <f t="shared" si="21"/>
        <v>10.5</v>
      </c>
      <c r="I181" s="389">
        <v>42984</v>
      </c>
      <c r="J181" s="391">
        <f t="shared" si="22"/>
        <v>40</v>
      </c>
      <c r="K181" s="392">
        <f t="shared" si="18"/>
        <v>50.5</v>
      </c>
      <c r="L181" s="336">
        <f t="shared" si="19"/>
        <v>3131189.38</v>
      </c>
      <c r="N181" s="370">
        <f t="shared" si="23"/>
        <v>10.5</v>
      </c>
      <c r="O181" s="370">
        <f t="shared" si="24"/>
        <v>40</v>
      </c>
      <c r="P181" s="370">
        <f t="shared" si="25"/>
        <v>50.5</v>
      </c>
      <c r="Q181" s="371">
        <f t="shared" si="26"/>
        <v>3131189.375</v>
      </c>
    </row>
    <row r="182" spans="1:17">
      <c r="A182" s="368">
        <f t="shared" si="20"/>
        <v>171</v>
      </c>
      <c r="B182" s="388" t="s">
        <v>483</v>
      </c>
      <c r="C182" s="388" t="s">
        <v>470</v>
      </c>
      <c r="D182" s="389">
        <v>42985</v>
      </c>
      <c r="E182" s="390">
        <v>64241.01</v>
      </c>
      <c r="F182" s="389">
        <v>42926</v>
      </c>
      <c r="G182" s="389">
        <v>42978</v>
      </c>
      <c r="H182" s="369">
        <f t="shared" si="21"/>
        <v>26</v>
      </c>
      <c r="I182" s="389">
        <v>43007</v>
      </c>
      <c r="J182" s="391">
        <f t="shared" si="22"/>
        <v>29</v>
      </c>
      <c r="K182" s="392">
        <f t="shared" si="18"/>
        <v>55</v>
      </c>
      <c r="L182" s="336">
        <f t="shared" si="19"/>
        <v>3533255.55</v>
      </c>
      <c r="N182" s="370">
        <f t="shared" si="23"/>
        <v>26</v>
      </c>
      <c r="O182" s="370">
        <f t="shared" si="24"/>
        <v>29</v>
      </c>
      <c r="P182" s="370">
        <f t="shared" si="25"/>
        <v>55</v>
      </c>
      <c r="Q182" s="371">
        <f t="shared" si="26"/>
        <v>3533255.5500000003</v>
      </c>
    </row>
    <row r="183" spans="1:17">
      <c r="A183" s="368">
        <f t="shared" si="20"/>
        <v>172</v>
      </c>
      <c r="B183" s="388" t="s">
        <v>502</v>
      </c>
      <c r="C183" s="388" t="s">
        <v>470</v>
      </c>
      <c r="D183" s="389">
        <v>43021</v>
      </c>
      <c r="E183" s="390">
        <v>34060</v>
      </c>
      <c r="F183" s="389">
        <v>43017</v>
      </c>
      <c r="G183" s="389">
        <v>43021</v>
      </c>
      <c r="H183" s="369">
        <f t="shared" si="21"/>
        <v>2</v>
      </c>
      <c r="I183" s="389">
        <v>43052</v>
      </c>
      <c r="J183" s="391">
        <f t="shared" si="22"/>
        <v>31</v>
      </c>
      <c r="K183" s="392">
        <f t="shared" si="18"/>
        <v>33</v>
      </c>
      <c r="L183" s="336">
        <f t="shared" si="19"/>
        <v>1123980</v>
      </c>
      <c r="N183" s="370">
        <f t="shared" si="23"/>
        <v>2</v>
      </c>
      <c r="O183" s="370">
        <f t="shared" si="24"/>
        <v>31</v>
      </c>
      <c r="P183" s="370">
        <f t="shared" si="25"/>
        <v>33</v>
      </c>
      <c r="Q183" s="371">
        <f t="shared" si="26"/>
        <v>1123980</v>
      </c>
    </row>
    <row r="184" spans="1:17">
      <c r="A184" s="368">
        <f t="shared" si="20"/>
        <v>173</v>
      </c>
      <c r="B184" s="388" t="s">
        <v>467</v>
      </c>
      <c r="C184" s="388" t="s">
        <v>470</v>
      </c>
      <c r="D184" s="389">
        <v>43068</v>
      </c>
      <c r="E184" s="390">
        <v>203598.36</v>
      </c>
      <c r="F184" s="389">
        <v>43009</v>
      </c>
      <c r="G184" s="389">
        <v>43039</v>
      </c>
      <c r="H184" s="369">
        <f t="shared" si="21"/>
        <v>15</v>
      </c>
      <c r="I184" s="389">
        <v>43098</v>
      </c>
      <c r="J184" s="391">
        <f t="shared" si="22"/>
        <v>59</v>
      </c>
      <c r="K184" s="392">
        <f t="shared" si="18"/>
        <v>74</v>
      </c>
      <c r="L184" s="336">
        <f t="shared" si="19"/>
        <v>15066278.640000001</v>
      </c>
      <c r="N184" s="370">
        <f t="shared" si="23"/>
        <v>15</v>
      </c>
      <c r="O184" s="370">
        <f t="shared" si="24"/>
        <v>59</v>
      </c>
      <c r="P184" s="370">
        <f t="shared" si="25"/>
        <v>74</v>
      </c>
      <c r="Q184" s="371">
        <f t="shared" si="26"/>
        <v>15066278.639999999</v>
      </c>
    </row>
    <row r="185" spans="1:17">
      <c r="A185" s="368">
        <f t="shared" si="20"/>
        <v>174</v>
      </c>
      <c r="B185" s="388" t="s">
        <v>503</v>
      </c>
      <c r="C185" s="388" t="s">
        <v>470</v>
      </c>
      <c r="D185" s="389">
        <v>43010</v>
      </c>
      <c r="E185" s="390">
        <v>67331</v>
      </c>
      <c r="F185" s="389">
        <v>43010</v>
      </c>
      <c r="G185" s="389">
        <v>43036</v>
      </c>
      <c r="H185" s="369">
        <f t="shared" si="21"/>
        <v>13</v>
      </c>
      <c r="I185" s="389">
        <v>43077</v>
      </c>
      <c r="J185" s="391">
        <f t="shared" si="22"/>
        <v>41</v>
      </c>
      <c r="K185" s="392">
        <f t="shared" si="18"/>
        <v>54</v>
      </c>
      <c r="L185" s="336">
        <f t="shared" si="19"/>
        <v>3635874</v>
      </c>
      <c r="N185" s="370">
        <f t="shared" si="23"/>
        <v>13</v>
      </c>
      <c r="O185" s="370">
        <f t="shared" si="24"/>
        <v>41</v>
      </c>
      <c r="P185" s="370">
        <f t="shared" si="25"/>
        <v>54</v>
      </c>
      <c r="Q185" s="371">
        <f t="shared" si="26"/>
        <v>3635874</v>
      </c>
    </row>
    <row r="186" spans="1:17">
      <c r="A186" s="368">
        <f t="shared" si="20"/>
        <v>175</v>
      </c>
      <c r="B186" s="388" t="s">
        <v>458</v>
      </c>
      <c r="C186" s="388" t="s">
        <v>470</v>
      </c>
      <c r="D186" s="389">
        <v>43031</v>
      </c>
      <c r="E186" s="390">
        <v>75939.37</v>
      </c>
      <c r="F186" s="389">
        <v>43031</v>
      </c>
      <c r="G186" s="389"/>
      <c r="H186" s="369">
        <f t="shared" si="21"/>
        <v>0</v>
      </c>
      <c r="I186" s="389">
        <v>43042</v>
      </c>
      <c r="J186" s="391">
        <f t="shared" si="22"/>
        <v>11</v>
      </c>
      <c r="K186" s="392">
        <f t="shared" si="18"/>
        <v>11</v>
      </c>
      <c r="L186" s="336">
        <f t="shared" si="19"/>
        <v>835333.07</v>
      </c>
      <c r="N186" s="370">
        <f t="shared" si="23"/>
        <v>15</v>
      </c>
      <c r="O186" s="370">
        <f t="shared" si="24"/>
        <v>11</v>
      </c>
      <c r="P186" s="370">
        <f t="shared" si="25"/>
        <v>26</v>
      </c>
      <c r="Q186" s="371">
        <f t="shared" si="26"/>
        <v>1974423.6199999999</v>
      </c>
    </row>
    <row r="187" spans="1:17">
      <c r="A187" s="368">
        <f t="shared" si="20"/>
        <v>176</v>
      </c>
      <c r="B187" s="388" t="s">
        <v>456</v>
      </c>
      <c r="C187" s="388" t="s">
        <v>470</v>
      </c>
      <c r="D187" s="389">
        <v>43049</v>
      </c>
      <c r="E187" s="390">
        <v>101399.4</v>
      </c>
      <c r="F187" s="389">
        <v>43019</v>
      </c>
      <c r="G187" s="389"/>
      <c r="H187" s="369">
        <f t="shared" si="21"/>
        <v>0</v>
      </c>
      <c r="I187" s="389">
        <v>43080</v>
      </c>
      <c r="J187" s="391">
        <f t="shared" si="22"/>
        <v>61</v>
      </c>
      <c r="K187" s="392">
        <f t="shared" si="18"/>
        <v>61</v>
      </c>
      <c r="L187" s="336">
        <f t="shared" si="19"/>
        <v>6185363.4000000004</v>
      </c>
      <c r="N187" s="370">
        <f t="shared" si="23"/>
        <v>15</v>
      </c>
      <c r="O187" s="370">
        <f t="shared" si="24"/>
        <v>61</v>
      </c>
      <c r="P187" s="370">
        <f t="shared" si="25"/>
        <v>76</v>
      </c>
      <c r="Q187" s="371">
        <f t="shared" si="26"/>
        <v>7706354.3999999994</v>
      </c>
    </row>
    <row r="188" spans="1:17">
      <c r="A188" s="368">
        <f t="shared" si="20"/>
        <v>177</v>
      </c>
      <c r="B188" s="388" t="s">
        <v>475</v>
      </c>
      <c r="C188" s="388" t="s">
        <v>470</v>
      </c>
      <c r="D188" s="389">
        <v>43061</v>
      </c>
      <c r="E188" s="390">
        <v>72500</v>
      </c>
      <c r="F188" s="389">
        <v>43022</v>
      </c>
      <c r="G188" s="389">
        <v>43023</v>
      </c>
      <c r="H188" s="369">
        <f t="shared" si="21"/>
        <v>0.5</v>
      </c>
      <c r="I188" s="389">
        <v>43091</v>
      </c>
      <c r="J188" s="391">
        <f t="shared" si="22"/>
        <v>68</v>
      </c>
      <c r="K188" s="392">
        <f t="shared" si="18"/>
        <v>68.5</v>
      </c>
      <c r="L188" s="336">
        <f t="shared" si="19"/>
        <v>4966250</v>
      </c>
      <c r="N188" s="370">
        <f t="shared" si="23"/>
        <v>0.5</v>
      </c>
      <c r="O188" s="370">
        <f t="shared" si="24"/>
        <v>68</v>
      </c>
      <c r="P188" s="370">
        <f t="shared" si="25"/>
        <v>68.5</v>
      </c>
      <c r="Q188" s="371">
        <f t="shared" si="26"/>
        <v>4966250</v>
      </c>
    </row>
    <row r="189" spans="1:17">
      <c r="A189" s="368">
        <f t="shared" si="20"/>
        <v>178</v>
      </c>
      <c r="B189" s="388" t="s">
        <v>460</v>
      </c>
      <c r="C189" s="388" t="s">
        <v>470</v>
      </c>
      <c r="D189" s="389">
        <v>43039</v>
      </c>
      <c r="E189" s="390">
        <v>56217.74</v>
      </c>
      <c r="F189" s="389">
        <v>43024</v>
      </c>
      <c r="G189" s="389">
        <v>43030</v>
      </c>
      <c r="H189" s="369">
        <f t="shared" si="21"/>
        <v>3</v>
      </c>
      <c r="I189" s="389">
        <v>43069</v>
      </c>
      <c r="J189" s="391">
        <f t="shared" si="22"/>
        <v>39</v>
      </c>
      <c r="K189" s="392">
        <f t="shared" si="18"/>
        <v>42</v>
      </c>
      <c r="L189" s="336">
        <f t="shared" si="19"/>
        <v>2361145.08</v>
      </c>
      <c r="N189" s="370">
        <f t="shared" si="23"/>
        <v>3</v>
      </c>
      <c r="O189" s="370">
        <f t="shared" si="24"/>
        <v>39</v>
      </c>
      <c r="P189" s="370">
        <f t="shared" si="25"/>
        <v>42</v>
      </c>
      <c r="Q189" s="371">
        <f t="shared" si="26"/>
        <v>2361145.08</v>
      </c>
    </row>
    <row r="190" spans="1:17">
      <c r="A190" s="368">
        <f t="shared" si="20"/>
        <v>179</v>
      </c>
      <c r="B190" s="388" t="s">
        <v>460</v>
      </c>
      <c r="C190" s="388" t="s">
        <v>470</v>
      </c>
      <c r="D190" s="389">
        <v>43042</v>
      </c>
      <c r="E190" s="390">
        <v>102211.84</v>
      </c>
      <c r="F190" s="389">
        <v>43031</v>
      </c>
      <c r="G190" s="389">
        <v>43037</v>
      </c>
      <c r="H190" s="369">
        <f t="shared" si="21"/>
        <v>3</v>
      </c>
      <c r="I190" s="389">
        <v>43073</v>
      </c>
      <c r="J190" s="391">
        <f t="shared" si="22"/>
        <v>36</v>
      </c>
      <c r="K190" s="392">
        <f t="shared" si="18"/>
        <v>39</v>
      </c>
      <c r="L190" s="336">
        <f t="shared" si="19"/>
        <v>3986261.76</v>
      </c>
      <c r="N190" s="370">
        <f t="shared" si="23"/>
        <v>3</v>
      </c>
      <c r="O190" s="370">
        <f t="shared" si="24"/>
        <v>36</v>
      </c>
      <c r="P190" s="370">
        <f t="shared" si="25"/>
        <v>39</v>
      </c>
      <c r="Q190" s="371">
        <f t="shared" si="26"/>
        <v>3986261.76</v>
      </c>
    </row>
    <row r="191" spans="1:17">
      <c r="A191" s="368">
        <f t="shared" si="20"/>
        <v>180</v>
      </c>
      <c r="B191" s="388" t="s">
        <v>460</v>
      </c>
      <c r="C191" s="388" t="s">
        <v>470</v>
      </c>
      <c r="D191" s="389">
        <v>43049</v>
      </c>
      <c r="E191" s="390">
        <v>66278.539999999994</v>
      </c>
      <c r="F191" s="389">
        <v>43038</v>
      </c>
      <c r="G191" s="389">
        <v>43044</v>
      </c>
      <c r="H191" s="369">
        <f t="shared" si="21"/>
        <v>3</v>
      </c>
      <c r="I191" s="389">
        <v>43080</v>
      </c>
      <c r="J191" s="391">
        <f t="shared" si="22"/>
        <v>36</v>
      </c>
      <c r="K191" s="392">
        <f t="shared" si="18"/>
        <v>39</v>
      </c>
      <c r="L191" s="336">
        <f t="shared" si="19"/>
        <v>2584863.06</v>
      </c>
      <c r="N191" s="370">
        <f t="shared" si="23"/>
        <v>3</v>
      </c>
      <c r="O191" s="370">
        <f t="shared" si="24"/>
        <v>36</v>
      </c>
      <c r="P191" s="370">
        <f t="shared" si="25"/>
        <v>39</v>
      </c>
      <c r="Q191" s="371">
        <f t="shared" si="26"/>
        <v>2584863.0599999996</v>
      </c>
    </row>
    <row r="192" spans="1:17">
      <c r="A192" s="368">
        <f t="shared" si="20"/>
        <v>181</v>
      </c>
      <c r="B192" s="388" t="s">
        <v>504</v>
      </c>
      <c r="C192" s="388" t="s">
        <v>470</v>
      </c>
      <c r="D192" s="389">
        <v>43060</v>
      </c>
      <c r="E192" s="390">
        <v>85312</v>
      </c>
      <c r="F192" s="389">
        <v>43060</v>
      </c>
      <c r="G192" s="389"/>
      <c r="H192" s="369">
        <f t="shared" si="21"/>
        <v>0</v>
      </c>
      <c r="I192" s="389">
        <v>43076</v>
      </c>
      <c r="J192" s="391">
        <f t="shared" si="22"/>
        <v>16</v>
      </c>
      <c r="K192" s="392">
        <f t="shared" si="18"/>
        <v>16</v>
      </c>
      <c r="L192" s="336">
        <f t="shared" si="19"/>
        <v>1364992</v>
      </c>
      <c r="N192" s="370">
        <f t="shared" si="23"/>
        <v>15</v>
      </c>
      <c r="O192" s="370">
        <f t="shared" si="24"/>
        <v>16</v>
      </c>
      <c r="P192" s="370">
        <f t="shared" si="25"/>
        <v>31</v>
      </c>
      <c r="Q192" s="371">
        <f t="shared" si="26"/>
        <v>2644672</v>
      </c>
    </row>
    <row r="193" spans="1:24">
      <c r="A193" s="368">
        <f t="shared" si="20"/>
        <v>182</v>
      </c>
      <c r="B193" s="388" t="s">
        <v>505</v>
      </c>
      <c r="C193" s="388" t="s">
        <v>470</v>
      </c>
      <c r="D193" s="389">
        <v>43049</v>
      </c>
      <c r="E193" s="390">
        <v>54825</v>
      </c>
      <c r="F193" s="389">
        <v>43049</v>
      </c>
      <c r="G193" s="389"/>
      <c r="H193" s="369">
        <f t="shared" si="21"/>
        <v>0</v>
      </c>
      <c r="I193" s="389">
        <v>43098</v>
      </c>
      <c r="J193" s="391">
        <f t="shared" si="22"/>
        <v>49</v>
      </c>
      <c r="K193" s="392">
        <f t="shared" si="18"/>
        <v>49</v>
      </c>
      <c r="L193" s="336">
        <f t="shared" si="19"/>
        <v>2686425</v>
      </c>
      <c r="N193" s="370">
        <f t="shared" si="23"/>
        <v>15</v>
      </c>
      <c r="O193" s="370">
        <f t="shared" si="24"/>
        <v>49</v>
      </c>
      <c r="P193" s="370">
        <f t="shared" si="25"/>
        <v>64</v>
      </c>
      <c r="Q193" s="371">
        <f t="shared" si="26"/>
        <v>3508800</v>
      </c>
    </row>
    <row r="194" spans="1:24">
      <c r="A194" s="368">
        <f t="shared" si="20"/>
        <v>183</v>
      </c>
      <c r="B194" s="388" t="s">
        <v>506</v>
      </c>
      <c r="C194" s="388" t="s">
        <v>470</v>
      </c>
      <c r="D194" s="389">
        <v>43027</v>
      </c>
      <c r="E194" s="390">
        <v>1070877</v>
      </c>
      <c r="F194" s="389">
        <v>43027</v>
      </c>
      <c r="G194" s="389"/>
      <c r="H194" s="369">
        <f t="shared" si="21"/>
        <v>0</v>
      </c>
      <c r="I194" s="389">
        <v>43073</v>
      </c>
      <c r="J194" s="391">
        <f t="shared" si="22"/>
        <v>46</v>
      </c>
      <c r="K194" s="392">
        <f t="shared" si="18"/>
        <v>46</v>
      </c>
      <c r="L194" s="336">
        <f t="shared" si="19"/>
        <v>49260342</v>
      </c>
      <c r="N194" s="370">
        <f t="shared" si="23"/>
        <v>15</v>
      </c>
      <c r="O194" s="370">
        <f t="shared" si="24"/>
        <v>46</v>
      </c>
      <c r="P194" s="370">
        <f t="shared" si="25"/>
        <v>61</v>
      </c>
      <c r="Q194" s="371">
        <f t="shared" si="26"/>
        <v>65323497</v>
      </c>
    </row>
    <row r="195" spans="1:24">
      <c r="A195" s="368">
        <f t="shared" si="20"/>
        <v>184</v>
      </c>
      <c r="B195" s="388" t="s">
        <v>506</v>
      </c>
      <c r="C195" s="388" t="s">
        <v>470</v>
      </c>
      <c r="D195" s="389">
        <v>43054</v>
      </c>
      <c r="E195" s="390">
        <v>87275</v>
      </c>
      <c r="F195" s="389">
        <v>43054</v>
      </c>
      <c r="G195" s="389"/>
      <c r="H195" s="369">
        <f t="shared" si="21"/>
        <v>0</v>
      </c>
      <c r="I195" s="389">
        <v>43098</v>
      </c>
      <c r="J195" s="391">
        <f t="shared" si="22"/>
        <v>44</v>
      </c>
      <c r="K195" s="392">
        <f t="shared" si="18"/>
        <v>44</v>
      </c>
      <c r="L195" s="336">
        <f t="shared" si="19"/>
        <v>3840100</v>
      </c>
      <c r="M195" s="26"/>
      <c r="N195" s="370">
        <f t="shared" si="23"/>
        <v>15</v>
      </c>
      <c r="O195" s="370">
        <f t="shared" si="24"/>
        <v>44</v>
      </c>
      <c r="P195" s="370">
        <f t="shared" si="25"/>
        <v>59</v>
      </c>
      <c r="Q195" s="371">
        <f t="shared" si="26"/>
        <v>5149225</v>
      </c>
      <c r="R195" s="26"/>
      <c r="S195" s="26"/>
      <c r="T195" s="26"/>
      <c r="U195" s="26"/>
      <c r="V195" s="26"/>
      <c r="W195" s="26"/>
      <c r="X195" s="26"/>
    </row>
    <row r="196" spans="1:24">
      <c r="A196" s="368">
        <f t="shared" si="20"/>
        <v>185</v>
      </c>
      <c r="B196" s="388" t="s">
        <v>506</v>
      </c>
      <c r="C196" s="388" t="s">
        <v>470</v>
      </c>
      <c r="D196" s="389">
        <v>43060</v>
      </c>
      <c r="E196" s="390">
        <v>848708.75</v>
      </c>
      <c r="F196" s="389">
        <v>43060</v>
      </c>
      <c r="G196" s="389"/>
      <c r="H196" s="369">
        <f t="shared" si="21"/>
        <v>0</v>
      </c>
      <c r="I196" s="389">
        <v>43090</v>
      </c>
      <c r="J196" s="391">
        <f t="shared" si="22"/>
        <v>30</v>
      </c>
      <c r="K196" s="392">
        <f t="shared" si="18"/>
        <v>30</v>
      </c>
      <c r="L196" s="336">
        <f t="shared" si="19"/>
        <v>25461262.5</v>
      </c>
      <c r="M196" s="26"/>
      <c r="N196" s="370">
        <f t="shared" si="23"/>
        <v>15</v>
      </c>
      <c r="O196" s="370">
        <f t="shared" si="24"/>
        <v>30</v>
      </c>
      <c r="P196" s="370">
        <f t="shared" si="25"/>
        <v>45</v>
      </c>
      <c r="Q196" s="371">
        <f t="shared" si="26"/>
        <v>38191893.75</v>
      </c>
      <c r="R196" s="26"/>
      <c r="S196" s="26"/>
      <c r="T196" s="26"/>
      <c r="U196" s="26"/>
      <c r="V196" s="26"/>
      <c r="W196" s="26"/>
      <c r="X196" s="26"/>
    </row>
    <row r="197" spans="1:24">
      <c r="A197" s="368">
        <f t="shared" si="20"/>
        <v>186</v>
      </c>
      <c r="B197" s="388" t="s">
        <v>506</v>
      </c>
      <c r="C197" s="388" t="s">
        <v>470</v>
      </c>
      <c r="D197" s="389">
        <v>43061</v>
      </c>
      <c r="E197" s="390">
        <v>75000</v>
      </c>
      <c r="F197" s="389">
        <v>43019</v>
      </c>
      <c r="G197" s="389">
        <v>43033</v>
      </c>
      <c r="H197" s="369">
        <f t="shared" si="21"/>
        <v>7</v>
      </c>
      <c r="I197" s="389">
        <v>43091</v>
      </c>
      <c r="J197" s="391">
        <f t="shared" si="22"/>
        <v>58</v>
      </c>
      <c r="K197" s="392">
        <f t="shared" si="18"/>
        <v>65</v>
      </c>
      <c r="L197" s="336">
        <f t="shared" si="19"/>
        <v>4875000</v>
      </c>
      <c r="M197" s="26"/>
      <c r="N197" s="370">
        <f t="shared" si="23"/>
        <v>7</v>
      </c>
      <c r="O197" s="370">
        <f t="shared" si="24"/>
        <v>58</v>
      </c>
      <c r="P197" s="370">
        <f t="shared" si="25"/>
        <v>65</v>
      </c>
      <c r="Q197" s="371">
        <f t="shared" si="26"/>
        <v>4875000</v>
      </c>
      <c r="R197" s="26"/>
      <c r="S197" s="26"/>
      <c r="T197" s="26"/>
      <c r="U197" s="26"/>
      <c r="V197" s="26"/>
      <c r="W197" s="26"/>
      <c r="X197" s="26"/>
    </row>
    <row r="198" spans="1:24">
      <c r="A198" s="368">
        <f t="shared" si="20"/>
        <v>187</v>
      </c>
      <c r="B198" s="388" t="s">
        <v>506</v>
      </c>
      <c r="C198" s="388" t="s">
        <v>470</v>
      </c>
      <c r="D198" s="389">
        <v>43069</v>
      </c>
      <c r="E198" s="390">
        <v>286070</v>
      </c>
      <c r="F198" s="389">
        <v>43069</v>
      </c>
      <c r="G198" s="389"/>
      <c r="H198" s="369">
        <f t="shared" si="21"/>
        <v>0</v>
      </c>
      <c r="I198" s="389">
        <v>43103</v>
      </c>
      <c r="J198" s="391">
        <f t="shared" si="22"/>
        <v>34</v>
      </c>
      <c r="K198" s="392">
        <f t="shared" si="18"/>
        <v>34</v>
      </c>
      <c r="L198" s="336">
        <f t="shared" si="19"/>
        <v>9726380</v>
      </c>
      <c r="M198" s="26"/>
      <c r="N198" s="370">
        <f t="shared" si="23"/>
        <v>15</v>
      </c>
      <c r="O198" s="370">
        <f t="shared" si="24"/>
        <v>34</v>
      </c>
      <c r="P198" s="370">
        <f t="shared" si="25"/>
        <v>49</v>
      </c>
      <c r="Q198" s="371">
        <f t="shared" si="26"/>
        <v>14017430</v>
      </c>
      <c r="R198" s="26"/>
      <c r="S198" s="26"/>
      <c r="T198" s="26"/>
      <c r="U198" s="26"/>
      <c r="V198" s="26"/>
      <c r="W198" s="26"/>
      <c r="X198" s="26"/>
    </row>
    <row r="199" spans="1:24">
      <c r="A199" s="368">
        <f t="shared" si="20"/>
        <v>188</v>
      </c>
      <c r="B199" s="388" t="s">
        <v>489</v>
      </c>
      <c r="C199" s="388" t="s">
        <v>470</v>
      </c>
      <c r="D199" s="389">
        <v>43067</v>
      </c>
      <c r="E199" s="390">
        <v>204416.9</v>
      </c>
      <c r="F199" s="389">
        <v>43028</v>
      </c>
      <c r="G199" s="389">
        <v>43061</v>
      </c>
      <c r="H199" s="369">
        <f t="shared" si="21"/>
        <v>16.5</v>
      </c>
      <c r="I199" s="389">
        <v>43097</v>
      </c>
      <c r="J199" s="391">
        <f t="shared" si="22"/>
        <v>36</v>
      </c>
      <c r="K199" s="392">
        <f t="shared" si="18"/>
        <v>52.5</v>
      </c>
      <c r="L199" s="336">
        <f t="shared" si="19"/>
        <v>10731887.25</v>
      </c>
      <c r="M199" s="26"/>
      <c r="N199" s="370">
        <f t="shared" si="23"/>
        <v>16.5</v>
      </c>
      <c r="O199" s="370">
        <f t="shared" si="24"/>
        <v>36</v>
      </c>
      <c r="P199" s="370">
        <f t="shared" si="25"/>
        <v>52.5</v>
      </c>
      <c r="Q199" s="371">
        <f t="shared" si="26"/>
        <v>10731887.25</v>
      </c>
      <c r="R199" s="26"/>
      <c r="S199" s="26"/>
      <c r="T199" s="26"/>
      <c r="U199" s="26"/>
      <c r="V199" s="26"/>
      <c r="W199" s="26"/>
      <c r="X199" s="26"/>
    </row>
    <row r="200" spans="1:24">
      <c r="A200" s="368">
        <f t="shared" si="20"/>
        <v>189</v>
      </c>
      <c r="B200" s="388" t="s">
        <v>507</v>
      </c>
      <c r="C200" s="388" t="s">
        <v>470</v>
      </c>
      <c r="D200" s="389">
        <v>43070</v>
      </c>
      <c r="E200" s="390">
        <v>450</v>
      </c>
      <c r="F200" s="389">
        <v>43070</v>
      </c>
      <c r="G200" s="389"/>
      <c r="H200" s="369">
        <f t="shared" si="21"/>
        <v>0</v>
      </c>
      <c r="I200" s="389">
        <v>43102</v>
      </c>
      <c r="J200" s="391">
        <f t="shared" si="22"/>
        <v>32</v>
      </c>
      <c r="K200" s="392">
        <f t="shared" si="18"/>
        <v>32</v>
      </c>
      <c r="L200" s="336">
        <f t="shared" si="19"/>
        <v>14400</v>
      </c>
      <c r="M200" s="26"/>
      <c r="N200" s="370">
        <f t="shared" si="23"/>
        <v>15</v>
      </c>
      <c r="O200" s="370">
        <f t="shared" si="24"/>
        <v>32</v>
      </c>
      <c r="P200" s="370">
        <f t="shared" si="25"/>
        <v>47</v>
      </c>
      <c r="Q200" s="371">
        <f t="shared" si="26"/>
        <v>21150</v>
      </c>
      <c r="R200" s="26"/>
      <c r="S200" s="26"/>
      <c r="T200" s="26"/>
      <c r="U200" s="26"/>
      <c r="V200" s="26"/>
      <c r="W200" s="26"/>
      <c r="X200" s="26"/>
    </row>
    <row r="201" spans="1:24">
      <c r="A201" s="368">
        <f t="shared" si="20"/>
        <v>190</v>
      </c>
      <c r="B201" s="388" t="s">
        <v>508</v>
      </c>
      <c r="C201" s="388" t="s">
        <v>470</v>
      </c>
      <c r="D201" s="389">
        <v>43049</v>
      </c>
      <c r="E201" s="390">
        <v>132470.94</v>
      </c>
      <c r="F201" s="389">
        <v>43049</v>
      </c>
      <c r="G201" s="389"/>
      <c r="H201" s="369">
        <f t="shared" si="21"/>
        <v>0</v>
      </c>
      <c r="I201" s="389">
        <v>43080</v>
      </c>
      <c r="J201" s="391">
        <f t="shared" si="22"/>
        <v>31</v>
      </c>
      <c r="K201" s="392">
        <f t="shared" si="18"/>
        <v>31</v>
      </c>
      <c r="L201" s="336">
        <f t="shared" si="19"/>
        <v>4106599.14</v>
      </c>
      <c r="M201" s="26"/>
      <c r="N201" s="370">
        <f t="shared" si="23"/>
        <v>15</v>
      </c>
      <c r="O201" s="370">
        <f t="shared" si="24"/>
        <v>31</v>
      </c>
      <c r="P201" s="370">
        <f t="shared" si="25"/>
        <v>46</v>
      </c>
      <c r="Q201" s="371">
        <f t="shared" si="26"/>
        <v>6093663.2400000002</v>
      </c>
      <c r="R201" s="26"/>
      <c r="S201" s="26"/>
      <c r="T201" s="26"/>
      <c r="U201" s="26"/>
      <c r="V201" s="26"/>
      <c r="W201" s="26"/>
      <c r="X201" s="26"/>
    </row>
    <row r="202" spans="1:24">
      <c r="A202" s="368">
        <f t="shared" si="20"/>
        <v>191</v>
      </c>
      <c r="B202" s="388" t="s">
        <v>458</v>
      </c>
      <c r="C202" s="388" t="s">
        <v>470</v>
      </c>
      <c r="D202" s="389">
        <v>42821</v>
      </c>
      <c r="E202" s="390">
        <v>109583.14</v>
      </c>
      <c r="F202" s="389">
        <v>42814</v>
      </c>
      <c r="G202" s="389">
        <v>42817</v>
      </c>
      <c r="H202" s="369">
        <f t="shared" si="21"/>
        <v>1.5</v>
      </c>
      <c r="I202" s="389">
        <v>42856</v>
      </c>
      <c r="J202" s="391">
        <f t="shared" si="22"/>
        <v>39</v>
      </c>
      <c r="K202" s="392">
        <f t="shared" si="18"/>
        <v>40.5</v>
      </c>
      <c r="L202" s="336">
        <f t="shared" si="19"/>
        <v>4438117.17</v>
      </c>
      <c r="M202" s="26"/>
      <c r="N202" s="370">
        <f t="shared" si="23"/>
        <v>1.5</v>
      </c>
      <c r="O202" s="370">
        <f t="shared" si="24"/>
        <v>39</v>
      </c>
      <c r="P202" s="370">
        <f t="shared" si="25"/>
        <v>40.5</v>
      </c>
      <c r="Q202" s="371">
        <f t="shared" si="26"/>
        <v>4438117.17</v>
      </c>
      <c r="R202" s="26"/>
      <c r="S202" s="26"/>
      <c r="T202" s="26"/>
      <c r="U202" s="26"/>
      <c r="V202" s="26"/>
      <c r="W202" s="26"/>
      <c r="X202" s="26"/>
    </row>
    <row r="203" spans="1:24">
      <c r="A203" s="368">
        <f t="shared" si="20"/>
        <v>192</v>
      </c>
      <c r="B203" s="388" t="s">
        <v>499</v>
      </c>
      <c r="C203" s="388" t="s">
        <v>470</v>
      </c>
      <c r="D203" s="389">
        <v>42874</v>
      </c>
      <c r="E203" s="390">
        <v>68576.31</v>
      </c>
      <c r="F203" s="389">
        <v>42874</v>
      </c>
      <c r="G203" s="389"/>
      <c r="H203" s="369">
        <f t="shared" si="21"/>
        <v>0</v>
      </c>
      <c r="I203" s="389">
        <v>42905</v>
      </c>
      <c r="J203" s="391">
        <f t="shared" si="22"/>
        <v>31</v>
      </c>
      <c r="K203" s="392">
        <f t="shared" si="18"/>
        <v>31</v>
      </c>
      <c r="L203" s="336">
        <f t="shared" si="19"/>
        <v>2125865.61</v>
      </c>
      <c r="M203" s="26"/>
      <c r="N203" s="370">
        <f t="shared" si="23"/>
        <v>15</v>
      </c>
      <c r="O203" s="370">
        <f t="shared" si="24"/>
        <v>31</v>
      </c>
      <c r="P203" s="370">
        <f t="shared" si="25"/>
        <v>46</v>
      </c>
      <c r="Q203" s="371">
        <f t="shared" si="26"/>
        <v>3154510.26</v>
      </c>
      <c r="R203" s="26"/>
      <c r="S203" s="26"/>
      <c r="T203" s="26"/>
      <c r="U203" s="26"/>
      <c r="V203" s="26"/>
      <c r="W203" s="26"/>
      <c r="X203" s="26"/>
    </row>
    <row r="204" spans="1:24">
      <c r="A204" s="368">
        <f t="shared" si="20"/>
        <v>193</v>
      </c>
      <c r="B204" s="388" t="s">
        <v>509</v>
      </c>
      <c r="C204" s="388" t="s">
        <v>470</v>
      </c>
      <c r="D204" s="389">
        <v>42811</v>
      </c>
      <c r="E204" s="390">
        <v>102593.7</v>
      </c>
      <c r="F204" s="389">
        <v>42793</v>
      </c>
      <c r="G204" s="389"/>
      <c r="H204" s="369">
        <f t="shared" si="21"/>
        <v>0</v>
      </c>
      <c r="I204" s="389">
        <v>42822</v>
      </c>
      <c r="J204" s="391">
        <f t="shared" si="22"/>
        <v>29</v>
      </c>
      <c r="K204" s="392">
        <f t="shared" ref="K204:K267" si="27">H204+J204</f>
        <v>29</v>
      </c>
      <c r="L204" s="336">
        <f t="shared" ref="L204:L267" si="28">ROUND(E204*K204,2)</f>
        <v>2975217.3</v>
      </c>
      <c r="M204" s="26"/>
      <c r="N204" s="370">
        <f t="shared" si="23"/>
        <v>15</v>
      </c>
      <c r="O204" s="370">
        <f t="shared" si="24"/>
        <v>29</v>
      </c>
      <c r="P204" s="370">
        <f t="shared" si="25"/>
        <v>44</v>
      </c>
      <c r="Q204" s="371">
        <f t="shared" si="26"/>
        <v>4514122.8</v>
      </c>
      <c r="R204" s="26"/>
      <c r="S204" s="26"/>
      <c r="T204" s="26"/>
      <c r="U204" s="26"/>
      <c r="V204" s="26"/>
      <c r="W204" s="26"/>
      <c r="X204" s="26"/>
    </row>
    <row r="205" spans="1:24">
      <c r="A205" s="368">
        <f t="shared" ref="A205:A268" si="29">A204+1</f>
        <v>194</v>
      </c>
      <c r="B205" s="388" t="s">
        <v>510</v>
      </c>
      <c r="C205" s="388" t="s">
        <v>470</v>
      </c>
      <c r="D205" s="389">
        <v>42818</v>
      </c>
      <c r="E205" s="390">
        <v>8945</v>
      </c>
      <c r="F205" s="389">
        <v>42807</v>
      </c>
      <c r="G205" s="389">
        <v>42812</v>
      </c>
      <c r="H205" s="369">
        <f t="shared" ref="H205:H268" si="30">IF(G205="",0,(G205-F205)/2)</f>
        <v>2.5</v>
      </c>
      <c r="I205" s="389">
        <v>42830</v>
      </c>
      <c r="J205" s="391">
        <f t="shared" ref="J205:J268" si="31">IF(G205="",I205-F205,I205-G205)</f>
        <v>18</v>
      </c>
      <c r="K205" s="392">
        <f t="shared" si="27"/>
        <v>20.5</v>
      </c>
      <c r="L205" s="336">
        <f t="shared" si="28"/>
        <v>183372.5</v>
      </c>
      <c r="M205" s="26"/>
      <c r="N205" s="370">
        <f t="shared" ref="N205:N268" si="32">IF(G205="",30/2,H205)</f>
        <v>2.5</v>
      </c>
      <c r="O205" s="370">
        <f t="shared" ref="O205:O268" si="33">J205</f>
        <v>18</v>
      </c>
      <c r="P205" s="370">
        <f t="shared" ref="P205:P268" si="34">N205+O205</f>
        <v>20.5</v>
      </c>
      <c r="Q205" s="371">
        <f t="shared" ref="Q205:Q268" si="35">E205*P205</f>
        <v>183372.5</v>
      </c>
      <c r="R205" s="26"/>
      <c r="S205" s="26"/>
      <c r="T205" s="26"/>
      <c r="U205" s="26"/>
      <c r="V205" s="26"/>
      <c r="W205" s="26"/>
      <c r="X205" s="26"/>
    </row>
    <row r="206" spans="1:24">
      <c r="A206" s="368">
        <f t="shared" si="29"/>
        <v>195</v>
      </c>
      <c r="B206" s="388" t="s">
        <v>491</v>
      </c>
      <c r="C206" s="388" t="s">
        <v>470</v>
      </c>
      <c r="D206" s="389">
        <v>42926</v>
      </c>
      <c r="E206" s="390">
        <v>270000</v>
      </c>
      <c r="F206" s="389">
        <v>42926</v>
      </c>
      <c r="G206" s="389"/>
      <c r="H206" s="369">
        <f t="shared" si="30"/>
        <v>0</v>
      </c>
      <c r="I206" s="389">
        <v>42958</v>
      </c>
      <c r="J206" s="391">
        <f t="shared" si="31"/>
        <v>32</v>
      </c>
      <c r="K206" s="392">
        <f t="shared" si="27"/>
        <v>32</v>
      </c>
      <c r="L206" s="336">
        <f t="shared" si="28"/>
        <v>8640000</v>
      </c>
      <c r="M206" s="26"/>
      <c r="N206" s="370">
        <f t="shared" si="32"/>
        <v>15</v>
      </c>
      <c r="O206" s="370">
        <f t="shared" si="33"/>
        <v>32</v>
      </c>
      <c r="P206" s="370">
        <f t="shared" si="34"/>
        <v>47</v>
      </c>
      <c r="Q206" s="371">
        <f t="shared" si="35"/>
        <v>12690000</v>
      </c>
      <c r="R206" s="26"/>
      <c r="S206" s="26"/>
      <c r="T206" s="26"/>
      <c r="U206" s="26"/>
      <c r="V206" s="26"/>
      <c r="W206" s="26"/>
      <c r="X206" s="26"/>
    </row>
    <row r="207" spans="1:24">
      <c r="A207" s="368">
        <f t="shared" si="29"/>
        <v>196</v>
      </c>
      <c r="B207" s="388" t="s">
        <v>511</v>
      </c>
      <c r="C207" s="388" t="s">
        <v>470</v>
      </c>
      <c r="D207" s="389">
        <v>42793</v>
      </c>
      <c r="E207" s="390">
        <v>346.89</v>
      </c>
      <c r="F207" s="389">
        <v>42782</v>
      </c>
      <c r="G207" s="389">
        <v>42783</v>
      </c>
      <c r="H207" s="369">
        <f t="shared" si="30"/>
        <v>0.5</v>
      </c>
      <c r="I207" s="389">
        <v>42879</v>
      </c>
      <c r="J207" s="391">
        <f t="shared" si="31"/>
        <v>96</v>
      </c>
      <c r="K207" s="392">
        <f t="shared" si="27"/>
        <v>96.5</v>
      </c>
      <c r="L207" s="336">
        <f t="shared" si="28"/>
        <v>33474.89</v>
      </c>
      <c r="M207" s="26"/>
      <c r="N207" s="370">
        <f t="shared" si="32"/>
        <v>0.5</v>
      </c>
      <c r="O207" s="370">
        <f t="shared" si="33"/>
        <v>96</v>
      </c>
      <c r="P207" s="370">
        <f t="shared" si="34"/>
        <v>96.5</v>
      </c>
      <c r="Q207" s="371">
        <f t="shared" si="35"/>
        <v>33474.885000000002</v>
      </c>
      <c r="R207" s="26"/>
      <c r="S207" s="26"/>
      <c r="T207" s="26"/>
      <c r="U207" s="26"/>
      <c r="V207" s="26"/>
      <c r="W207" s="26"/>
      <c r="X207" s="26"/>
    </row>
    <row r="208" spans="1:24">
      <c r="A208" s="368">
        <f t="shared" si="29"/>
        <v>197</v>
      </c>
      <c r="B208" s="388" t="s">
        <v>511</v>
      </c>
      <c r="C208" s="388" t="s">
        <v>470</v>
      </c>
      <c r="D208" s="389">
        <v>42793</v>
      </c>
      <c r="E208" s="390">
        <v>346.89</v>
      </c>
      <c r="F208" s="389">
        <v>42787</v>
      </c>
      <c r="G208" s="389"/>
      <c r="H208" s="369">
        <f t="shared" si="30"/>
        <v>0</v>
      </c>
      <c r="I208" s="389">
        <v>42879</v>
      </c>
      <c r="J208" s="391">
        <f t="shared" si="31"/>
        <v>92</v>
      </c>
      <c r="K208" s="392">
        <f t="shared" si="27"/>
        <v>92</v>
      </c>
      <c r="L208" s="336">
        <f t="shared" si="28"/>
        <v>31913.88</v>
      </c>
      <c r="M208" s="26"/>
      <c r="N208" s="370">
        <f t="shared" si="32"/>
        <v>15</v>
      </c>
      <c r="O208" s="370">
        <f t="shared" si="33"/>
        <v>92</v>
      </c>
      <c r="P208" s="370">
        <f t="shared" si="34"/>
        <v>107</v>
      </c>
      <c r="Q208" s="371">
        <f t="shared" si="35"/>
        <v>37117.229999999996</v>
      </c>
      <c r="R208" s="26"/>
      <c r="S208" s="26"/>
      <c r="T208" s="26"/>
      <c r="U208" s="26"/>
      <c r="V208" s="26"/>
      <c r="W208" s="26"/>
      <c r="X208" s="26"/>
    </row>
    <row r="209" spans="1:24">
      <c r="A209" s="368">
        <f t="shared" si="29"/>
        <v>198</v>
      </c>
      <c r="B209" s="388" t="s">
        <v>512</v>
      </c>
      <c r="C209" s="388" t="s">
        <v>470</v>
      </c>
      <c r="D209" s="389">
        <v>42815</v>
      </c>
      <c r="E209" s="390">
        <v>56932.5</v>
      </c>
      <c r="F209" s="389">
        <v>42768</v>
      </c>
      <c r="G209" s="389">
        <v>42776</v>
      </c>
      <c r="H209" s="369">
        <f t="shared" si="30"/>
        <v>4</v>
      </c>
      <c r="I209" s="389">
        <v>42845</v>
      </c>
      <c r="J209" s="391">
        <f t="shared" si="31"/>
        <v>69</v>
      </c>
      <c r="K209" s="392">
        <f t="shared" si="27"/>
        <v>73</v>
      </c>
      <c r="L209" s="336">
        <f t="shared" si="28"/>
        <v>4156072.5</v>
      </c>
      <c r="M209" s="26"/>
      <c r="N209" s="370">
        <f t="shared" si="32"/>
        <v>4</v>
      </c>
      <c r="O209" s="370">
        <f t="shared" si="33"/>
        <v>69</v>
      </c>
      <c r="P209" s="370">
        <f t="shared" si="34"/>
        <v>73</v>
      </c>
      <c r="Q209" s="371">
        <f t="shared" si="35"/>
        <v>4156072.5</v>
      </c>
      <c r="R209" s="26"/>
      <c r="S209" s="26"/>
      <c r="T209" s="26"/>
      <c r="U209" s="26"/>
      <c r="V209" s="26"/>
      <c r="W209" s="26"/>
      <c r="X209" s="26"/>
    </row>
    <row r="210" spans="1:24">
      <c r="A210" s="368">
        <f t="shared" si="29"/>
        <v>199</v>
      </c>
      <c r="B210" s="388" t="s">
        <v>512</v>
      </c>
      <c r="C210" s="388" t="s">
        <v>513</v>
      </c>
      <c r="D210" s="389">
        <v>42845</v>
      </c>
      <c r="E210" s="390">
        <v>60000</v>
      </c>
      <c r="F210" s="389">
        <v>42802</v>
      </c>
      <c r="G210" s="389">
        <v>42811</v>
      </c>
      <c r="H210" s="369">
        <f t="shared" si="30"/>
        <v>4.5</v>
      </c>
      <c r="I210" s="389">
        <v>42877</v>
      </c>
      <c r="J210" s="391">
        <f t="shared" si="31"/>
        <v>66</v>
      </c>
      <c r="K210" s="392">
        <f t="shared" si="27"/>
        <v>70.5</v>
      </c>
      <c r="L210" s="336">
        <f t="shared" si="28"/>
        <v>4230000</v>
      </c>
      <c r="M210" s="26"/>
      <c r="N210" s="370">
        <f t="shared" si="32"/>
        <v>4.5</v>
      </c>
      <c r="O210" s="370">
        <f t="shared" si="33"/>
        <v>66</v>
      </c>
      <c r="P210" s="370">
        <f t="shared" si="34"/>
        <v>70.5</v>
      </c>
      <c r="Q210" s="371">
        <f t="shared" si="35"/>
        <v>4230000</v>
      </c>
      <c r="R210" s="26"/>
      <c r="S210" s="26"/>
      <c r="T210" s="26"/>
      <c r="U210" s="26"/>
      <c r="V210" s="26"/>
      <c r="W210" s="26"/>
      <c r="X210" s="26"/>
    </row>
    <row r="211" spans="1:24">
      <c r="A211" s="368">
        <f t="shared" si="29"/>
        <v>200</v>
      </c>
      <c r="B211" s="388" t="s">
        <v>514</v>
      </c>
      <c r="C211" s="388" t="s">
        <v>515</v>
      </c>
      <c r="D211" s="389">
        <v>42769</v>
      </c>
      <c r="E211" s="390">
        <v>125331.44</v>
      </c>
      <c r="F211" s="389">
        <v>42736</v>
      </c>
      <c r="G211" s="389">
        <v>42763</v>
      </c>
      <c r="H211" s="369">
        <f t="shared" si="30"/>
        <v>13.5</v>
      </c>
      <c r="I211" s="389">
        <v>42800</v>
      </c>
      <c r="J211" s="391">
        <f t="shared" si="31"/>
        <v>37</v>
      </c>
      <c r="K211" s="392">
        <f t="shared" si="27"/>
        <v>50.5</v>
      </c>
      <c r="L211" s="336">
        <f t="shared" si="28"/>
        <v>6329237.7199999997</v>
      </c>
      <c r="M211" s="26"/>
      <c r="N211" s="370">
        <f t="shared" si="32"/>
        <v>13.5</v>
      </c>
      <c r="O211" s="370">
        <f t="shared" si="33"/>
        <v>37</v>
      </c>
      <c r="P211" s="370">
        <f t="shared" si="34"/>
        <v>50.5</v>
      </c>
      <c r="Q211" s="371">
        <f t="shared" si="35"/>
        <v>6329237.7199999997</v>
      </c>
      <c r="R211" s="26"/>
      <c r="S211" s="26"/>
      <c r="T211" s="26"/>
      <c r="U211" s="26"/>
      <c r="V211" s="26"/>
      <c r="W211" s="26"/>
      <c r="X211" s="26"/>
    </row>
    <row r="212" spans="1:24">
      <c r="A212" s="368">
        <f t="shared" si="29"/>
        <v>201</v>
      </c>
      <c r="B212" s="388" t="s">
        <v>451</v>
      </c>
      <c r="C212" s="388" t="s">
        <v>515</v>
      </c>
      <c r="D212" s="389">
        <v>42773</v>
      </c>
      <c r="E212" s="390">
        <v>193801.58</v>
      </c>
      <c r="F212" s="389">
        <v>42736</v>
      </c>
      <c r="G212" s="389">
        <v>42763</v>
      </c>
      <c r="H212" s="369">
        <f t="shared" si="30"/>
        <v>13.5</v>
      </c>
      <c r="I212" s="389">
        <v>42804</v>
      </c>
      <c r="J212" s="391">
        <f t="shared" si="31"/>
        <v>41</v>
      </c>
      <c r="K212" s="392">
        <f t="shared" si="27"/>
        <v>54.5</v>
      </c>
      <c r="L212" s="336">
        <f t="shared" si="28"/>
        <v>10562186.109999999</v>
      </c>
      <c r="M212" s="26"/>
      <c r="N212" s="370">
        <f t="shared" si="32"/>
        <v>13.5</v>
      </c>
      <c r="O212" s="370">
        <f t="shared" si="33"/>
        <v>41</v>
      </c>
      <c r="P212" s="370">
        <f t="shared" si="34"/>
        <v>54.5</v>
      </c>
      <c r="Q212" s="371">
        <f t="shared" si="35"/>
        <v>10562186.109999999</v>
      </c>
      <c r="R212" s="26"/>
      <c r="S212" s="26"/>
      <c r="T212" s="26"/>
      <c r="U212" s="26"/>
      <c r="V212" s="26"/>
      <c r="W212" s="26"/>
      <c r="X212" s="26"/>
    </row>
    <row r="213" spans="1:24">
      <c r="A213" s="368">
        <f t="shared" si="29"/>
        <v>202</v>
      </c>
      <c r="B213" s="388" t="s">
        <v>451</v>
      </c>
      <c r="C213" s="388" t="s">
        <v>515</v>
      </c>
      <c r="D213" s="389">
        <v>42797</v>
      </c>
      <c r="E213" s="390">
        <v>162752.57</v>
      </c>
      <c r="F213" s="389">
        <v>42764</v>
      </c>
      <c r="G213" s="389">
        <v>42791</v>
      </c>
      <c r="H213" s="369">
        <f t="shared" si="30"/>
        <v>13.5</v>
      </c>
      <c r="I213" s="389">
        <v>42829</v>
      </c>
      <c r="J213" s="391">
        <f t="shared" si="31"/>
        <v>38</v>
      </c>
      <c r="K213" s="392">
        <f t="shared" si="27"/>
        <v>51.5</v>
      </c>
      <c r="L213" s="336">
        <f t="shared" si="28"/>
        <v>8381757.3600000003</v>
      </c>
      <c r="M213" s="26"/>
      <c r="N213" s="370">
        <f t="shared" si="32"/>
        <v>13.5</v>
      </c>
      <c r="O213" s="370">
        <f t="shared" si="33"/>
        <v>38</v>
      </c>
      <c r="P213" s="370">
        <f t="shared" si="34"/>
        <v>51.5</v>
      </c>
      <c r="Q213" s="371">
        <f t="shared" si="35"/>
        <v>8381757.3550000004</v>
      </c>
      <c r="R213" s="26"/>
      <c r="S213" s="26"/>
      <c r="T213" s="26"/>
      <c r="U213" s="26"/>
      <c r="V213" s="26"/>
      <c r="W213" s="26"/>
      <c r="X213" s="26"/>
    </row>
    <row r="214" spans="1:24">
      <c r="A214" s="368">
        <f t="shared" si="29"/>
        <v>203</v>
      </c>
      <c r="B214" s="388" t="s">
        <v>514</v>
      </c>
      <c r="C214" s="388" t="s">
        <v>515</v>
      </c>
      <c r="D214" s="389">
        <v>42796</v>
      </c>
      <c r="E214" s="390">
        <v>152554.89000000001</v>
      </c>
      <c r="F214" s="389">
        <v>42764</v>
      </c>
      <c r="G214" s="389">
        <v>42791</v>
      </c>
      <c r="H214" s="369">
        <f t="shared" si="30"/>
        <v>13.5</v>
      </c>
      <c r="I214" s="389">
        <v>42828</v>
      </c>
      <c r="J214" s="391">
        <f t="shared" si="31"/>
        <v>37</v>
      </c>
      <c r="K214" s="392">
        <f t="shared" si="27"/>
        <v>50.5</v>
      </c>
      <c r="L214" s="336">
        <f t="shared" si="28"/>
        <v>7704021.9500000002</v>
      </c>
      <c r="M214" s="26"/>
      <c r="N214" s="370">
        <f t="shared" si="32"/>
        <v>13.5</v>
      </c>
      <c r="O214" s="370">
        <f t="shared" si="33"/>
        <v>37</v>
      </c>
      <c r="P214" s="370">
        <f t="shared" si="34"/>
        <v>50.5</v>
      </c>
      <c r="Q214" s="371">
        <f t="shared" si="35"/>
        <v>7704021.9450000003</v>
      </c>
      <c r="R214" s="26"/>
      <c r="S214" s="26"/>
      <c r="T214" s="26"/>
      <c r="U214" s="26"/>
      <c r="V214" s="26"/>
      <c r="W214" s="26"/>
      <c r="X214" s="26"/>
    </row>
    <row r="215" spans="1:24">
      <c r="A215" s="368">
        <f t="shared" si="29"/>
        <v>204</v>
      </c>
      <c r="B215" s="388" t="s">
        <v>451</v>
      </c>
      <c r="C215" s="388" t="s">
        <v>515</v>
      </c>
      <c r="D215" s="389">
        <v>42832</v>
      </c>
      <c r="E215" s="390">
        <v>196772.1</v>
      </c>
      <c r="F215" s="389">
        <v>42792</v>
      </c>
      <c r="G215" s="389">
        <v>42826</v>
      </c>
      <c r="H215" s="369">
        <f t="shared" si="30"/>
        <v>17</v>
      </c>
      <c r="I215" s="389">
        <v>42863</v>
      </c>
      <c r="J215" s="391">
        <f t="shared" si="31"/>
        <v>37</v>
      </c>
      <c r="K215" s="392">
        <f t="shared" si="27"/>
        <v>54</v>
      </c>
      <c r="L215" s="336">
        <f t="shared" si="28"/>
        <v>10625693.4</v>
      </c>
      <c r="M215" s="26"/>
      <c r="N215" s="370">
        <f t="shared" si="32"/>
        <v>17</v>
      </c>
      <c r="O215" s="370">
        <f t="shared" si="33"/>
        <v>37</v>
      </c>
      <c r="P215" s="370">
        <f t="shared" si="34"/>
        <v>54</v>
      </c>
      <c r="Q215" s="371">
        <f t="shared" si="35"/>
        <v>10625693.4</v>
      </c>
      <c r="R215" s="26"/>
      <c r="S215" s="26"/>
      <c r="T215" s="26"/>
      <c r="U215" s="26"/>
      <c r="V215" s="26"/>
      <c r="W215" s="26"/>
      <c r="X215" s="26"/>
    </row>
    <row r="216" spans="1:24">
      <c r="A216" s="368">
        <f t="shared" si="29"/>
        <v>205</v>
      </c>
      <c r="B216" s="388" t="s">
        <v>514</v>
      </c>
      <c r="C216" s="388" t="s">
        <v>515</v>
      </c>
      <c r="D216" s="389">
        <v>42831</v>
      </c>
      <c r="E216" s="390">
        <v>153651.85</v>
      </c>
      <c r="F216" s="389">
        <v>42792</v>
      </c>
      <c r="G216" s="389">
        <v>42826</v>
      </c>
      <c r="H216" s="369">
        <f t="shared" si="30"/>
        <v>17</v>
      </c>
      <c r="I216" s="389">
        <v>42863</v>
      </c>
      <c r="J216" s="391">
        <f t="shared" si="31"/>
        <v>37</v>
      </c>
      <c r="K216" s="392">
        <f t="shared" si="27"/>
        <v>54</v>
      </c>
      <c r="L216" s="336">
        <f t="shared" si="28"/>
        <v>8297199.9000000004</v>
      </c>
      <c r="M216" s="26"/>
      <c r="N216" s="370">
        <f t="shared" si="32"/>
        <v>17</v>
      </c>
      <c r="O216" s="370">
        <f t="shared" si="33"/>
        <v>37</v>
      </c>
      <c r="P216" s="370">
        <f t="shared" si="34"/>
        <v>54</v>
      </c>
      <c r="Q216" s="371">
        <f t="shared" si="35"/>
        <v>8297199.9000000004</v>
      </c>
      <c r="R216" s="26"/>
      <c r="S216" s="26"/>
      <c r="T216" s="26"/>
      <c r="U216" s="26"/>
      <c r="V216" s="26"/>
      <c r="W216" s="26"/>
      <c r="X216" s="26"/>
    </row>
    <row r="217" spans="1:24">
      <c r="A217" s="368">
        <f t="shared" si="29"/>
        <v>206</v>
      </c>
      <c r="B217" s="388" t="s">
        <v>451</v>
      </c>
      <c r="C217" s="388" t="s">
        <v>515</v>
      </c>
      <c r="D217" s="389">
        <v>42860</v>
      </c>
      <c r="E217" s="390">
        <v>153035.57999999999</v>
      </c>
      <c r="F217" s="389">
        <v>42827</v>
      </c>
      <c r="G217" s="389">
        <v>42854</v>
      </c>
      <c r="H217" s="369">
        <f t="shared" si="30"/>
        <v>13.5</v>
      </c>
      <c r="I217" s="389">
        <v>42892</v>
      </c>
      <c r="J217" s="391">
        <f t="shared" si="31"/>
        <v>38</v>
      </c>
      <c r="K217" s="392">
        <f t="shared" si="27"/>
        <v>51.5</v>
      </c>
      <c r="L217" s="336">
        <f t="shared" si="28"/>
        <v>7881332.3700000001</v>
      </c>
      <c r="M217" s="26"/>
      <c r="N217" s="370">
        <f t="shared" si="32"/>
        <v>13.5</v>
      </c>
      <c r="O217" s="370">
        <f t="shared" si="33"/>
        <v>38</v>
      </c>
      <c r="P217" s="370">
        <f t="shared" si="34"/>
        <v>51.5</v>
      </c>
      <c r="Q217" s="371">
        <f t="shared" si="35"/>
        <v>7881332.3699999992</v>
      </c>
      <c r="R217" s="26"/>
      <c r="S217" s="26"/>
      <c r="T217" s="26"/>
      <c r="U217" s="26"/>
      <c r="V217" s="26"/>
      <c r="W217" s="26"/>
      <c r="X217" s="26"/>
    </row>
    <row r="218" spans="1:24">
      <c r="A218" s="368">
        <f t="shared" si="29"/>
        <v>207</v>
      </c>
      <c r="B218" s="388" t="s">
        <v>514</v>
      </c>
      <c r="C218" s="388" t="s">
        <v>515</v>
      </c>
      <c r="D218" s="389">
        <v>42859</v>
      </c>
      <c r="E218" s="390">
        <v>143478.13</v>
      </c>
      <c r="F218" s="389">
        <v>42827</v>
      </c>
      <c r="G218" s="389">
        <v>42854</v>
      </c>
      <c r="H218" s="369">
        <f t="shared" si="30"/>
        <v>13.5</v>
      </c>
      <c r="I218" s="389">
        <v>42891</v>
      </c>
      <c r="J218" s="391">
        <f t="shared" si="31"/>
        <v>37</v>
      </c>
      <c r="K218" s="392">
        <f t="shared" si="27"/>
        <v>50.5</v>
      </c>
      <c r="L218" s="336">
        <f t="shared" si="28"/>
        <v>7245645.5700000003</v>
      </c>
      <c r="M218" s="26"/>
      <c r="N218" s="370">
        <f t="shared" si="32"/>
        <v>13.5</v>
      </c>
      <c r="O218" s="370">
        <f t="shared" si="33"/>
        <v>37</v>
      </c>
      <c r="P218" s="370">
        <f t="shared" si="34"/>
        <v>50.5</v>
      </c>
      <c r="Q218" s="371">
        <f t="shared" si="35"/>
        <v>7245645.5650000004</v>
      </c>
      <c r="R218" s="26"/>
      <c r="S218" s="26"/>
      <c r="T218" s="26"/>
      <c r="U218" s="26"/>
      <c r="V218" s="26"/>
      <c r="W218" s="26"/>
      <c r="X218" s="26"/>
    </row>
    <row r="219" spans="1:24">
      <c r="A219" s="368">
        <f t="shared" si="29"/>
        <v>208</v>
      </c>
      <c r="B219" s="388" t="s">
        <v>451</v>
      </c>
      <c r="C219" s="388" t="s">
        <v>515</v>
      </c>
      <c r="D219" s="389">
        <v>42894</v>
      </c>
      <c r="E219" s="390">
        <v>203259.8</v>
      </c>
      <c r="F219" s="389">
        <v>42855</v>
      </c>
      <c r="G219" s="389">
        <v>42889</v>
      </c>
      <c r="H219" s="369">
        <f t="shared" si="30"/>
        <v>17</v>
      </c>
      <c r="I219" s="389">
        <v>42926</v>
      </c>
      <c r="J219" s="391">
        <f t="shared" si="31"/>
        <v>37</v>
      </c>
      <c r="K219" s="392">
        <f t="shared" si="27"/>
        <v>54</v>
      </c>
      <c r="L219" s="336">
        <f t="shared" si="28"/>
        <v>10976029.199999999</v>
      </c>
      <c r="M219" s="26"/>
      <c r="N219" s="370">
        <f t="shared" si="32"/>
        <v>17</v>
      </c>
      <c r="O219" s="370">
        <f t="shared" si="33"/>
        <v>37</v>
      </c>
      <c r="P219" s="370">
        <f t="shared" si="34"/>
        <v>54</v>
      </c>
      <c r="Q219" s="371">
        <f t="shared" si="35"/>
        <v>10976029.199999999</v>
      </c>
      <c r="R219" s="26"/>
      <c r="S219" s="26"/>
      <c r="T219" s="26"/>
      <c r="U219" s="26"/>
      <c r="V219" s="26"/>
      <c r="W219" s="26"/>
      <c r="X219" s="26"/>
    </row>
    <row r="220" spans="1:24">
      <c r="A220" s="368">
        <f t="shared" si="29"/>
        <v>209</v>
      </c>
      <c r="B220" s="388" t="s">
        <v>514</v>
      </c>
      <c r="C220" s="388" t="s">
        <v>515</v>
      </c>
      <c r="D220" s="389">
        <v>42893</v>
      </c>
      <c r="E220" s="390">
        <v>148024.31</v>
      </c>
      <c r="F220" s="389">
        <v>42855</v>
      </c>
      <c r="G220" s="389">
        <v>42889</v>
      </c>
      <c r="H220" s="369">
        <f t="shared" si="30"/>
        <v>17</v>
      </c>
      <c r="I220" s="389">
        <v>42929</v>
      </c>
      <c r="J220" s="391">
        <f t="shared" si="31"/>
        <v>40</v>
      </c>
      <c r="K220" s="392">
        <f t="shared" si="27"/>
        <v>57</v>
      </c>
      <c r="L220" s="336">
        <f t="shared" si="28"/>
        <v>8437385.6699999999</v>
      </c>
      <c r="M220" s="26"/>
      <c r="N220" s="370">
        <f t="shared" si="32"/>
        <v>17</v>
      </c>
      <c r="O220" s="370">
        <f t="shared" si="33"/>
        <v>40</v>
      </c>
      <c r="P220" s="370">
        <f t="shared" si="34"/>
        <v>57</v>
      </c>
      <c r="Q220" s="371">
        <f t="shared" si="35"/>
        <v>8437385.6699999999</v>
      </c>
      <c r="R220" s="26"/>
      <c r="S220" s="26"/>
      <c r="T220" s="26"/>
      <c r="U220" s="26"/>
      <c r="V220" s="26"/>
      <c r="W220" s="26"/>
      <c r="X220" s="26"/>
    </row>
    <row r="221" spans="1:24">
      <c r="A221" s="368">
        <f t="shared" si="29"/>
        <v>210</v>
      </c>
      <c r="B221" s="388" t="s">
        <v>451</v>
      </c>
      <c r="C221" s="388" t="s">
        <v>515</v>
      </c>
      <c r="D221" s="389">
        <v>42923</v>
      </c>
      <c r="E221" s="390">
        <v>170351.98</v>
      </c>
      <c r="F221" s="389">
        <v>42890</v>
      </c>
      <c r="G221" s="389">
        <v>42917</v>
      </c>
      <c r="H221" s="369">
        <f t="shared" si="30"/>
        <v>13.5</v>
      </c>
      <c r="I221" s="389">
        <v>42954</v>
      </c>
      <c r="J221" s="391">
        <f t="shared" si="31"/>
        <v>37</v>
      </c>
      <c r="K221" s="392">
        <f t="shared" si="27"/>
        <v>50.5</v>
      </c>
      <c r="L221" s="336">
        <f t="shared" si="28"/>
        <v>8602774.9900000002</v>
      </c>
      <c r="M221" s="26"/>
      <c r="N221" s="370">
        <f t="shared" si="32"/>
        <v>13.5</v>
      </c>
      <c r="O221" s="370">
        <f t="shared" si="33"/>
        <v>37</v>
      </c>
      <c r="P221" s="370">
        <f t="shared" si="34"/>
        <v>50.5</v>
      </c>
      <c r="Q221" s="371">
        <f t="shared" si="35"/>
        <v>8602774.9900000002</v>
      </c>
      <c r="R221" s="26"/>
      <c r="S221" s="26"/>
      <c r="T221" s="26"/>
      <c r="U221" s="26"/>
      <c r="V221" s="26"/>
      <c r="W221" s="26"/>
      <c r="X221" s="26"/>
    </row>
    <row r="222" spans="1:24">
      <c r="A222" s="368">
        <f t="shared" si="29"/>
        <v>211</v>
      </c>
      <c r="B222" s="388" t="s">
        <v>514</v>
      </c>
      <c r="C222" s="388" t="s">
        <v>515</v>
      </c>
      <c r="D222" s="389">
        <v>42922</v>
      </c>
      <c r="E222" s="390">
        <v>98948.51</v>
      </c>
      <c r="F222" s="389">
        <v>42890</v>
      </c>
      <c r="G222" s="389">
        <v>42916</v>
      </c>
      <c r="H222" s="369">
        <f t="shared" si="30"/>
        <v>13</v>
      </c>
      <c r="I222" s="389">
        <v>42954</v>
      </c>
      <c r="J222" s="391">
        <f t="shared" si="31"/>
        <v>38</v>
      </c>
      <c r="K222" s="392">
        <f t="shared" si="27"/>
        <v>51</v>
      </c>
      <c r="L222" s="336">
        <f t="shared" si="28"/>
        <v>5046374.01</v>
      </c>
      <c r="M222" s="26"/>
      <c r="N222" s="370">
        <f t="shared" si="32"/>
        <v>13</v>
      </c>
      <c r="O222" s="370">
        <f t="shared" si="33"/>
        <v>38</v>
      </c>
      <c r="P222" s="370">
        <f t="shared" si="34"/>
        <v>51</v>
      </c>
      <c r="Q222" s="371">
        <f t="shared" si="35"/>
        <v>5046374.01</v>
      </c>
      <c r="R222" s="26"/>
      <c r="S222" s="26"/>
      <c r="T222" s="26"/>
      <c r="U222" s="26"/>
      <c r="V222" s="26"/>
      <c r="W222" s="26"/>
      <c r="X222" s="26"/>
    </row>
    <row r="223" spans="1:24">
      <c r="A223" s="368">
        <f t="shared" si="29"/>
        <v>212</v>
      </c>
      <c r="B223" s="388" t="s">
        <v>451</v>
      </c>
      <c r="C223" s="388" t="s">
        <v>515</v>
      </c>
      <c r="D223" s="389">
        <v>42951</v>
      </c>
      <c r="E223" s="390">
        <v>181631.25</v>
      </c>
      <c r="F223" s="389">
        <v>42918</v>
      </c>
      <c r="G223" s="389">
        <v>42945</v>
      </c>
      <c r="H223" s="369">
        <f t="shared" si="30"/>
        <v>13.5</v>
      </c>
      <c r="I223" s="389">
        <v>42986</v>
      </c>
      <c r="J223" s="391">
        <f t="shared" si="31"/>
        <v>41</v>
      </c>
      <c r="K223" s="392">
        <f t="shared" si="27"/>
        <v>54.5</v>
      </c>
      <c r="L223" s="336">
        <f t="shared" si="28"/>
        <v>9898903.1300000008</v>
      </c>
      <c r="M223" s="26"/>
      <c r="N223" s="370">
        <f t="shared" si="32"/>
        <v>13.5</v>
      </c>
      <c r="O223" s="370">
        <f t="shared" si="33"/>
        <v>41</v>
      </c>
      <c r="P223" s="370">
        <f t="shared" si="34"/>
        <v>54.5</v>
      </c>
      <c r="Q223" s="371">
        <f t="shared" si="35"/>
        <v>9898903.125</v>
      </c>
      <c r="R223" s="26"/>
      <c r="S223" s="26"/>
      <c r="T223" s="26"/>
      <c r="U223" s="26"/>
      <c r="V223" s="26"/>
      <c r="W223" s="26"/>
      <c r="X223" s="26"/>
    </row>
    <row r="224" spans="1:24">
      <c r="A224" s="368">
        <f t="shared" si="29"/>
        <v>213</v>
      </c>
      <c r="B224" s="388" t="s">
        <v>514</v>
      </c>
      <c r="C224" s="388" t="s">
        <v>515</v>
      </c>
      <c r="D224" s="389">
        <v>42950</v>
      </c>
      <c r="E224" s="390">
        <v>115540.92</v>
      </c>
      <c r="F224" s="389">
        <v>42918</v>
      </c>
      <c r="G224" s="389">
        <v>42945</v>
      </c>
      <c r="H224" s="369">
        <f t="shared" si="30"/>
        <v>13.5</v>
      </c>
      <c r="I224" s="389">
        <v>42986</v>
      </c>
      <c r="J224" s="391">
        <f t="shared" si="31"/>
        <v>41</v>
      </c>
      <c r="K224" s="392">
        <f t="shared" si="27"/>
        <v>54.5</v>
      </c>
      <c r="L224" s="336">
        <f t="shared" si="28"/>
        <v>6296980.1399999997</v>
      </c>
      <c r="M224" s="26"/>
      <c r="N224" s="370">
        <f t="shared" si="32"/>
        <v>13.5</v>
      </c>
      <c r="O224" s="370">
        <f t="shared" si="33"/>
        <v>41</v>
      </c>
      <c r="P224" s="370">
        <f t="shared" si="34"/>
        <v>54.5</v>
      </c>
      <c r="Q224" s="371">
        <f t="shared" si="35"/>
        <v>6296980.1399999997</v>
      </c>
      <c r="R224" s="26"/>
      <c r="S224" s="26"/>
      <c r="T224" s="26"/>
      <c r="U224" s="26"/>
      <c r="V224" s="26"/>
      <c r="W224" s="26"/>
      <c r="X224" s="26"/>
    </row>
    <row r="225" spans="1:24">
      <c r="A225" s="368">
        <f t="shared" si="29"/>
        <v>214</v>
      </c>
      <c r="B225" s="388" t="s">
        <v>451</v>
      </c>
      <c r="C225" s="388" t="s">
        <v>515</v>
      </c>
      <c r="D225" s="389">
        <v>42986</v>
      </c>
      <c r="E225" s="390">
        <v>217309.1</v>
      </c>
      <c r="F225" s="389">
        <v>42946</v>
      </c>
      <c r="G225" s="389">
        <v>42980</v>
      </c>
      <c r="H225" s="369">
        <f t="shared" si="30"/>
        <v>17</v>
      </c>
      <c r="I225" s="389">
        <v>43018</v>
      </c>
      <c r="J225" s="391">
        <f t="shared" si="31"/>
        <v>38</v>
      </c>
      <c r="K225" s="392">
        <f t="shared" si="27"/>
        <v>55</v>
      </c>
      <c r="L225" s="336">
        <f t="shared" si="28"/>
        <v>11952000.5</v>
      </c>
      <c r="M225" s="26"/>
      <c r="N225" s="370">
        <f t="shared" si="32"/>
        <v>17</v>
      </c>
      <c r="O225" s="370">
        <f t="shared" si="33"/>
        <v>38</v>
      </c>
      <c r="P225" s="370">
        <f t="shared" si="34"/>
        <v>55</v>
      </c>
      <c r="Q225" s="371">
        <f t="shared" si="35"/>
        <v>11952000.5</v>
      </c>
      <c r="R225" s="26"/>
      <c r="S225" s="26"/>
      <c r="T225" s="26"/>
      <c r="U225" s="26"/>
      <c r="V225" s="26"/>
      <c r="W225" s="26"/>
      <c r="X225" s="26"/>
    </row>
    <row r="226" spans="1:24">
      <c r="A226" s="368">
        <f t="shared" si="29"/>
        <v>215</v>
      </c>
      <c r="B226" s="388" t="s">
        <v>514</v>
      </c>
      <c r="C226" s="388" t="s">
        <v>515</v>
      </c>
      <c r="D226" s="389">
        <v>42985</v>
      </c>
      <c r="E226" s="390">
        <v>89904.639999999999</v>
      </c>
      <c r="F226" s="389">
        <v>42946</v>
      </c>
      <c r="G226" s="389">
        <v>42980</v>
      </c>
      <c r="H226" s="369">
        <f t="shared" si="30"/>
        <v>17</v>
      </c>
      <c r="I226" s="389">
        <v>43018</v>
      </c>
      <c r="J226" s="391">
        <f t="shared" si="31"/>
        <v>38</v>
      </c>
      <c r="K226" s="392">
        <f t="shared" si="27"/>
        <v>55</v>
      </c>
      <c r="L226" s="336">
        <f t="shared" si="28"/>
        <v>4944755.2</v>
      </c>
      <c r="M226" s="26"/>
      <c r="N226" s="370">
        <f t="shared" si="32"/>
        <v>17</v>
      </c>
      <c r="O226" s="370">
        <f t="shared" si="33"/>
        <v>38</v>
      </c>
      <c r="P226" s="370">
        <f t="shared" si="34"/>
        <v>55</v>
      </c>
      <c r="Q226" s="371">
        <f t="shared" si="35"/>
        <v>4944755.2</v>
      </c>
      <c r="R226" s="26"/>
      <c r="S226" s="26"/>
      <c r="T226" s="26"/>
      <c r="U226" s="26"/>
      <c r="V226" s="26"/>
      <c r="W226" s="26"/>
      <c r="X226" s="26"/>
    </row>
    <row r="227" spans="1:24">
      <c r="A227" s="368">
        <f t="shared" si="29"/>
        <v>216</v>
      </c>
      <c r="B227" s="388" t="s">
        <v>451</v>
      </c>
      <c r="C227" s="388" t="s">
        <v>515</v>
      </c>
      <c r="D227" s="389">
        <v>43014</v>
      </c>
      <c r="E227" s="390">
        <v>93825.33</v>
      </c>
      <c r="F227" s="389">
        <v>42981</v>
      </c>
      <c r="G227" s="389">
        <v>43008</v>
      </c>
      <c r="H227" s="369">
        <f t="shared" si="30"/>
        <v>13.5</v>
      </c>
      <c r="I227" s="389">
        <v>43045</v>
      </c>
      <c r="J227" s="391">
        <f t="shared" si="31"/>
        <v>37</v>
      </c>
      <c r="K227" s="392">
        <f t="shared" si="27"/>
        <v>50.5</v>
      </c>
      <c r="L227" s="336">
        <f t="shared" si="28"/>
        <v>4738179.17</v>
      </c>
      <c r="M227" s="26"/>
      <c r="N227" s="370">
        <f t="shared" si="32"/>
        <v>13.5</v>
      </c>
      <c r="O227" s="370">
        <f t="shared" si="33"/>
        <v>37</v>
      </c>
      <c r="P227" s="370">
        <f t="shared" si="34"/>
        <v>50.5</v>
      </c>
      <c r="Q227" s="371">
        <f t="shared" si="35"/>
        <v>4738179.165</v>
      </c>
      <c r="R227" s="26"/>
      <c r="S227" s="26"/>
      <c r="T227" s="26"/>
      <c r="U227" s="26"/>
      <c r="V227" s="26"/>
      <c r="W227" s="26"/>
      <c r="X227" s="26"/>
    </row>
    <row r="228" spans="1:24">
      <c r="A228" s="368">
        <f t="shared" si="29"/>
        <v>217</v>
      </c>
      <c r="B228" s="388" t="s">
        <v>451</v>
      </c>
      <c r="C228" s="388" t="s">
        <v>515</v>
      </c>
      <c r="D228" s="389">
        <v>43042</v>
      </c>
      <c r="E228" s="390">
        <v>177794.65</v>
      </c>
      <c r="F228" s="389">
        <v>43009</v>
      </c>
      <c r="G228" s="389">
        <v>43036</v>
      </c>
      <c r="H228" s="369">
        <f t="shared" si="30"/>
        <v>13.5</v>
      </c>
      <c r="I228" s="389">
        <v>43075</v>
      </c>
      <c r="J228" s="391">
        <f t="shared" si="31"/>
        <v>39</v>
      </c>
      <c r="K228" s="392">
        <f t="shared" si="27"/>
        <v>52.5</v>
      </c>
      <c r="L228" s="336">
        <f t="shared" si="28"/>
        <v>9334219.1300000008</v>
      </c>
      <c r="M228" s="26"/>
      <c r="N228" s="370">
        <f t="shared" si="32"/>
        <v>13.5</v>
      </c>
      <c r="O228" s="370">
        <f t="shared" si="33"/>
        <v>39</v>
      </c>
      <c r="P228" s="370">
        <f t="shared" si="34"/>
        <v>52.5</v>
      </c>
      <c r="Q228" s="371">
        <f t="shared" si="35"/>
        <v>9334219.125</v>
      </c>
      <c r="R228" s="26"/>
      <c r="S228" s="26"/>
      <c r="T228" s="26"/>
      <c r="U228" s="26"/>
      <c r="V228" s="26"/>
      <c r="W228" s="26"/>
      <c r="X228" s="26"/>
    </row>
    <row r="229" spans="1:24">
      <c r="A229" s="368">
        <f t="shared" si="29"/>
        <v>218</v>
      </c>
      <c r="B229" s="388" t="s">
        <v>451</v>
      </c>
      <c r="C229" s="388" t="s">
        <v>515</v>
      </c>
      <c r="D229" s="389">
        <v>43077</v>
      </c>
      <c r="E229" s="390">
        <v>305285.19</v>
      </c>
      <c r="F229" s="389">
        <v>43037</v>
      </c>
      <c r="G229" s="389">
        <v>43071</v>
      </c>
      <c r="H229" s="369">
        <f t="shared" si="30"/>
        <v>17</v>
      </c>
      <c r="I229" s="389">
        <v>43108</v>
      </c>
      <c r="J229" s="391">
        <f t="shared" si="31"/>
        <v>37</v>
      </c>
      <c r="K229" s="392">
        <f t="shared" si="27"/>
        <v>54</v>
      </c>
      <c r="L229" s="336">
        <f t="shared" si="28"/>
        <v>16485400.26</v>
      </c>
      <c r="M229" s="26"/>
      <c r="N229" s="370">
        <f t="shared" si="32"/>
        <v>17</v>
      </c>
      <c r="O229" s="370">
        <f t="shared" si="33"/>
        <v>37</v>
      </c>
      <c r="P229" s="370">
        <f t="shared" si="34"/>
        <v>54</v>
      </c>
      <c r="Q229" s="371">
        <f t="shared" si="35"/>
        <v>16485400.26</v>
      </c>
      <c r="R229" s="26"/>
      <c r="S229" s="26"/>
      <c r="T229" s="26"/>
      <c r="U229" s="26"/>
      <c r="V229" s="26"/>
      <c r="W229" s="26"/>
      <c r="X229" s="26"/>
    </row>
    <row r="230" spans="1:24">
      <c r="A230" s="368">
        <f t="shared" si="29"/>
        <v>219</v>
      </c>
      <c r="B230" s="388" t="s">
        <v>514</v>
      </c>
      <c r="C230" s="388" t="s">
        <v>515</v>
      </c>
      <c r="D230" s="389">
        <v>43071</v>
      </c>
      <c r="E230" s="390">
        <v>55724.31</v>
      </c>
      <c r="F230" s="389">
        <v>43037</v>
      </c>
      <c r="G230" s="389">
        <v>43071</v>
      </c>
      <c r="H230" s="369">
        <f t="shared" si="30"/>
        <v>17</v>
      </c>
      <c r="I230" s="389">
        <v>43103</v>
      </c>
      <c r="J230" s="391">
        <f t="shared" si="31"/>
        <v>32</v>
      </c>
      <c r="K230" s="392">
        <f t="shared" si="27"/>
        <v>49</v>
      </c>
      <c r="L230" s="336">
        <f t="shared" si="28"/>
        <v>2730491.19</v>
      </c>
      <c r="M230" s="26"/>
      <c r="N230" s="370">
        <f t="shared" si="32"/>
        <v>17</v>
      </c>
      <c r="O230" s="370">
        <f t="shared" si="33"/>
        <v>32</v>
      </c>
      <c r="P230" s="370">
        <f t="shared" si="34"/>
        <v>49</v>
      </c>
      <c r="Q230" s="371">
        <f t="shared" si="35"/>
        <v>2730491.19</v>
      </c>
      <c r="R230" s="26"/>
      <c r="S230" s="26"/>
      <c r="T230" s="26"/>
      <c r="U230" s="26"/>
      <c r="V230" s="26"/>
      <c r="W230" s="26"/>
      <c r="X230" s="26"/>
    </row>
    <row r="231" spans="1:24">
      <c r="A231" s="368">
        <f t="shared" si="29"/>
        <v>220</v>
      </c>
      <c r="B231" s="388" t="s">
        <v>516</v>
      </c>
      <c r="C231" s="388" t="s">
        <v>515</v>
      </c>
      <c r="D231" s="389">
        <v>42780</v>
      </c>
      <c r="E231" s="390">
        <v>90168.5</v>
      </c>
      <c r="F231" s="389">
        <v>42736</v>
      </c>
      <c r="G231" s="389">
        <v>42763</v>
      </c>
      <c r="H231" s="369">
        <f t="shared" si="30"/>
        <v>13.5</v>
      </c>
      <c r="I231" s="389">
        <v>42811</v>
      </c>
      <c r="J231" s="391">
        <f t="shared" si="31"/>
        <v>48</v>
      </c>
      <c r="K231" s="392">
        <f t="shared" si="27"/>
        <v>61.5</v>
      </c>
      <c r="L231" s="336">
        <f t="shared" si="28"/>
        <v>5545362.75</v>
      </c>
      <c r="M231" s="26"/>
      <c r="N231" s="370">
        <f t="shared" si="32"/>
        <v>13.5</v>
      </c>
      <c r="O231" s="370">
        <f t="shared" si="33"/>
        <v>48</v>
      </c>
      <c r="P231" s="370">
        <f t="shared" si="34"/>
        <v>61.5</v>
      </c>
      <c r="Q231" s="371">
        <f t="shared" si="35"/>
        <v>5545362.75</v>
      </c>
      <c r="R231" s="26"/>
      <c r="S231" s="26"/>
      <c r="T231" s="26"/>
      <c r="U231" s="26"/>
      <c r="V231" s="26"/>
      <c r="W231" s="26"/>
      <c r="X231" s="26"/>
    </row>
    <row r="232" spans="1:24">
      <c r="A232" s="368">
        <f t="shared" si="29"/>
        <v>221</v>
      </c>
      <c r="B232" s="388" t="s">
        <v>516</v>
      </c>
      <c r="C232" s="388" t="s">
        <v>515</v>
      </c>
      <c r="D232" s="389">
        <v>42803</v>
      </c>
      <c r="E232" s="390">
        <v>100326.75</v>
      </c>
      <c r="F232" s="389">
        <v>42764</v>
      </c>
      <c r="G232" s="389">
        <v>42791</v>
      </c>
      <c r="H232" s="369">
        <f t="shared" si="30"/>
        <v>13.5</v>
      </c>
      <c r="I232" s="389">
        <v>42835</v>
      </c>
      <c r="J232" s="391">
        <f t="shared" si="31"/>
        <v>44</v>
      </c>
      <c r="K232" s="392">
        <f t="shared" si="27"/>
        <v>57.5</v>
      </c>
      <c r="L232" s="336">
        <f t="shared" si="28"/>
        <v>5768788.1299999999</v>
      </c>
      <c r="M232" s="26"/>
      <c r="N232" s="370">
        <f t="shared" si="32"/>
        <v>13.5</v>
      </c>
      <c r="O232" s="370">
        <f t="shared" si="33"/>
        <v>44</v>
      </c>
      <c r="P232" s="370">
        <f t="shared" si="34"/>
        <v>57.5</v>
      </c>
      <c r="Q232" s="371">
        <f t="shared" si="35"/>
        <v>5768788.125</v>
      </c>
      <c r="R232" s="26"/>
      <c r="S232" s="26"/>
      <c r="T232" s="26"/>
      <c r="U232" s="26"/>
      <c r="V232" s="26"/>
      <c r="W232" s="26"/>
      <c r="X232" s="26"/>
    </row>
    <row r="233" spans="1:24">
      <c r="A233" s="368">
        <f t="shared" si="29"/>
        <v>222</v>
      </c>
      <c r="B233" s="388" t="s">
        <v>516</v>
      </c>
      <c r="C233" s="388" t="s">
        <v>515</v>
      </c>
      <c r="D233" s="389">
        <v>42837</v>
      </c>
      <c r="E233" s="390">
        <v>103397.38</v>
      </c>
      <c r="F233" s="389">
        <v>42792</v>
      </c>
      <c r="G233" s="389">
        <v>42826</v>
      </c>
      <c r="H233" s="369">
        <f t="shared" si="30"/>
        <v>17</v>
      </c>
      <c r="I233" s="389">
        <v>42870</v>
      </c>
      <c r="J233" s="391">
        <f t="shared" si="31"/>
        <v>44</v>
      </c>
      <c r="K233" s="392">
        <f t="shared" si="27"/>
        <v>61</v>
      </c>
      <c r="L233" s="336">
        <f t="shared" si="28"/>
        <v>6307240.1799999997</v>
      </c>
      <c r="M233" s="26"/>
      <c r="N233" s="370">
        <f t="shared" si="32"/>
        <v>17</v>
      </c>
      <c r="O233" s="370">
        <f t="shared" si="33"/>
        <v>44</v>
      </c>
      <c r="P233" s="370">
        <f t="shared" si="34"/>
        <v>61</v>
      </c>
      <c r="Q233" s="371">
        <f t="shared" si="35"/>
        <v>6307240.1800000006</v>
      </c>
      <c r="R233" s="26"/>
      <c r="S233" s="26"/>
      <c r="T233" s="26"/>
      <c r="U233" s="26"/>
      <c r="V233" s="26"/>
      <c r="W233" s="26"/>
      <c r="X233" s="26"/>
    </row>
    <row r="234" spans="1:24">
      <c r="A234" s="368">
        <f t="shared" si="29"/>
        <v>223</v>
      </c>
      <c r="B234" s="388" t="s">
        <v>516</v>
      </c>
      <c r="C234" s="388" t="s">
        <v>515</v>
      </c>
      <c r="D234" s="389">
        <v>42852</v>
      </c>
      <c r="E234" s="390">
        <v>64704.08</v>
      </c>
      <c r="F234" s="389">
        <v>42736</v>
      </c>
      <c r="G234" s="389">
        <v>42826</v>
      </c>
      <c r="H234" s="369">
        <f t="shared" si="30"/>
        <v>45</v>
      </c>
      <c r="I234" s="389">
        <v>42885</v>
      </c>
      <c r="J234" s="391">
        <f t="shared" si="31"/>
        <v>59</v>
      </c>
      <c r="K234" s="392">
        <f t="shared" si="27"/>
        <v>104</v>
      </c>
      <c r="L234" s="336">
        <f t="shared" si="28"/>
        <v>6729224.3200000003</v>
      </c>
      <c r="M234" s="26"/>
      <c r="N234" s="370">
        <f t="shared" si="32"/>
        <v>45</v>
      </c>
      <c r="O234" s="370">
        <f t="shared" si="33"/>
        <v>59</v>
      </c>
      <c r="P234" s="370">
        <f t="shared" si="34"/>
        <v>104</v>
      </c>
      <c r="Q234" s="371">
        <f t="shared" si="35"/>
        <v>6729224.3200000003</v>
      </c>
      <c r="R234" s="26"/>
      <c r="S234" s="26"/>
      <c r="T234" s="26"/>
      <c r="U234" s="26"/>
      <c r="V234" s="26"/>
      <c r="W234" s="26"/>
      <c r="X234" s="26"/>
    </row>
    <row r="235" spans="1:24">
      <c r="A235" s="368">
        <f t="shared" si="29"/>
        <v>224</v>
      </c>
      <c r="B235" s="388" t="s">
        <v>516</v>
      </c>
      <c r="C235" s="388" t="s">
        <v>515</v>
      </c>
      <c r="D235" s="389">
        <v>42864</v>
      </c>
      <c r="E235" s="390">
        <v>77109.88</v>
      </c>
      <c r="F235" s="389">
        <v>42827</v>
      </c>
      <c r="G235" s="389">
        <v>42854</v>
      </c>
      <c r="H235" s="369">
        <f t="shared" si="30"/>
        <v>13.5</v>
      </c>
      <c r="I235" s="389">
        <v>42906</v>
      </c>
      <c r="J235" s="391">
        <f t="shared" si="31"/>
        <v>52</v>
      </c>
      <c r="K235" s="392">
        <f t="shared" si="27"/>
        <v>65.5</v>
      </c>
      <c r="L235" s="336">
        <f t="shared" si="28"/>
        <v>5050697.1399999997</v>
      </c>
      <c r="M235" s="26"/>
      <c r="N235" s="370">
        <f t="shared" si="32"/>
        <v>13.5</v>
      </c>
      <c r="O235" s="370">
        <f t="shared" si="33"/>
        <v>52</v>
      </c>
      <c r="P235" s="370">
        <f t="shared" si="34"/>
        <v>65.5</v>
      </c>
      <c r="Q235" s="371">
        <f t="shared" si="35"/>
        <v>5050697.1400000006</v>
      </c>
      <c r="R235" s="26"/>
      <c r="S235" s="26"/>
      <c r="T235" s="26"/>
      <c r="U235" s="26"/>
      <c r="V235" s="26"/>
      <c r="W235" s="26"/>
      <c r="X235" s="26"/>
    </row>
    <row r="236" spans="1:24">
      <c r="A236" s="368">
        <f t="shared" si="29"/>
        <v>225</v>
      </c>
      <c r="B236" s="388" t="s">
        <v>516</v>
      </c>
      <c r="C236" s="388" t="s">
        <v>515</v>
      </c>
      <c r="D236" s="389">
        <v>42895</v>
      </c>
      <c r="E236" s="390">
        <v>82240.41</v>
      </c>
      <c r="F236" s="389">
        <v>42855</v>
      </c>
      <c r="G236" s="389">
        <v>42882</v>
      </c>
      <c r="H236" s="369">
        <f t="shared" si="30"/>
        <v>13.5</v>
      </c>
      <c r="I236" s="389">
        <v>42926</v>
      </c>
      <c r="J236" s="391">
        <f t="shared" si="31"/>
        <v>44</v>
      </c>
      <c r="K236" s="392">
        <f t="shared" si="27"/>
        <v>57.5</v>
      </c>
      <c r="L236" s="336">
        <f t="shared" si="28"/>
        <v>4728823.58</v>
      </c>
      <c r="M236" s="26"/>
      <c r="N236" s="370">
        <f t="shared" si="32"/>
        <v>13.5</v>
      </c>
      <c r="O236" s="370">
        <f t="shared" si="33"/>
        <v>44</v>
      </c>
      <c r="P236" s="370">
        <f t="shared" si="34"/>
        <v>57.5</v>
      </c>
      <c r="Q236" s="371">
        <f t="shared" si="35"/>
        <v>4728823.5750000002</v>
      </c>
      <c r="R236" s="26"/>
      <c r="S236" s="26"/>
      <c r="T236" s="26"/>
      <c r="U236" s="26"/>
      <c r="V236" s="26"/>
      <c r="W236" s="26"/>
      <c r="X236" s="26"/>
    </row>
    <row r="237" spans="1:24">
      <c r="A237" s="368">
        <f t="shared" si="29"/>
        <v>226</v>
      </c>
      <c r="B237" s="388" t="s">
        <v>516</v>
      </c>
      <c r="C237" s="388" t="s">
        <v>515</v>
      </c>
      <c r="D237" s="389">
        <v>42923</v>
      </c>
      <c r="E237" s="390">
        <v>85101.63</v>
      </c>
      <c r="F237" s="389">
        <v>42883</v>
      </c>
      <c r="G237" s="389">
        <v>42917</v>
      </c>
      <c r="H237" s="369">
        <f t="shared" si="30"/>
        <v>17</v>
      </c>
      <c r="I237" s="389">
        <v>42954</v>
      </c>
      <c r="J237" s="391">
        <f t="shared" si="31"/>
        <v>37</v>
      </c>
      <c r="K237" s="392">
        <f t="shared" si="27"/>
        <v>54</v>
      </c>
      <c r="L237" s="336">
        <f t="shared" si="28"/>
        <v>4595488.0199999996</v>
      </c>
      <c r="M237" s="26"/>
      <c r="N237" s="370">
        <f t="shared" si="32"/>
        <v>17</v>
      </c>
      <c r="O237" s="370">
        <f t="shared" si="33"/>
        <v>37</v>
      </c>
      <c r="P237" s="370">
        <f t="shared" si="34"/>
        <v>54</v>
      </c>
      <c r="Q237" s="371">
        <f t="shared" si="35"/>
        <v>4595488.0200000005</v>
      </c>
      <c r="R237" s="26"/>
      <c r="S237" s="26"/>
      <c r="T237" s="26"/>
      <c r="U237" s="26"/>
      <c r="V237" s="26"/>
      <c r="W237" s="26"/>
      <c r="X237" s="26"/>
    </row>
    <row r="238" spans="1:24">
      <c r="A238" s="368">
        <f t="shared" si="29"/>
        <v>227</v>
      </c>
      <c r="B238" s="388" t="s">
        <v>516</v>
      </c>
      <c r="C238" s="388" t="s">
        <v>515</v>
      </c>
      <c r="D238" s="389">
        <v>42955</v>
      </c>
      <c r="E238" s="390">
        <v>85333.85</v>
      </c>
      <c r="F238" s="389">
        <v>42918</v>
      </c>
      <c r="G238" s="389">
        <v>42945</v>
      </c>
      <c r="H238" s="369">
        <f t="shared" si="30"/>
        <v>13.5</v>
      </c>
      <c r="I238" s="389">
        <v>42986</v>
      </c>
      <c r="J238" s="391">
        <f t="shared" si="31"/>
        <v>41</v>
      </c>
      <c r="K238" s="392">
        <f t="shared" si="27"/>
        <v>54.5</v>
      </c>
      <c r="L238" s="336">
        <f t="shared" si="28"/>
        <v>4650694.83</v>
      </c>
      <c r="M238" s="26"/>
      <c r="N238" s="370">
        <f t="shared" si="32"/>
        <v>13.5</v>
      </c>
      <c r="O238" s="370">
        <f t="shared" si="33"/>
        <v>41</v>
      </c>
      <c r="P238" s="370">
        <f t="shared" si="34"/>
        <v>54.5</v>
      </c>
      <c r="Q238" s="371">
        <f t="shared" si="35"/>
        <v>4650694.8250000002</v>
      </c>
      <c r="R238" s="26"/>
      <c r="S238" s="26"/>
      <c r="T238" s="26"/>
      <c r="U238" s="26"/>
      <c r="V238" s="26"/>
      <c r="W238" s="26"/>
      <c r="X238" s="26"/>
    </row>
    <row r="239" spans="1:24">
      <c r="A239" s="368">
        <f t="shared" si="29"/>
        <v>228</v>
      </c>
      <c r="B239" s="388" t="s">
        <v>516</v>
      </c>
      <c r="C239" s="388" t="s">
        <v>515</v>
      </c>
      <c r="D239" s="389">
        <v>42990</v>
      </c>
      <c r="E239" s="390">
        <v>109301</v>
      </c>
      <c r="F239" s="389">
        <v>42946</v>
      </c>
      <c r="G239" s="389">
        <v>42980</v>
      </c>
      <c r="H239" s="369">
        <f t="shared" si="30"/>
        <v>17</v>
      </c>
      <c r="I239" s="389">
        <v>43021</v>
      </c>
      <c r="J239" s="391">
        <f t="shared" si="31"/>
        <v>41</v>
      </c>
      <c r="K239" s="392">
        <f t="shared" si="27"/>
        <v>58</v>
      </c>
      <c r="L239" s="336">
        <f t="shared" si="28"/>
        <v>6339458</v>
      </c>
      <c r="M239" s="26"/>
      <c r="N239" s="370">
        <f t="shared" si="32"/>
        <v>17</v>
      </c>
      <c r="O239" s="370">
        <f t="shared" si="33"/>
        <v>41</v>
      </c>
      <c r="P239" s="370">
        <f t="shared" si="34"/>
        <v>58</v>
      </c>
      <c r="Q239" s="371">
        <f t="shared" si="35"/>
        <v>6339458</v>
      </c>
      <c r="R239" s="26"/>
      <c r="S239" s="26"/>
      <c r="T239" s="26"/>
      <c r="U239" s="26"/>
      <c r="V239" s="26"/>
      <c r="W239" s="26"/>
      <c r="X239" s="26"/>
    </row>
    <row r="240" spans="1:24">
      <c r="A240" s="368">
        <f t="shared" si="29"/>
        <v>229</v>
      </c>
      <c r="B240" s="388" t="s">
        <v>516</v>
      </c>
      <c r="C240" s="388" t="s">
        <v>515</v>
      </c>
      <c r="D240" s="389">
        <v>43018</v>
      </c>
      <c r="E240" s="390">
        <v>90396.31</v>
      </c>
      <c r="F240" s="389">
        <v>42981</v>
      </c>
      <c r="G240" s="389">
        <v>43008</v>
      </c>
      <c r="H240" s="369">
        <f t="shared" si="30"/>
        <v>13.5</v>
      </c>
      <c r="I240" s="389">
        <v>43049</v>
      </c>
      <c r="J240" s="391">
        <f t="shared" si="31"/>
        <v>41</v>
      </c>
      <c r="K240" s="392">
        <f t="shared" si="27"/>
        <v>54.5</v>
      </c>
      <c r="L240" s="336">
        <f t="shared" si="28"/>
        <v>4926598.9000000004</v>
      </c>
      <c r="M240" s="26"/>
      <c r="N240" s="370">
        <f t="shared" si="32"/>
        <v>13.5</v>
      </c>
      <c r="O240" s="370">
        <f t="shared" si="33"/>
        <v>41</v>
      </c>
      <c r="P240" s="370">
        <f t="shared" si="34"/>
        <v>54.5</v>
      </c>
      <c r="Q240" s="371">
        <f t="shared" si="35"/>
        <v>4926598.8949999996</v>
      </c>
      <c r="R240" s="26"/>
      <c r="S240" s="26"/>
      <c r="T240" s="26"/>
      <c r="U240" s="26"/>
      <c r="V240" s="26"/>
      <c r="W240" s="26"/>
      <c r="X240" s="26"/>
    </row>
    <row r="241" spans="1:24">
      <c r="A241" s="368">
        <f t="shared" si="29"/>
        <v>230</v>
      </c>
      <c r="B241" s="388" t="s">
        <v>516</v>
      </c>
      <c r="C241" s="388" t="s">
        <v>515</v>
      </c>
      <c r="D241" s="389">
        <v>43049</v>
      </c>
      <c r="E241" s="390">
        <v>105533</v>
      </c>
      <c r="F241" s="389">
        <v>43009</v>
      </c>
      <c r="G241" s="389">
        <v>43036</v>
      </c>
      <c r="H241" s="369">
        <f t="shared" si="30"/>
        <v>13.5</v>
      </c>
      <c r="I241" s="389">
        <v>43080</v>
      </c>
      <c r="J241" s="391">
        <f t="shared" si="31"/>
        <v>44</v>
      </c>
      <c r="K241" s="392">
        <f t="shared" si="27"/>
        <v>57.5</v>
      </c>
      <c r="L241" s="336">
        <f t="shared" si="28"/>
        <v>6068147.5</v>
      </c>
      <c r="M241" s="26"/>
      <c r="N241" s="370">
        <f t="shared" si="32"/>
        <v>13.5</v>
      </c>
      <c r="O241" s="370">
        <f t="shared" si="33"/>
        <v>44</v>
      </c>
      <c r="P241" s="370">
        <f t="shared" si="34"/>
        <v>57.5</v>
      </c>
      <c r="Q241" s="371">
        <f t="shared" si="35"/>
        <v>6068147.5</v>
      </c>
      <c r="R241" s="26"/>
      <c r="S241" s="26"/>
      <c r="T241" s="26"/>
      <c r="U241" s="26"/>
      <c r="V241" s="26"/>
      <c r="W241" s="26"/>
      <c r="X241" s="26"/>
    </row>
    <row r="242" spans="1:24">
      <c r="A242" s="368">
        <f t="shared" si="29"/>
        <v>231</v>
      </c>
      <c r="B242" s="388" t="s">
        <v>516</v>
      </c>
      <c r="C242" s="388" t="s">
        <v>515</v>
      </c>
      <c r="D242" s="389">
        <v>43076</v>
      </c>
      <c r="E242" s="390">
        <v>119231.47</v>
      </c>
      <c r="F242" s="389">
        <v>43037</v>
      </c>
      <c r="G242" s="389">
        <v>43071</v>
      </c>
      <c r="H242" s="369">
        <f t="shared" si="30"/>
        <v>17</v>
      </c>
      <c r="I242" s="389">
        <v>43108</v>
      </c>
      <c r="J242" s="391">
        <f t="shared" si="31"/>
        <v>37</v>
      </c>
      <c r="K242" s="392">
        <f t="shared" si="27"/>
        <v>54</v>
      </c>
      <c r="L242" s="336">
        <f t="shared" si="28"/>
        <v>6438499.3799999999</v>
      </c>
      <c r="M242" s="26"/>
      <c r="N242" s="370">
        <f t="shared" si="32"/>
        <v>17</v>
      </c>
      <c r="O242" s="370">
        <f t="shared" si="33"/>
        <v>37</v>
      </c>
      <c r="P242" s="370">
        <f t="shared" si="34"/>
        <v>54</v>
      </c>
      <c r="Q242" s="371">
        <f t="shared" si="35"/>
        <v>6438499.3799999999</v>
      </c>
      <c r="R242" s="26"/>
      <c r="S242" s="26"/>
      <c r="T242" s="26"/>
      <c r="U242" s="26"/>
      <c r="V242" s="26"/>
      <c r="W242" s="26"/>
      <c r="X242" s="26"/>
    </row>
    <row r="243" spans="1:24">
      <c r="A243" s="368">
        <f t="shared" si="29"/>
        <v>232</v>
      </c>
      <c r="B243" s="388" t="s">
        <v>517</v>
      </c>
      <c r="C243" s="388" t="s">
        <v>515</v>
      </c>
      <c r="D243" s="389">
        <v>42755</v>
      </c>
      <c r="E243" s="390">
        <v>6473.78</v>
      </c>
      <c r="F243" s="389">
        <v>42737</v>
      </c>
      <c r="G243" s="389">
        <v>42750</v>
      </c>
      <c r="H243" s="369">
        <f t="shared" si="30"/>
        <v>6.5</v>
      </c>
      <c r="I243" s="389">
        <v>42787</v>
      </c>
      <c r="J243" s="391">
        <f t="shared" si="31"/>
        <v>37</v>
      </c>
      <c r="K243" s="392">
        <f t="shared" si="27"/>
        <v>43.5</v>
      </c>
      <c r="L243" s="336">
        <f t="shared" si="28"/>
        <v>281609.43</v>
      </c>
      <c r="M243" s="26"/>
      <c r="N243" s="370">
        <f t="shared" si="32"/>
        <v>6.5</v>
      </c>
      <c r="O243" s="370">
        <f t="shared" si="33"/>
        <v>37</v>
      </c>
      <c r="P243" s="370">
        <f t="shared" si="34"/>
        <v>43.5</v>
      </c>
      <c r="Q243" s="371">
        <f t="shared" si="35"/>
        <v>281609.43</v>
      </c>
      <c r="R243" s="26"/>
      <c r="S243" s="26"/>
      <c r="T243" s="26"/>
      <c r="U243" s="26"/>
      <c r="V243" s="26"/>
      <c r="W243" s="26"/>
      <c r="X243" s="26"/>
    </row>
    <row r="244" spans="1:24">
      <c r="A244" s="368">
        <f t="shared" si="29"/>
        <v>233</v>
      </c>
      <c r="B244" s="388" t="s">
        <v>517</v>
      </c>
      <c r="C244" s="388" t="s">
        <v>515</v>
      </c>
      <c r="D244" s="389">
        <v>43054</v>
      </c>
      <c r="E244" s="390">
        <v>687.92</v>
      </c>
      <c r="F244" s="389">
        <v>43031</v>
      </c>
      <c r="G244" s="389">
        <v>43044</v>
      </c>
      <c r="H244" s="369">
        <f t="shared" si="30"/>
        <v>6.5</v>
      </c>
      <c r="I244" s="389">
        <v>43087</v>
      </c>
      <c r="J244" s="391">
        <f t="shared" si="31"/>
        <v>43</v>
      </c>
      <c r="K244" s="392">
        <f t="shared" si="27"/>
        <v>49.5</v>
      </c>
      <c r="L244" s="336">
        <f t="shared" si="28"/>
        <v>34052.04</v>
      </c>
      <c r="M244" s="26"/>
      <c r="N244" s="370">
        <f t="shared" si="32"/>
        <v>6.5</v>
      </c>
      <c r="O244" s="370">
        <f t="shared" si="33"/>
        <v>43</v>
      </c>
      <c r="P244" s="370">
        <f t="shared" si="34"/>
        <v>49.5</v>
      </c>
      <c r="Q244" s="371">
        <f t="shared" si="35"/>
        <v>34052.04</v>
      </c>
      <c r="R244" s="26"/>
      <c r="S244" s="26"/>
      <c r="T244" s="26"/>
      <c r="U244" s="26"/>
      <c r="V244" s="26"/>
      <c r="W244" s="26"/>
      <c r="X244" s="26"/>
    </row>
    <row r="245" spans="1:24">
      <c r="A245" s="368">
        <f t="shared" si="29"/>
        <v>234</v>
      </c>
      <c r="B245" s="388" t="s">
        <v>518</v>
      </c>
      <c r="C245" s="388" t="s">
        <v>515</v>
      </c>
      <c r="D245" s="389">
        <v>42943</v>
      </c>
      <c r="E245" s="390">
        <v>4433.0600000000004</v>
      </c>
      <c r="F245" s="389">
        <v>42921</v>
      </c>
      <c r="G245" s="389">
        <v>42941</v>
      </c>
      <c r="H245" s="369">
        <f t="shared" si="30"/>
        <v>10</v>
      </c>
      <c r="I245" s="389">
        <v>42975</v>
      </c>
      <c r="J245" s="391">
        <f t="shared" si="31"/>
        <v>34</v>
      </c>
      <c r="K245" s="392">
        <f t="shared" si="27"/>
        <v>44</v>
      </c>
      <c r="L245" s="336">
        <f t="shared" si="28"/>
        <v>195054.64</v>
      </c>
      <c r="M245" s="26"/>
      <c r="N245" s="370">
        <f t="shared" si="32"/>
        <v>10</v>
      </c>
      <c r="O245" s="370">
        <f t="shared" si="33"/>
        <v>34</v>
      </c>
      <c r="P245" s="370">
        <f t="shared" si="34"/>
        <v>44</v>
      </c>
      <c r="Q245" s="371">
        <f t="shared" si="35"/>
        <v>195054.64</v>
      </c>
      <c r="R245" s="26"/>
      <c r="S245" s="26"/>
      <c r="T245" s="26"/>
      <c r="U245" s="26"/>
      <c r="V245" s="26"/>
      <c r="W245" s="26"/>
      <c r="X245" s="26"/>
    </row>
    <row r="246" spans="1:24">
      <c r="A246" s="368">
        <f t="shared" si="29"/>
        <v>235</v>
      </c>
      <c r="B246" s="388" t="s">
        <v>519</v>
      </c>
      <c r="C246" s="388" t="s">
        <v>515</v>
      </c>
      <c r="D246" s="389">
        <v>42887</v>
      </c>
      <c r="E246" s="390">
        <v>62822.41</v>
      </c>
      <c r="F246" s="389">
        <v>42856</v>
      </c>
      <c r="G246" s="389">
        <v>42885</v>
      </c>
      <c r="H246" s="369">
        <f t="shared" si="30"/>
        <v>14.5</v>
      </c>
      <c r="I246" s="389">
        <v>42919</v>
      </c>
      <c r="J246" s="391">
        <f t="shared" si="31"/>
        <v>34</v>
      </c>
      <c r="K246" s="392">
        <f t="shared" si="27"/>
        <v>48.5</v>
      </c>
      <c r="L246" s="336">
        <f t="shared" si="28"/>
        <v>3046886.89</v>
      </c>
      <c r="M246" s="26"/>
      <c r="N246" s="370">
        <f t="shared" si="32"/>
        <v>14.5</v>
      </c>
      <c r="O246" s="370">
        <f t="shared" si="33"/>
        <v>34</v>
      </c>
      <c r="P246" s="370">
        <f t="shared" si="34"/>
        <v>48.5</v>
      </c>
      <c r="Q246" s="371">
        <f t="shared" si="35"/>
        <v>3046886.8850000002</v>
      </c>
      <c r="R246" s="26"/>
      <c r="S246" s="26"/>
      <c r="T246" s="26"/>
      <c r="U246" s="26"/>
      <c r="V246" s="26"/>
      <c r="W246" s="26"/>
      <c r="X246" s="26"/>
    </row>
    <row r="247" spans="1:24">
      <c r="A247" s="368">
        <f t="shared" si="29"/>
        <v>236</v>
      </c>
      <c r="B247" s="388" t="s">
        <v>519</v>
      </c>
      <c r="C247" s="388" t="s">
        <v>515</v>
      </c>
      <c r="D247" s="389">
        <v>42921</v>
      </c>
      <c r="E247" s="390">
        <v>65412.66</v>
      </c>
      <c r="F247" s="389">
        <v>42884</v>
      </c>
      <c r="G247" s="389">
        <v>42918</v>
      </c>
      <c r="H247" s="369">
        <f t="shared" si="30"/>
        <v>17</v>
      </c>
      <c r="I247" s="389">
        <v>42954</v>
      </c>
      <c r="J247" s="391">
        <f t="shared" si="31"/>
        <v>36</v>
      </c>
      <c r="K247" s="392">
        <f t="shared" si="27"/>
        <v>53</v>
      </c>
      <c r="L247" s="336">
        <f t="shared" si="28"/>
        <v>3466870.98</v>
      </c>
      <c r="M247" s="26"/>
      <c r="N247" s="370">
        <f t="shared" si="32"/>
        <v>17</v>
      </c>
      <c r="O247" s="370">
        <f t="shared" si="33"/>
        <v>36</v>
      </c>
      <c r="P247" s="370">
        <f t="shared" si="34"/>
        <v>53</v>
      </c>
      <c r="Q247" s="371">
        <f t="shared" si="35"/>
        <v>3466870.98</v>
      </c>
      <c r="R247" s="26"/>
      <c r="S247" s="26"/>
      <c r="T247" s="26"/>
      <c r="U247" s="26"/>
      <c r="V247" s="26"/>
      <c r="W247" s="26"/>
      <c r="X247" s="26"/>
    </row>
    <row r="248" spans="1:24">
      <c r="A248" s="368">
        <f t="shared" si="29"/>
        <v>237</v>
      </c>
      <c r="B248" s="388" t="s">
        <v>519</v>
      </c>
      <c r="C248" s="388" t="s">
        <v>515</v>
      </c>
      <c r="D248" s="389">
        <v>42951</v>
      </c>
      <c r="E248" s="390">
        <v>56877.52</v>
      </c>
      <c r="F248" s="389">
        <v>42919</v>
      </c>
      <c r="G248" s="389">
        <v>42946</v>
      </c>
      <c r="H248" s="369">
        <f t="shared" si="30"/>
        <v>13.5</v>
      </c>
      <c r="I248" s="389">
        <v>42979</v>
      </c>
      <c r="J248" s="391">
        <f t="shared" si="31"/>
        <v>33</v>
      </c>
      <c r="K248" s="392">
        <f t="shared" si="27"/>
        <v>46.5</v>
      </c>
      <c r="L248" s="336">
        <f t="shared" si="28"/>
        <v>2644804.6800000002</v>
      </c>
      <c r="M248" s="26"/>
      <c r="N248" s="370">
        <f t="shared" si="32"/>
        <v>13.5</v>
      </c>
      <c r="O248" s="370">
        <f t="shared" si="33"/>
        <v>33</v>
      </c>
      <c r="P248" s="370">
        <f t="shared" si="34"/>
        <v>46.5</v>
      </c>
      <c r="Q248" s="371">
        <f t="shared" si="35"/>
        <v>2644804.6799999997</v>
      </c>
      <c r="R248" s="26"/>
      <c r="S248" s="26"/>
      <c r="T248" s="26"/>
      <c r="U248" s="26"/>
      <c r="V248" s="26"/>
      <c r="W248" s="26"/>
      <c r="X248" s="26"/>
    </row>
    <row r="249" spans="1:24">
      <c r="A249" s="368">
        <f t="shared" si="29"/>
        <v>238</v>
      </c>
      <c r="B249" s="388" t="s">
        <v>517</v>
      </c>
      <c r="C249" s="388" t="s">
        <v>515</v>
      </c>
      <c r="D249" s="389">
        <v>43043</v>
      </c>
      <c r="E249" s="390">
        <v>156.6</v>
      </c>
      <c r="F249" s="389">
        <v>43017</v>
      </c>
      <c r="G249" s="389">
        <v>43030</v>
      </c>
      <c r="H249" s="369">
        <f t="shared" si="30"/>
        <v>6.5</v>
      </c>
      <c r="I249" s="389">
        <v>43074</v>
      </c>
      <c r="J249" s="391">
        <f t="shared" si="31"/>
        <v>44</v>
      </c>
      <c r="K249" s="392">
        <f t="shared" si="27"/>
        <v>50.5</v>
      </c>
      <c r="L249" s="336">
        <f t="shared" si="28"/>
        <v>7908.3</v>
      </c>
      <c r="M249" s="26"/>
      <c r="N249" s="370">
        <f t="shared" si="32"/>
        <v>6.5</v>
      </c>
      <c r="O249" s="370">
        <f t="shared" si="33"/>
        <v>44</v>
      </c>
      <c r="P249" s="370">
        <f t="shared" si="34"/>
        <v>50.5</v>
      </c>
      <c r="Q249" s="371">
        <f t="shared" si="35"/>
        <v>7908.2999999999993</v>
      </c>
      <c r="R249" s="26"/>
      <c r="S249" s="26"/>
      <c r="T249" s="26"/>
      <c r="U249" s="26"/>
      <c r="V249" s="26"/>
      <c r="W249" s="26"/>
      <c r="X249" s="26"/>
    </row>
    <row r="250" spans="1:24">
      <c r="A250" s="368">
        <f t="shared" si="29"/>
        <v>239</v>
      </c>
      <c r="B250" s="388" t="s">
        <v>519</v>
      </c>
      <c r="C250" s="388" t="s">
        <v>515</v>
      </c>
      <c r="D250" s="389">
        <v>42861</v>
      </c>
      <c r="E250" s="390">
        <v>67218.75</v>
      </c>
      <c r="F250" s="389">
        <v>42828</v>
      </c>
      <c r="G250" s="389">
        <v>42855</v>
      </c>
      <c r="H250" s="369">
        <f t="shared" si="30"/>
        <v>13.5</v>
      </c>
      <c r="I250" s="389">
        <v>42923</v>
      </c>
      <c r="J250" s="391">
        <f t="shared" si="31"/>
        <v>68</v>
      </c>
      <c r="K250" s="392">
        <f t="shared" si="27"/>
        <v>81.5</v>
      </c>
      <c r="L250" s="336">
        <f t="shared" si="28"/>
        <v>5478328.1299999999</v>
      </c>
      <c r="M250" s="26"/>
      <c r="N250" s="370">
        <f t="shared" si="32"/>
        <v>13.5</v>
      </c>
      <c r="O250" s="370">
        <f t="shared" si="33"/>
        <v>68</v>
      </c>
      <c r="P250" s="370">
        <f t="shared" si="34"/>
        <v>81.5</v>
      </c>
      <c r="Q250" s="371">
        <f t="shared" si="35"/>
        <v>5478328.125</v>
      </c>
      <c r="R250" s="26"/>
      <c r="S250" s="26"/>
      <c r="T250" s="26"/>
      <c r="U250" s="26"/>
      <c r="V250" s="26"/>
      <c r="W250" s="26"/>
      <c r="X250" s="26"/>
    </row>
    <row r="251" spans="1:24">
      <c r="A251" s="368">
        <f t="shared" si="29"/>
        <v>240</v>
      </c>
      <c r="B251" s="388" t="s">
        <v>519</v>
      </c>
      <c r="C251" s="388" t="s">
        <v>515</v>
      </c>
      <c r="D251" s="389">
        <v>42887</v>
      </c>
      <c r="E251" s="390">
        <v>60247.06</v>
      </c>
      <c r="F251" s="389">
        <v>42856</v>
      </c>
      <c r="G251" s="389">
        <v>42883</v>
      </c>
      <c r="H251" s="369">
        <f t="shared" si="30"/>
        <v>13.5</v>
      </c>
      <c r="I251" s="389">
        <v>42923</v>
      </c>
      <c r="J251" s="391">
        <f t="shared" si="31"/>
        <v>40</v>
      </c>
      <c r="K251" s="392">
        <f t="shared" si="27"/>
        <v>53.5</v>
      </c>
      <c r="L251" s="336">
        <f t="shared" si="28"/>
        <v>3223217.71</v>
      </c>
      <c r="M251" s="26"/>
      <c r="N251" s="370">
        <f t="shared" si="32"/>
        <v>13.5</v>
      </c>
      <c r="O251" s="370">
        <f t="shared" si="33"/>
        <v>40</v>
      </c>
      <c r="P251" s="370">
        <f t="shared" si="34"/>
        <v>53.5</v>
      </c>
      <c r="Q251" s="371">
        <f t="shared" si="35"/>
        <v>3223217.71</v>
      </c>
      <c r="R251" s="26"/>
      <c r="S251" s="26"/>
      <c r="T251" s="26"/>
      <c r="U251" s="26"/>
      <c r="V251" s="26"/>
      <c r="W251" s="26"/>
      <c r="X251" s="26"/>
    </row>
    <row r="252" spans="1:24">
      <c r="A252" s="368">
        <f t="shared" si="29"/>
        <v>241</v>
      </c>
      <c r="B252" s="388" t="s">
        <v>520</v>
      </c>
      <c r="C252" s="388" t="s">
        <v>515</v>
      </c>
      <c r="D252" s="389">
        <v>43042</v>
      </c>
      <c r="E252" s="390">
        <v>56140</v>
      </c>
      <c r="F252" s="389">
        <v>43042</v>
      </c>
      <c r="G252" s="389"/>
      <c r="H252" s="369">
        <f t="shared" si="30"/>
        <v>0</v>
      </c>
      <c r="I252" s="389">
        <v>43076</v>
      </c>
      <c r="J252" s="391">
        <f t="shared" si="31"/>
        <v>34</v>
      </c>
      <c r="K252" s="392">
        <f t="shared" si="27"/>
        <v>34</v>
      </c>
      <c r="L252" s="336">
        <f t="shared" si="28"/>
        <v>1908760</v>
      </c>
      <c r="M252" s="26"/>
      <c r="N252" s="370">
        <f t="shared" si="32"/>
        <v>15</v>
      </c>
      <c r="O252" s="370">
        <f t="shared" si="33"/>
        <v>34</v>
      </c>
      <c r="P252" s="370">
        <f t="shared" si="34"/>
        <v>49</v>
      </c>
      <c r="Q252" s="371">
        <f t="shared" si="35"/>
        <v>2750860</v>
      </c>
      <c r="R252" s="26"/>
      <c r="S252" s="26"/>
      <c r="T252" s="26"/>
      <c r="U252" s="26"/>
      <c r="V252" s="26"/>
      <c r="W252" s="26"/>
      <c r="X252" s="26"/>
    </row>
    <row r="253" spans="1:24">
      <c r="A253" s="368">
        <f t="shared" si="29"/>
        <v>242</v>
      </c>
      <c r="B253" s="388" t="s">
        <v>521</v>
      </c>
      <c r="C253" s="388" t="s">
        <v>515</v>
      </c>
      <c r="D253" s="389">
        <v>42704</v>
      </c>
      <c r="E253" s="390">
        <v>276868.78999999998</v>
      </c>
      <c r="F253" s="389">
        <v>42675</v>
      </c>
      <c r="G253" s="389">
        <v>42704</v>
      </c>
      <c r="H253" s="369">
        <f t="shared" si="30"/>
        <v>14.5</v>
      </c>
      <c r="I253" s="389">
        <v>42753</v>
      </c>
      <c r="J253" s="391">
        <f t="shared" si="31"/>
        <v>49</v>
      </c>
      <c r="K253" s="392">
        <f t="shared" si="27"/>
        <v>63.5</v>
      </c>
      <c r="L253" s="336">
        <f t="shared" si="28"/>
        <v>17581168.170000002</v>
      </c>
      <c r="M253" s="26"/>
      <c r="N253" s="370">
        <f t="shared" si="32"/>
        <v>14.5</v>
      </c>
      <c r="O253" s="370">
        <f t="shared" si="33"/>
        <v>49</v>
      </c>
      <c r="P253" s="370">
        <f t="shared" si="34"/>
        <v>63.5</v>
      </c>
      <c r="Q253" s="371">
        <f t="shared" si="35"/>
        <v>17581168.164999999</v>
      </c>
      <c r="R253" s="26"/>
      <c r="S253" s="26"/>
      <c r="T253" s="26"/>
      <c r="U253" s="26"/>
      <c r="V253" s="26"/>
      <c r="W253" s="26"/>
      <c r="X253" s="26"/>
    </row>
    <row r="254" spans="1:24">
      <c r="A254" s="368">
        <f t="shared" si="29"/>
        <v>243</v>
      </c>
      <c r="B254" s="388" t="s">
        <v>521</v>
      </c>
      <c r="C254" s="388" t="s">
        <v>515</v>
      </c>
      <c r="D254" s="389">
        <v>42735</v>
      </c>
      <c r="E254" s="390">
        <v>282733</v>
      </c>
      <c r="F254" s="389">
        <v>42705</v>
      </c>
      <c r="G254" s="389">
        <v>42735</v>
      </c>
      <c r="H254" s="369">
        <f t="shared" si="30"/>
        <v>15</v>
      </c>
      <c r="I254" s="389">
        <v>42767</v>
      </c>
      <c r="J254" s="391">
        <f t="shared" si="31"/>
        <v>32</v>
      </c>
      <c r="K254" s="392">
        <f t="shared" si="27"/>
        <v>47</v>
      </c>
      <c r="L254" s="336">
        <f t="shared" si="28"/>
        <v>13288451</v>
      </c>
      <c r="M254" s="26"/>
      <c r="N254" s="370">
        <f t="shared" si="32"/>
        <v>15</v>
      </c>
      <c r="O254" s="370">
        <f t="shared" si="33"/>
        <v>32</v>
      </c>
      <c r="P254" s="370">
        <f t="shared" si="34"/>
        <v>47</v>
      </c>
      <c r="Q254" s="371">
        <f t="shared" si="35"/>
        <v>13288451</v>
      </c>
      <c r="R254" s="26"/>
      <c r="S254" s="26"/>
      <c r="T254" s="26"/>
      <c r="U254" s="26"/>
      <c r="V254" s="26"/>
      <c r="W254" s="26"/>
      <c r="X254" s="26"/>
    </row>
    <row r="255" spans="1:24">
      <c r="A255" s="368">
        <f t="shared" si="29"/>
        <v>244</v>
      </c>
      <c r="B255" s="388" t="s">
        <v>521</v>
      </c>
      <c r="C255" s="388" t="s">
        <v>515</v>
      </c>
      <c r="D255" s="389">
        <v>42766</v>
      </c>
      <c r="E255" s="390">
        <v>284363.11</v>
      </c>
      <c r="F255" s="389">
        <v>42736</v>
      </c>
      <c r="G255" s="389">
        <v>42766</v>
      </c>
      <c r="H255" s="369">
        <f t="shared" si="30"/>
        <v>15</v>
      </c>
      <c r="I255" s="389">
        <v>42802</v>
      </c>
      <c r="J255" s="391">
        <f t="shared" si="31"/>
        <v>36</v>
      </c>
      <c r="K255" s="392">
        <f t="shared" si="27"/>
        <v>51</v>
      </c>
      <c r="L255" s="336">
        <f t="shared" si="28"/>
        <v>14502518.609999999</v>
      </c>
      <c r="M255" s="26"/>
      <c r="N255" s="370">
        <f t="shared" si="32"/>
        <v>15</v>
      </c>
      <c r="O255" s="370">
        <f t="shared" si="33"/>
        <v>36</v>
      </c>
      <c r="P255" s="370">
        <f t="shared" si="34"/>
        <v>51</v>
      </c>
      <c r="Q255" s="371">
        <f t="shared" si="35"/>
        <v>14502518.609999999</v>
      </c>
      <c r="R255" s="26"/>
      <c r="S255" s="26"/>
      <c r="T255" s="26"/>
      <c r="U255" s="26"/>
      <c r="V255" s="26"/>
      <c r="W255" s="26"/>
      <c r="X255" s="26"/>
    </row>
    <row r="256" spans="1:24">
      <c r="A256" s="368">
        <f t="shared" si="29"/>
        <v>245</v>
      </c>
      <c r="B256" s="388" t="s">
        <v>521</v>
      </c>
      <c r="C256" s="388" t="s">
        <v>515</v>
      </c>
      <c r="D256" s="389">
        <v>42794</v>
      </c>
      <c r="E256" s="390">
        <v>289080.57</v>
      </c>
      <c r="F256" s="389">
        <v>42767</v>
      </c>
      <c r="G256" s="389">
        <v>42794</v>
      </c>
      <c r="H256" s="369">
        <f t="shared" si="30"/>
        <v>13.5</v>
      </c>
      <c r="I256" s="389">
        <v>42825</v>
      </c>
      <c r="J256" s="391">
        <f t="shared" si="31"/>
        <v>31</v>
      </c>
      <c r="K256" s="392">
        <f t="shared" si="27"/>
        <v>44.5</v>
      </c>
      <c r="L256" s="336">
        <f t="shared" si="28"/>
        <v>12864085.369999999</v>
      </c>
      <c r="M256" s="26"/>
      <c r="N256" s="370">
        <f t="shared" si="32"/>
        <v>13.5</v>
      </c>
      <c r="O256" s="370">
        <f t="shared" si="33"/>
        <v>31</v>
      </c>
      <c r="P256" s="370">
        <f t="shared" si="34"/>
        <v>44.5</v>
      </c>
      <c r="Q256" s="371">
        <f t="shared" si="35"/>
        <v>12864085.365</v>
      </c>
      <c r="R256" s="26"/>
      <c r="S256" s="26"/>
      <c r="T256" s="26"/>
      <c r="U256" s="26"/>
      <c r="V256" s="26"/>
      <c r="W256" s="26"/>
      <c r="X256" s="26"/>
    </row>
    <row r="257" spans="1:24">
      <c r="A257" s="368">
        <f t="shared" si="29"/>
        <v>246</v>
      </c>
      <c r="B257" s="388" t="s">
        <v>521</v>
      </c>
      <c r="C257" s="388" t="s">
        <v>515</v>
      </c>
      <c r="D257" s="389">
        <v>42825</v>
      </c>
      <c r="E257" s="390">
        <v>280888.05</v>
      </c>
      <c r="F257" s="389">
        <v>42795</v>
      </c>
      <c r="G257" s="389">
        <v>42825</v>
      </c>
      <c r="H257" s="369">
        <f t="shared" si="30"/>
        <v>15</v>
      </c>
      <c r="I257" s="389">
        <v>42863</v>
      </c>
      <c r="J257" s="391">
        <f t="shared" si="31"/>
        <v>38</v>
      </c>
      <c r="K257" s="392">
        <f t="shared" si="27"/>
        <v>53</v>
      </c>
      <c r="L257" s="336">
        <f t="shared" si="28"/>
        <v>14887066.65</v>
      </c>
      <c r="M257" s="26"/>
      <c r="N257" s="370">
        <f t="shared" si="32"/>
        <v>15</v>
      </c>
      <c r="O257" s="370">
        <f t="shared" si="33"/>
        <v>38</v>
      </c>
      <c r="P257" s="370">
        <f t="shared" si="34"/>
        <v>53</v>
      </c>
      <c r="Q257" s="371">
        <f t="shared" si="35"/>
        <v>14887066.649999999</v>
      </c>
      <c r="R257" s="26"/>
      <c r="S257" s="26"/>
      <c r="T257" s="26"/>
      <c r="U257" s="26"/>
      <c r="V257" s="26"/>
      <c r="W257" s="26"/>
      <c r="X257" s="26"/>
    </row>
    <row r="258" spans="1:24">
      <c r="A258" s="368">
        <f t="shared" si="29"/>
        <v>247</v>
      </c>
      <c r="B258" s="388" t="s">
        <v>521</v>
      </c>
      <c r="C258" s="388" t="s">
        <v>515</v>
      </c>
      <c r="D258" s="389">
        <v>42855</v>
      </c>
      <c r="E258" s="390">
        <v>298239.90000000002</v>
      </c>
      <c r="F258" s="389">
        <v>42826</v>
      </c>
      <c r="G258" s="389">
        <v>42855</v>
      </c>
      <c r="H258" s="369">
        <f t="shared" si="30"/>
        <v>14.5</v>
      </c>
      <c r="I258" s="389">
        <v>42887</v>
      </c>
      <c r="J258" s="391">
        <f t="shared" si="31"/>
        <v>32</v>
      </c>
      <c r="K258" s="392">
        <f t="shared" si="27"/>
        <v>46.5</v>
      </c>
      <c r="L258" s="336">
        <f t="shared" si="28"/>
        <v>13868155.35</v>
      </c>
      <c r="M258" s="26"/>
      <c r="N258" s="370">
        <f t="shared" si="32"/>
        <v>14.5</v>
      </c>
      <c r="O258" s="370">
        <f t="shared" si="33"/>
        <v>32</v>
      </c>
      <c r="P258" s="370">
        <f t="shared" si="34"/>
        <v>46.5</v>
      </c>
      <c r="Q258" s="371">
        <f t="shared" si="35"/>
        <v>13868155.350000001</v>
      </c>
      <c r="R258" s="26"/>
      <c r="S258" s="26"/>
      <c r="T258" s="26"/>
      <c r="U258" s="26"/>
      <c r="V258" s="26"/>
      <c r="W258" s="26"/>
      <c r="X258" s="26"/>
    </row>
    <row r="259" spans="1:24">
      <c r="A259" s="368">
        <f t="shared" si="29"/>
        <v>248</v>
      </c>
      <c r="B259" s="388" t="s">
        <v>521</v>
      </c>
      <c r="C259" s="388" t="s">
        <v>515</v>
      </c>
      <c r="D259" s="389">
        <v>42886</v>
      </c>
      <c r="E259" s="390">
        <v>274914.34000000003</v>
      </c>
      <c r="F259" s="389">
        <v>42856</v>
      </c>
      <c r="G259" s="389">
        <v>42886</v>
      </c>
      <c r="H259" s="369">
        <f t="shared" si="30"/>
        <v>15</v>
      </c>
      <c r="I259" s="389">
        <v>42919</v>
      </c>
      <c r="J259" s="391">
        <f t="shared" si="31"/>
        <v>33</v>
      </c>
      <c r="K259" s="392">
        <f t="shared" si="27"/>
        <v>48</v>
      </c>
      <c r="L259" s="336">
        <f t="shared" si="28"/>
        <v>13195888.32</v>
      </c>
      <c r="M259" s="26"/>
      <c r="N259" s="370">
        <f t="shared" si="32"/>
        <v>15</v>
      </c>
      <c r="O259" s="370">
        <f t="shared" si="33"/>
        <v>33</v>
      </c>
      <c r="P259" s="370">
        <f t="shared" si="34"/>
        <v>48</v>
      </c>
      <c r="Q259" s="371">
        <f t="shared" si="35"/>
        <v>13195888.32</v>
      </c>
      <c r="R259" s="26"/>
      <c r="S259" s="26"/>
      <c r="T259" s="26"/>
      <c r="U259" s="26"/>
      <c r="V259" s="26"/>
      <c r="W259" s="26"/>
      <c r="X259" s="26"/>
    </row>
    <row r="260" spans="1:24">
      <c r="A260" s="368">
        <f t="shared" si="29"/>
        <v>249</v>
      </c>
      <c r="B260" s="388" t="s">
        <v>521</v>
      </c>
      <c r="C260" s="388" t="s">
        <v>515</v>
      </c>
      <c r="D260" s="389">
        <v>42916</v>
      </c>
      <c r="E260" s="390">
        <v>281940.96000000002</v>
      </c>
      <c r="F260" s="389">
        <v>42887</v>
      </c>
      <c r="G260" s="389">
        <v>42916</v>
      </c>
      <c r="H260" s="369">
        <f t="shared" si="30"/>
        <v>14.5</v>
      </c>
      <c r="I260" s="389">
        <v>42951</v>
      </c>
      <c r="J260" s="391">
        <f t="shared" si="31"/>
        <v>35</v>
      </c>
      <c r="K260" s="392">
        <f t="shared" si="27"/>
        <v>49.5</v>
      </c>
      <c r="L260" s="336">
        <f t="shared" si="28"/>
        <v>13956077.52</v>
      </c>
      <c r="M260" s="26"/>
      <c r="N260" s="370">
        <f t="shared" si="32"/>
        <v>14.5</v>
      </c>
      <c r="O260" s="370">
        <f t="shared" si="33"/>
        <v>35</v>
      </c>
      <c r="P260" s="370">
        <f t="shared" si="34"/>
        <v>49.5</v>
      </c>
      <c r="Q260" s="371">
        <f t="shared" si="35"/>
        <v>13956077.520000001</v>
      </c>
      <c r="R260" s="26"/>
      <c r="S260" s="26"/>
      <c r="T260" s="26"/>
      <c r="U260" s="26"/>
      <c r="V260" s="26"/>
      <c r="W260" s="26"/>
      <c r="X260" s="26"/>
    </row>
    <row r="261" spans="1:24">
      <c r="A261" s="368">
        <f t="shared" si="29"/>
        <v>250</v>
      </c>
      <c r="B261" s="388" t="s">
        <v>521</v>
      </c>
      <c r="C261" s="388" t="s">
        <v>515</v>
      </c>
      <c r="D261" s="389">
        <v>42947</v>
      </c>
      <c r="E261" s="390">
        <v>269217.44</v>
      </c>
      <c r="F261" s="389">
        <v>42917</v>
      </c>
      <c r="G261" s="389">
        <v>42947</v>
      </c>
      <c r="H261" s="369">
        <f t="shared" si="30"/>
        <v>15</v>
      </c>
      <c r="I261" s="389">
        <v>42983</v>
      </c>
      <c r="J261" s="391">
        <f t="shared" si="31"/>
        <v>36</v>
      </c>
      <c r="K261" s="392">
        <f t="shared" si="27"/>
        <v>51</v>
      </c>
      <c r="L261" s="336">
        <f t="shared" si="28"/>
        <v>13730089.439999999</v>
      </c>
      <c r="M261" s="26"/>
      <c r="N261" s="370">
        <f t="shared" si="32"/>
        <v>15</v>
      </c>
      <c r="O261" s="370">
        <f t="shared" si="33"/>
        <v>36</v>
      </c>
      <c r="P261" s="370">
        <f t="shared" si="34"/>
        <v>51</v>
      </c>
      <c r="Q261" s="371">
        <f t="shared" si="35"/>
        <v>13730089.439999999</v>
      </c>
      <c r="R261" s="26"/>
      <c r="S261" s="26"/>
      <c r="T261" s="26"/>
      <c r="U261" s="26"/>
      <c r="V261" s="26"/>
      <c r="W261" s="26"/>
      <c r="X261" s="26"/>
    </row>
    <row r="262" spans="1:24">
      <c r="A262" s="368">
        <f t="shared" si="29"/>
        <v>251</v>
      </c>
      <c r="B262" s="388" t="s">
        <v>521</v>
      </c>
      <c r="C262" s="388" t="s">
        <v>515</v>
      </c>
      <c r="D262" s="389">
        <v>42978</v>
      </c>
      <c r="E262" s="390">
        <v>284892.83</v>
      </c>
      <c r="F262" s="389">
        <v>42948</v>
      </c>
      <c r="G262" s="389">
        <v>42978</v>
      </c>
      <c r="H262" s="369">
        <f t="shared" si="30"/>
        <v>15</v>
      </c>
      <c r="I262" s="389">
        <v>43010</v>
      </c>
      <c r="J262" s="391">
        <f t="shared" si="31"/>
        <v>32</v>
      </c>
      <c r="K262" s="392">
        <f t="shared" si="27"/>
        <v>47</v>
      </c>
      <c r="L262" s="336">
        <f t="shared" si="28"/>
        <v>13389963.01</v>
      </c>
      <c r="M262" s="26"/>
      <c r="N262" s="370">
        <f t="shared" si="32"/>
        <v>15</v>
      </c>
      <c r="O262" s="370">
        <f t="shared" si="33"/>
        <v>32</v>
      </c>
      <c r="P262" s="370">
        <f t="shared" si="34"/>
        <v>47</v>
      </c>
      <c r="Q262" s="371">
        <f t="shared" si="35"/>
        <v>13389963.010000002</v>
      </c>
      <c r="R262" s="26"/>
      <c r="S262" s="26"/>
      <c r="T262" s="26"/>
      <c r="U262" s="26"/>
      <c r="V262" s="26"/>
      <c r="W262" s="26"/>
      <c r="X262" s="26"/>
    </row>
    <row r="263" spans="1:24">
      <c r="A263" s="368">
        <f t="shared" si="29"/>
        <v>252</v>
      </c>
      <c r="B263" s="388" t="s">
        <v>521</v>
      </c>
      <c r="C263" s="388" t="s">
        <v>515</v>
      </c>
      <c r="D263" s="389">
        <v>43008</v>
      </c>
      <c r="E263" s="390">
        <v>287524.27</v>
      </c>
      <c r="F263" s="389">
        <v>42979</v>
      </c>
      <c r="G263" s="389">
        <v>43008</v>
      </c>
      <c r="H263" s="369">
        <f t="shared" si="30"/>
        <v>14.5</v>
      </c>
      <c r="I263" s="389">
        <v>43039</v>
      </c>
      <c r="J263" s="391">
        <f t="shared" si="31"/>
        <v>31</v>
      </c>
      <c r="K263" s="392">
        <f t="shared" si="27"/>
        <v>45.5</v>
      </c>
      <c r="L263" s="336">
        <f t="shared" si="28"/>
        <v>13082354.289999999</v>
      </c>
      <c r="M263" s="26"/>
      <c r="N263" s="370">
        <f t="shared" si="32"/>
        <v>14.5</v>
      </c>
      <c r="O263" s="370">
        <f t="shared" si="33"/>
        <v>31</v>
      </c>
      <c r="P263" s="370">
        <f t="shared" si="34"/>
        <v>45.5</v>
      </c>
      <c r="Q263" s="371">
        <f t="shared" si="35"/>
        <v>13082354.285</v>
      </c>
      <c r="R263" s="26"/>
      <c r="S263" s="26"/>
      <c r="T263" s="26"/>
      <c r="U263" s="26"/>
      <c r="V263" s="26"/>
      <c r="W263" s="26"/>
      <c r="X263" s="26"/>
    </row>
    <row r="264" spans="1:24">
      <c r="A264" s="368">
        <f t="shared" si="29"/>
        <v>253</v>
      </c>
      <c r="B264" s="388" t="s">
        <v>521</v>
      </c>
      <c r="C264" s="388" t="s">
        <v>515</v>
      </c>
      <c r="D264" s="389">
        <v>43039</v>
      </c>
      <c r="E264" s="390">
        <v>286913.14</v>
      </c>
      <c r="F264" s="389">
        <v>43009</v>
      </c>
      <c r="G264" s="389">
        <v>43039</v>
      </c>
      <c r="H264" s="369">
        <f t="shared" si="30"/>
        <v>15</v>
      </c>
      <c r="I264" s="389">
        <v>43082</v>
      </c>
      <c r="J264" s="391">
        <f t="shared" si="31"/>
        <v>43</v>
      </c>
      <c r="K264" s="392">
        <f t="shared" si="27"/>
        <v>58</v>
      </c>
      <c r="L264" s="336">
        <f t="shared" si="28"/>
        <v>16640962.119999999</v>
      </c>
      <c r="M264" s="26"/>
      <c r="N264" s="370">
        <f t="shared" si="32"/>
        <v>15</v>
      </c>
      <c r="O264" s="370">
        <f t="shared" si="33"/>
        <v>43</v>
      </c>
      <c r="P264" s="370">
        <f t="shared" si="34"/>
        <v>58</v>
      </c>
      <c r="Q264" s="371">
        <f t="shared" si="35"/>
        <v>16640962.120000001</v>
      </c>
      <c r="R264" s="26"/>
      <c r="S264" s="26"/>
      <c r="T264" s="26"/>
      <c r="U264" s="26"/>
      <c r="V264" s="26"/>
      <c r="W264" s="26"/>
      <c r="X264" s="26"/>
    </row>
    <row r="265" spans="1:24">
      <c r="A265" s="368">
        <f t="shared" si="29"/>
        <v>254</v>
      </c>
      <c r="B265" s="388" t="s">
        <v>521</v>
      </c>
      <c r="C265" s="388" t="s">
        <v>515</v>
      </c>
      <c r="D265" s="389">
        <v>43069</v>
      </c>
      <c r="E265" s="390">
        <v>275564.61</v>
      </c>
      <c r="F265" s="389">
        <v>43040</v>
      </c>
      <c r="G265" s="389">
        <v>43069</v>
      </c>
      <c r="H265" s="369">
        <f t="shared" si="30"/>
        <v>14.5</v>
      </c>
      <c r="I265" s="389">
        <v>43102</v>
      </c>
      <c r="J265" s="391">
        <f t="shared" si="31"/>
        <v>33</v>
      </c>
      <c r="K265" s="392">
        <f t="shared" si="27"/>
        <v>47.5</v>
      </c>
      <c r="L265" s="336">
        <f t="shared" si="28"/>
        <v>13089318.98</v>
      </c>
      <c r="M265" s="26"/>
      <c r="N265" s="370">
        <f t="shared" si="32"/>
        <v>14.5</v>
      </c>
      <c r="O265" s="370">
        <f t="shared" si="33"/>
        <v>33</v>
      </c>
      <c r="P265" s="370">
        <f t="shared" si="34"/>
        <v>47.5</v>
      </c>
      <c r="Q265" s="371">
        <f t="shared" si="35"/>
        <v>13089318.975</v>
      </c>
      <c r="R265" s="26"/>
      <c r="S265" s="26"/>
      <c r="T265" s="26"/>
      <c r="U265" s="26"/>
      <c r="V265" s="26"/>
      <c r="W265" s="26"/>
      <c r="X265" s="26"/>
    </row>
    <row r="266" spans="1:24">
      <c r="A266" s="368">
        <f t="shared" si="29"/>
        <v>255</v>
      </c>
      <c r="B266" s="388" t="s">
        <v>522</v>
      </c>
      <c r="C266" s="388" t="s">
        <v>515</v>
      </c>
      <c r="D266" s="389">
        <v>42769</v>
      </c>
      <c r="E266" s="390">
        <v>121308.26</v>
      </c>
      <c r="F266" s="389">
        <v>42736</v>
      </c>
      <c r="G266" s="389">
        <v>42766</v>
      </c>
      <c r="H266" s="369">
        <f t="shared" si="30"/>
        <v>15</v>
      </c>
      <c r="I266" s="389">
        <v>42800</v>
      </c>
      <c r="J266" s="391">
        <f t="shared" si="31"/>
        <v>34</v>
      </c>
      <c r="K266" s="392">
        <f t="shared" si="27"/>
        <v>49</v>
      </c>
      <c r="L266" s="336">
        <f t="shared" si="28"/>
        <v>5944104.7400000002</v>
      </c>
      <c r="M266" s="26"/>
      <c r="N266" s="370">
        <f t="shared" si="32"/>
        <v>15</v>
      </c>
      <c r="O266" s="370">
        <f t="shared" si="33"/>
        <v>34</v>
      </c>
      <c r="P266" s="370">
        <f t="shared" si="34"/>
        <v>49</v>
      </c>
      <c r="Q266" s="371">
        <f t="shared" si="35"/>
        <v>5944104.7399999993</v>
      </c>
      <c r="R266" s="26"/>
      <c r="S266" s="26"/>
      <c r="T266" s="26"/>
      <c r="U266" s="26"/>
      <c r="V266" s="26"/>
      <c r="W266" s="26"/>
      <c r="X266" s="26"/>
    </row>
    <row r="267" spans="1:24">
      <c r="A267" s="368">
        <f t="shared" si="29"/>
        <v>256</v>
      </c>
      <c r="B267" s="388" t="s">
        <v>522</v>
      </c>
      <c r="C267" s="388" t="s">
        <v>515</v>
      </c>
      <c r="D267" s="389">
        <v>42801</v>
      </c>
      <c r="E267" s="390">
        <v>109865.09</v>
      </c>
      <c r="F267" s="389">
        <v>42767</v>
      </c>
      <c r="G267" s="389">
        <v>42794</v>
      </c>
      <c r="H267" s="369">
        <f t="shared" si="30"/>
        <v>13.5</v>
      </c>
      <c r="I267" s="389">
        <v>42832</v>
      </c>
      <c r="J267" s="391">
        <f t="shared" si="31"/>
        <v>38</v>
      </c>
      <c r="K267" s="392">
        <f t="shared" si="27"/>
        <v>51.5</v>
      </c>
      <c r="L267" s="336">
        <f t="shared" si="28"/>
        <v>5658052.1399999997</v>
      </c>
      <c r="M267" s="26"/>
      <c r="N267" s="370">
        <f t="shared" si="32"/>
        <v>13.5</v>
      </c>
      <c r="O267" s="370">
        <f t="shared" si="33"/>
        <v>38</v>
      </c>
      <c r="P267" s="370">
        <f t="shared" si="34"/>
        <v>51.5</v>
      </c>
      <c r="Q267" s="371">
        <f t="shared" si="35"/>
        <v>5658052.1349999998</v>
      </c>
      <c r="R267" s="26"/>
      <c r="S267" s="26"/>
      <c r="T267" s="26"/>
      <c r="U267" s="26"/>
      <c r="V267" s="26"/>
      <c r="W267" s="26"/>
      <c r="X267" s="26"/>
    </row>
    <row r="268" spans="1:24">
      <c r="A268" s="368">
        <f t="shared" si="29"/>
        <v>257</v>
      </c>
      <c r="B268" s="388" t="s">
        <v>522</v>
      </c>
      <c r="C268" s="388" t="s">
        <v>515</v>
      </c>
      <c r="D268" s="389">
        <v>42832</v>
      </c>
      <c r="E268" s="390">
        <v>115176.83</v>
      </c>
      <c r="F268" s="389">
        <v>42795</v>
      </c>
      <c r="G268" s="389">
        <v>42825</v>
      </c>
      <c r="H268" s="369">
        <f t="shared" si="30"/>
        <v>15</v>
      </c>
      <c r="I268" s="389">
        <v>42863</v>
      </c>
      <c r="J268" s="391">
        <f t="shared" si="31"/>
        <v>38</v>
      </c>
      <c r="K268" s="392">
        <f t="shared" ref="K268:K331" si="36">H268+J268</f>
        <v>53</v>
      </c>
      <c r="L268" s="336">
        <f t="shared" ref="L268:L331" si="37">ROUND(E268*K268,2)</f>
        <v>6104371.9900000002</v>
      </c>
      <c r="M268" s="26"/>
      <c r="N268" s="370">
        <f t="shared" si="32"/>
        <v>15</v>
      </c>
      <c r="O268" s="370">
        <f t="shared" si="33"/>
        <v>38</v>
      </c>
      <c r="P268" s="370">
        <f t="shared" si="34"/>
        <v>53</v>
      </c>
      <c r="Q268" s="371">
        <f t="shared" si="35"/>
        <v>6104371.9900000002</v>
      </c>
      <c r="R268" s="26"/>
      <c r="S268" s="26"/>
      <c r="T268" s="26"/>
      <c r="U268" s="26"/>
      <c r="V268" s="26"/>
      <c r="W268" s="26"/>
      <c r="X268" s="26"/>
    </row>
    <row r="269" spans="1:24">
      <c r="A269" s="368">
        <f t="shared" ref="A269:A332" si="38">A268+1</f>
        <v>258</v>
      </c>
      <c r="B269" s="388" t="s">
        <v>522</v>
      </c>
      <c r="C269" s="388" t="s">
        <v>515</v>
      </c>
      <c r="D269" s="389">
        <v>42858</v>
      </c>
      <c r="E269" s="390">
        <v>107430.96</v>
      </c>
      <c r="F269" s="389">
        <v>42826</v>
      </c>
      <c r="G269" s="389">
        <v>42855</v>
      </c>
      <c r="H269" s="369">
        <f t="shared" ref="H269:H332" si="39">IF(G269="",0,(G269-F269)/2)</f>
        <v>14.5</v>
      </c>
      <c r="I269" s="389">
        <v>42891</v>
      </c>
      <c r="J269" s="391">
        <f t="shared" ref="J269:J332" si="40">IF(G269="",I269-F269,I269-G269)</f>
        <v>36</v>
      </c>
      <c r="K269" s="392">
        <f t="shared" si="36"/>
        <v>50.5</v>
      </c>
      <c r="L269" s="336">
        <f t="shared" si="37"/>
        <v>5425263.4800000004</v>
      </c>
      <c r="M269" s="26"/>
      <c r="N269" s="370">
        <f t="shared" ref="N269:N332" si="41">IF(G269="",30/2,H269)</f>
        <v>14.5</v>
      </c>
      <c r="O269" s="370">
        <f t="shared" ref="O269:O332" si="42">J269</f>
        <v>36</v>
      </c>
      <c r="P269" s="370">
        <f t="shared" ref="P269:P332" si="43">N269+O269</f>
        <v>50.5</v>
      </c>
      <c r="Q269" s="371">
        <f t="shared" ref="Q269:Q332" si="44">E269*P269</f>
        <v>5425263.4800000004</v>
      </c>
      <c r="R269" s="26"/>
      <c r="S269" s="26"/>
      <c r="T269" s="26"/>
      <c r="U269" s="26"/>
      <c r="V269" s="26"/>
      <c r="W269" s="26"/>
      <c r="X269" s="26"/>
    </row>
    <row r="270" spans="1:24">
      <c r="A270" s="368">
        <f t="shared" si="38"/>
        <v>259</v>
      </c>
      <c r="B270" s="388" t="s">
        <v>522</v>
      </c>
      <c r="C270" s="388" t="s">
        <v>515</v>
      </c>
      <c r="D270" s="389">
        <v>42892</v>
      </c>
      <c r="E270" s="390">
        <v>111263.44</v>
      </c>
      <c r="F270" s="389">
        <v>42856</v>
      </c>
      <c r="G270" s="389">
        <v>42886</v>
      </c>
      <c r="H270" s="369">
        <f t="shared" si="39"/>
        <v>15</v>
      </c>
      <c r="I270" s="389">
        <v>42923</v>
      </c>
      <c r="J270" s="391">
        <f t="shared" si="40"/>
        <v>37</v>
      </c>
      <c r="K270" s="392">
        <f t="shared" si="36"/>
        <v>52</v>
      </c>
      <c r="L270" s="336">
        <f t="shared" si="37"/>
        <v>5785698.8799999999</v>
      </c>
      <c r="M270" s="26"/>
      <c r="N270" s="370">
        <f t="shared" si="41"/>
        <v>15</v>
      </c>
      <c r="O270" s="370">
        <f t="shared" si="42"/>
        <v>37</v>
      </c>
      <c r="P270" s="370">
        <f t="shared" si="43"/>
        <v>52</v>
      </c>
      <c r="Q270" s="371">
        <f t="shared" si="44"/>
        <v>5785698.8799999999</v>
      </c>
      <c r="R270" s="26"/>
      <c r="S270" s="26"/>
      <c r="T270" s="26"/>
      <c r="U270" s="26"/>
      <c r="V270" s="26"/>
      <c r="W270" s="26"/>
      <c r="X270" s="26"/>
    </row>
    <row r="271" spans="1:24">
      <c r="A271" s="368">
        <f t="shared" si="38"/>
        <v>260</v>
      </c>
      <c r="B271" s="388" t="s">
        <v>522</v>
      </c>
      <c r="C271" s="388" t="s">
        <v>515</v>
      </c>
      <c r="D271" s="389">
        <v>42926</v>
      </c>
      <c r="E271" s="390">
        <v>103627.9</v>
      </c>
      <c r="F271" s="389">
        <v>42887</v>
      </c>
      <c r="G271" s="389">
        <v>42916</v>
      </c>
      <c r="H271" s="369">
        <f t="shared" si="39"/>
        <v>14.5</v>
      </c>
      <c r="I271" s="389">
        <v>42957</v>
      </c>
      <c r="J271" s="391">
        <f t="shared" si="40"/>
        <v>41</v>
      </c>
      <c r="K271" s="392">
        <f t="shared" si="36"/>
        <v>55.5</v>
      </c>
      <c r="L271" s="336">
        <f t="shared" si="37"/>
        <v>5751348.4500000002</v>
      </c>
      <c r="M271" s="26"/>
      <c r="N271" s="370">
        <f t="shared" si="41"/>
        <v>14.5</v>
      </c>
      <c r="O271" s="370">
        <f t="shared" si="42"/>
        <v>41</v>
      </c>
      <c r="P271" s="370">
        <f t="shared" si="43"/>
        <v>55.5</v>
      </c>
      <c r="Q271" s="371">
        <f t="shared" si="44"/>
        <v>5751348.4499999993</v>
      </c>
      <c r="R271" s="26"/>
      <c r="S271" s="26"/>
      <c r="T271" s="26"/>
      <c r="U271" s="26"/>
      <c r="V271" s="26"/>
      <c r="W271" s="26"/>
      <c r="X271" s="26"/>
    </row>
    <row r="272" spans="1:24">
      <c r="A272" s="368">
        <f t="shared" si="38"/>
        <v>261</v>
      </c>
      <c r="B272" s="388" t="s">
        <v>522</v>
      </c>
      <c r="C272" s="388" t="s">
        <v>515</v>
      </c>
      <c r="D272" s="389">
        <v>42951</v>
      </c>
      <c r="E272" s="390">
        <v>89312.18</v>
      </c>
      <c r="F272" s="389">
        <v>42917</v>
      </c>
      <c r="G272" s="389">
        <v>42947</v>
      </c>
      <c r="H272" s="369">
        <f t="shared" si="39"/>
        <v>15</v>
      </c>
      <c r="I272" s="389">
        <v>42979</v>
      </c>
      <c r="J272" s="391">
        <f t="shared" si="40"/>
        <v>32</v>
      </c>
      <c r="K272" s="392">
        <f t="shared" si="36"/>
        <v>47</v>
      </c>
      <c r="L272" s="336">
        <f t="shared" si="37"/>
        <v>4197672.46</v>
      </c>
      <c r="M272" s="26"/>
      <c r="N272" s="370">
        <f t="shared" si="41"/>
        <v>15</v>
      </c>
      <c r="O272" s="370">
        <f t="shared" si="42"/>
        <v>32</v>
      </c>
      <c r="P272" s="370">
        <f t="shared" si="43"/>
        <v>47</v>
      </c>
      <c r="Q272" s="371">
        <f t="shared" si="44"/>
        <v>4197672.46</v>
      </c>
      <c r="R272" s="26"/>
      <c r="S272" s="26"/>
      <c r="T272" s="26"/>
      <c r="U272" s="26"/>
      <c r="V272" s="26"/>
      <c r="W272" s="26"/>
      <c r="X272" s="26"/>
    </row>
    <row r="273" spans="1:24">
      <c r="A273" s="368">
        <f t="shared" si="38"/>
        <v>262</v>
      </c>
      <c r="B273" s="388" t="s">
        <v>522</v>
      </c>
      <c r="C273" s="388" t="s">
        <v>515</v>
      </c>
      <c r="D273" s="389">
        <v>42983</v>
      </c>
      <c r="E273" s="390">
        <v>97865.89</v>
      </c>
      <c r="F273" s="389">
        <v>42948</v>
      </c>
      <c r="G273" s="389">
        <v>42978</v>
      </c>
      <c r="H273" s="369">
        <f t="shared" si="39"/>
        <v>15</v>
      </c>
      <c r="I273" s="389">
        <v>43014</v>
      </c>
      <c r="J273" s="391">
        <f t="shared" si="40"/>
        <v>36</v>
      </c>
      <c r="K273" s="392">
        <f t="shared" si="36"/>
        <v>51</v>
      </c>
      <c r="L273" s="336">
        <f t="shared" si="37"/>
        <v>4991160.3899999997</v>
      </c>
      <c r="M273" s="26"/>
      <c r="N273" s="370">
        <f t="shared" si="41"/>
        <v>15</v>
      </c>
      <c r="O273" s="370">
        <f t="shared" si="42"/>
        <v>36</v>
      </c>
      <c r="P273" s="370">
        <f t="shared" si="43"/>
        <v>51</v>
      </c>
      <c r="Q273" s="371">
        <f t="shared" si="44"/>
        <v>4991160.3899999997</v>
      </c>
      <c r="R273" s="26"/>
      <c r="S273" s="26"/>
      <c r="T273" s="26"/>
      <c r="U273" s="26"/>
      <c r="V273" s="26"/>
      <c r="W273" s="26"/>
      <c r="X273" s="26"/>
    </row>
    <row r="274" spans="1:24">
      <c r="A274" s="368">
        <f t="shared" si="38"/>
        <v>263</v>
      </c>
      <c r="B274" s="388" t="s">
        <v>522</v>
      </c>
      <c r="C274" s="388" t="s">
        <v>515</v>
      </c>
      <c r="D274" s="389">
        <v>43013</v>
      </c>
      <c r="E274" s="390">
        <v>84255.01</v>
      </c>
      <c r="F274" s="389">
        <v>42979</v>
      </c>
      <c r="G274" s="389">
        <v>43008</v>
      </c>
      <c r="H274" s="369">
        <f t="shared" si="39"/>
        <v>14.5</v>
      </c>
      <c r="I274" s="389">
        <v>43045</v>
      </c>
      <c r="J274" s="391">
        <f t="shared" si="40"/>
        <v>37</v>
      </c>
      <c r="K274" s="392">
        <f t="shared" si="36"/>
        <v>51.5</v>
      </c>
      <c r="L274" s="336">
        <f t="shared" si="37"/>
        <v>4339133.0199999996</v>
      </c>
      <c r="M274" s="26"/>
      <c r="N274" s="370">
        <f t="shared" si="41"/>
        <v>14.5</v>
      </c>
      <c r="O274" s="370">
        <f t="shared" si="42"/>
        <v>37</v>
      </c>
      <c r="P274" s="370">
        <f t="shared" si="43"/>
        <v>51.5</v>
      </c>
      <c r="Q274" s="371">
        <f t="shared" si="44"/>
        <v>4339133.0149999997</v>
      </c>
      <c r="R274" s="26"/>
      <c r="S274" s="26"/>
      <c r="T274" s="26"/>
      <c r="U274" s="26"/>
      <c r="V274" s="26"/>
      <c r="W274" s="26"/>
      <c r="X274" s="26"/>
    </row>
    <row r="275" spans="1:24">
      <c r="A275" s="368">
        <f t="shared" si="38"/>
        <v>264</v>
      </c>
      <c r="B275" s="388" t="s">
        <v>522</v>
      </c>
      <c r="C275" s="388" t="s">
        <v>515</v>
      </c>
      <c r="D275" s="389">
        <v>43045</v>
      </c>
      <c r="E275" s="390">
        <v>89970.87</v>
      </c>
      <c r="F275" s="389">
        <v>43009</v>
      </c>
      <c r="G275" s="389">
        <v>43039</v>
      </c>
      <c r="H275" s="369">
        <f t="shared" si="39"/>
        <v>15</v>
      </c>
      <c r="I275" s="389">
        <v>43076</v>
      </c>
      <c r="J275" s="391">
        <f t="shared" si="40"/>
        <v>37</v>
      </c>
      <c r="K275" s="392">
        <f t="shared" si="36"/>
        <v>52</v>
      </c>
      <c r="L275" s="336">
        <f t="shared" si="37"/>
        <v>4678485.24</v>
      </c>
      <c r="M275" s="26"/>
      <c r="N275" s="370">
        <f t="shared" si="41"/>
        <v>15</v>
      </c>
      <c r="O275" s="370">
        <f t="shared" si="42"/>
        <v>37</v>
      </c>
      <c r="P275" s="370">
        <f t="shared" si="43"/>
        <v>52</v>
      </c>
      <c r="Q275" s="371">
        <f t="shared" si="44"/>
        <v>4678485.24</v>
      </c>
      <c r="R275" s="26"/>
      <c r="S275" s="26"/>
      <c r="T275" s="26"/>
      <c r="U275" s="26"/>
      <c r="V275" s="26"/>
      <c r="W275" s="26"/>
      <c r="X275" s="26"/>
    </row>
    <row r="276" spans="1:24">
      <c r="A276" s="368">
        <f t="shared" si="38"/>
        <v>265</v>
      </c>
      <c r="B276" s="388" t="s">
        <v>522</v>
      </c>
      <c r="C276" s="388" t="s">
        <v>515</v>
      </c>
      <c r="D276" s="389">
        <v>43075</v>
      </c>
      <c r="E276" s="390">
        <v>92265.02</v>
      </c>
      <c r="F276" s="389">
        <v>43040</v>
      </c>
      <c r="G276" s="389">
        <v>43069</v>
      </c>
      <c r="H276" s="369">
        <f t="shared" si="39"/>
        <v>14.5</v>
      </c>
      <c r="I276" s="389">
        <v>43108</v>
      </c>
      <c r="J276" s="391">
        <f t="shared" si="40"/>
        <v>39</v>
      </c>
      <c r="K276" s="392">
        <f t="shared" si="36"/>
        <v>53.5</v>
      </c>
      <c r="L276" s="336">
        <f t="shared" si="37"/>
        <v>4936178.57</v>
      </c>
      <c r="M276" s="26"/>
      <c r="N276" s="370">
        <f t="shared" si="41"/>
        <v>14.5</v>
      </c>
      <c r="O276" s="370">
        <f t="shared" si="42"/>
        <v>39</v>
      </c>
      <c r="P276" s="370">
        <f t="shared" si="43"/>
        <v>53.5</v>
      </c>
      <c r="Q276" s="371">
        <f t="shared" si="44"/>
        <v>4936178.57</v>
      </c>
      <c r="R276" s="26"/>
      <c r="S276" s="26"/>
      <c r="T276" s="26"/>
      <c r="U276" s="26"/>
      <c r="V276" s="26"/>
      <c r="W276" s="26"/>
      <c r="X276" s="26"/>
    </row>
    <row r="277" spans="1:24">
      <c r="A277" s="368">
        <f t="shared" si="38"/>
        <v>266</v>
      </c>
      <c r="B277" s="388" t="s">
        <v>522</v>
      </c>
      <c r="C277" s="388" t="s">
        <v>515</v>
      </c>
      <c r="D277" s="389">
        <v>42739</v>
      </c>
      <c r="E277" s="390">
        <v>116035.14</v>
      </c>
      <c r="F277" s="389">
        <v>42705</v>
      </c>
      <c r="G277" s="389">
        <v>42735</v>
      </c>
      <c r="H277" s="369">
        <f t="shared" si="39"/>
        <v>15</v>
      </c>
      <c r="I277" s="389">
        <v>42772</v>
      </c>
      <c r="J277" s="391">
        <f t="shared" si="40"/>
        <v>37</v>
      </c>
      <c r="K277" s="392">
        <f t="shared" si="36"/>
        <v>52</v>
      </c>
      <c r="L277" s="336">
        <f t="shared" si="37"/>
        <v>6033827.2800000003</v>
      </c>
      <c r="M277" s="26"/>
      <c r="N277" s="370">
        <f t="shared" si="41"/>
        <v>15</v>
      </c>
      <c r="O277" s="370">
        <f t="shared" si="42"/>
        <v>37</v>
      </c>
      <c r="P277" s="370">
        <f t="shared" si="43"/>
        <v>52</v>
      </c>
      <c r="Q277" s="371">
        <f t="shared" si="44"/>
        <v>6033827.2800000003</v>
      </c>
      <c r="R277" s="26"/>
      <c r="S277" s="26"/>
      <c r="T277" s="26"/>
      <c r="U277" s="26"/>
      <c r="V277" s="26"/>
      <c r="W277" s="26"/>
      <c r="X277" s="26"/>
    </row>
    <row r="278" spans="1:24">
      <c r="A278" s="368">
        <f t="shared" si="38"/>
        <v>267</v>
      </c>
      <c r="B278" s="388" t="s">
        <v>519</v>
      </c>
      <c r="C278" s="388" t="s">
        <v>515</v>
      </c>
      <c r="D278" s="389">
        <v>42769</v>
      </c>
      <c r="E278" s="390">
        <v>74966.259999999995</v>
      </c>
      <c r="F278" s="389">
        <v>42736</v>
      </c>
      <c r="G278" s="389">
        <v>42764</v>
      </c>
      <c r="H278" s="369">
        <f t="shared" si="39"/>
        <v>14</v>
      </c>
      <c r="I278" s="389">
        <v>42800</v>
      </c>
      <c r="J278" s="391">
        <f t="shared" si="40"/>
        <v>36</v>
      </c>
      <c r="K278" s="392">
        <f t="shared" si="36"/>
        <v>50</v>
      </c>
      <c r="L278" s="336">
        <f t="shared" si="37"/>
        <v>3748313</v>
      </c>
      <c r="M278" s="26"/>
      <c r="N278" s="370">
        <f t="shared" si="41"/>
        <v>14</v>
      </c>
      <c r="O278" s="370">
        <f t="shared" si="42"/>
        <v>36</v>
      </c>
      <c r="P278" s="370">
        <f t="shared" si="43"/>
        <v>50</v>
      </c>
      <c r="Q278" s="371">
        <f t="shared" si="44"/>
        <v>3748312.9999999995</v>
      </c>
      <c r="R278" s="26"/>
      <c r="S278" s="26"/>
      <c r="T278" s="26"/>
      <c r="U278" s="26"/>
      <c r="V278" s="26"/>
      <c r="W278" s="26"/>
      <c r="X278" s="26"/>
    </row>
    <row r="279" spans="1:24">
      <c r="A279" s="368">
        <f t="shared" si="38"/>
        <v>268</v>
      </c>
      <c r="B279" s="388" t="s">
        <v>519</v>
      </c>
      <c r="C279" s="388" t="s">
        <v>515</v>
      </c>
      <c r="D279" s="389">
        <v>42797</v>
      </c>
      <c r="E279" s="390">
        <v>59703.14</v>
      </c>
      <c r="F279" s="389">
        <v>42765</v>
      </c>
      <c r="G279" s="389">
        <v>42792</v>
      </c>
      <c r="H279" s="369">
        <f t="shared" si="39"/>
        <v>13.5</v>
      </c>
      <c r="I279" s="389">
        <v>42828</v>
      </c>
      <c r="J279" s="391">
        <f t="shared" si="40"/>
        <v>36</v>
      </c>
      <c r="K279" s="392">
        <f t="shared" si="36"/>
        <v>49.5</v>
      </c>
      <c r="L279" s="336">
        <f t="shared" si="37"/>
        <v>2955305.43</v>
      </c>
      <c r="M279" s="26"/>
      <c r="N279" s="370">
        <f t="shared" si="41"/>
        <v>13.5</v>
      </c>
      <c r="O279" s="370">
        <f t="shared" si="42"/>
        <v>36</v>
      </c>
      <c r="P279" s="370">
        <f t="shared" si="43"/>
        <v>49.5</v>
      </c>
      <c r="Q279" s="371">
        <f t="shared" si="44"/>
        <v>2955305.43</v>
      </c>
      <c r="R279" s="26"/>
      <c r="S279" s="26"/>
      <c r="T279" s="26"/>
      <c r="U279" s="26"/>
      <c r="V279" s="26"/>
      <c r="W279" s="26"/>
      <c r="X279" s="26"/>
    </row>
    <row r="280" spans="1:24">
      <c r="A280" s="368">
        <f t="shared" si="38"/>
        <v>269</v>
      </c>
      <c r="B280" s="388" t="s">
        <v>519</v>
      </c>
      <c r="C280" s="388" t="s">
        <v>515</v>
      </c>
      <c r="D280" s="389">
        <v>42978</v>
      </c>
      <c r="E280" s="390">
        <v>54427</v>
      </c>
      <c r="F280" s="389">
        <v>42947</v>
      </c>
      <c r="G280" s="389">
        <v>42974</v>
      </c>
      <c r="H280" s="369">
        <f t="shared" si="39"/>
        <v>13.5</v>
      </c>
      <c r="I280" s="389">
        <v>43010</v>
      </c>
      <c r="J280" s="391">
        <f t="shared" si="40"/>
        <v>36</v>
      </c>
      <c r="K280" s="392">
        <f t="shared" si="36"/>
        <v>49.5</v>
      </c>
      <c r="L280" s="336">
        <f t="shared" si="37"/>
        <v>2694136.5</v>
      </c>
      <c r="M280" s="26"/>
      <c r="N280" s="370">
        <f t="shared" si="41"/>
        <v>13.5</v>
      </c>
      <c r="O280" s="370">
        <f t="shared" si="42"/>
        <v>36</v>
      </c>
      <c r="P280" s="370">
        <f t="shared" si="43"/>
        <v>49.5</v>
      </c>
      <c r="Q280" s="371">
        <f t="shared" si="44"/>
        <v>2694136.5</v>
      </c>
      <c r="R280" s="26"/>
      <c r="S280" s="26"/>
      <c r="T280" s="26"/>
      <c r="U280" s="26"/>
      <c r="V280" s="26"/>
      <c r="W280" s="26"/>
      <c r="X280" s="26"/>
    </row>
    <row r="281" spans="1:24">
      <c r="A281" s="368">
        <f t="shared" si="38"/>
        <v>270</v>
      </c>
      <c r="B281" s="388" t="s">
        <v>465</v>
      </c>
      <c r="C281" s="388" t="s">
        <v>515</v>
      </c>
      <c r="D281" s="389">
        <v>42993</v>
      </c>
      <c r="E281" s="390">
        <v>58.61</v>
      </c>
      <c r="F281" s="389">
        <v>42988</v>
      </c>
      <c r="G281" s="389"/>
      <c r="H281" s="369">
        <f t="shared" si="39"/>
        <v>0</v>
      </c>
      <c r="I281" s="389">
        <v>43031</v>
      </c>
      <c r="J281" s="391">
        <f t="shared" si="40"/>
        <v>43</v>
      </c>
      <c r="K281" s="392">
        <f t="shared" si="36"/>
        <v>43</v>
      </c>
      <c r="L281" s="336">
        <f t="shared" si="37"/>
        <v>2520.23</v>
      </c>
      <c r="M281" s="26"/>
      <c r="N281" s="370">
        <f t="shared" si="41"/>
        <v>15</v>
      </c>
      <c r="O281" s="370">
        <f t="shared" si="42"/>
        <v>43</v>
      </c>
      <c r="P281" s="370">
        <f t="shared" si="43"/>
        <v>58</v>
      </c>
      <c r="Q281" s="371">
        <f t="shared" si="44"/>
        <v>3399.38</v>
      </c>
      <c r="R281" s="26"/>
      <c r="S281" s="26"/>
      <c r="T281" s="26"/>
      <c r="U281" s="26"/>
      <c r="V281" s="26"/>
      <c r="W281" s="26"/>
      <c r="X281" s="26"/>
    </row>
    <row r="282" spans="1:24">
      <c r="A282" s="368">
        <f t="shared" si="38"/>
        <v>271</v>
      </c>
      <c r="B282" s="388" t="s">
        <v>465</v>
      </c>
      <c r="C282" s="388" t="s">
        <v>515</v>
      </c>
      <c r="D282" s="389">
        <v>42838</v>
      </c>
      <c r="E282" s="390">
        <v>21.67</v>
      </c>
      <c r="F282" s="389">
        <v>42820</v>
      </c>
      <c r="G282" s="389"/>
      <c r="H282" s="369">
        <f t="shared" si="39"/>
        <v>0</v>
      </c>
      <c r="I282" s="389">
        <v>42949</v>
      </c>
      <c r="J282" s="391">
        <f t="shared" si="40"/>
        <v>129</v>
      </c>
      <c r="K282" s="392">
        <f t="shared" si="36"/>
        <v>129</v>
      </c>
      <c r="L282" s="336">
        <f t="shared" si="37"/>
        <v>2795.43</v>
      </c>
      <c r="M282" s="26"/>
      <c r="N282" s="370">
        <f t="shared" si="41"/>
        <v>15</v>
      </c>
      <c r="O282" s="370">
        <f t="shared" si="42"/>
        <v>129</v>
      </c>
      <c r="P282" s="370">
        <f t="shared" si="43"/>
        <v>144</v>
      </c>
      <c r="Q282" s="371">
        <f t="shared" si="44"/>
        <v>3120.4800000000005</v>
      </c>
      <c r="R282" s="26"/>
      <c r="S282" s="26"/>
      <c r="T282" s="26"/>
      <c r="U282" s="26"/>
      <c r="V282" s="26"/>
      <c r="W282" s="26"/>
      <c r="X282" s="26"/>
    </row>
    <row r="283" spans="1:24">
      <c r="A283" s="368">
        <f t="shared" si="38"/>
        <v>272</v>
      </c>
      <c r="B283" s="388" t="s">
        <v>499</v>
      </c>
      <c r="C283" s="388" t="s">
        <v>515</v>
      </c>
      <c r="D283" s="389">
        <v>43039</v>
      </c>
      <c r="E283" s="390">
        <v>112866.35999999999</v>
      </c>
      <c r="F283" s="389">
        <v>43039</v>
      </c>
      <c r="G283" s="389"/>
      <c r="H283" s="369">
        <f t="shared" si="39"/>
        <v>0</v>
      </c>
      <c r="I283" s="389">
        <v>43070</v>
      </c>
      <c r="J283" s="391">
        <f t="shared" si="40"/>
        <v>31</v>
      </c>
      <c r="K283" s="392">
        <f t="shared" si="36"/>
        <v>31</v>
      </c>
      <c r="L283" s="336">
        <f t="shared" si="37"/>
        <v>3498857.16</v>
      </c>
      <c r="M283" s="26"/>
      <c r="N283" s="370">
        <f t="shared" si="41"/>
        <v>15</v>
      </c>
      <c r="O283" s="370">
        <f t="shared" si="42"/>
        <v>31</v>
      </c>
      <c r="P283" s="370">
        <f t="shared" si="43"/>
        <v>46</v>
      </c>
      <c r="Q283" s="371">
        <f t="shared" si="44"/>
        <v>5191852.5599999996</v>
      </c>
      <c r="R283" s="26"/>
      <c r="S283" s="26"/>
      <c r="T283" s="26"/>
      <c r="U283" s="26"/>
      <c r="V283" s="26"/>
      <c r="W283" s="26"/>
      <c r="X283" s="26"/>
    </row>
    <row r="284" spans="1:24">
      <c r="A284" s="368">
        <f t="shared" si="38"/>
        <v>273</v>
      </c>
      <c r="B284" s="388" t="s">
        <v>474</v>
      </c>
      <c r="C284" s="388" t="s">
        <v>515</v>
      </c>
      <c r="D284" s="389">
        <v>42859</v>
      </c>
      <c r="E284" s="390">
        <v>84985</v>
      </c>
      <c r="F284" s="389">
        <v>42859</v>
      </c>
      <c r="G284" s="389"/>
      <c r="H284" s="369">
        <f t="shared" si="39"/>
        <v>0</v>
      </c>
      <c r="I284" s="389">
        <v>42891</v>
      </c>
      <c r="J284" s="391">
        <f t="shared" si="40"/>
        <v>32</v>
      </c>
      <c r="K284" s="392">
        <f t="shared" si="36"/>
        <v>32</v>
      </c>
      <c r="L284" s="336">
        <f t="shared" si="37"/>
        <v>2719520</v>
      </c>
      <c r="M284" s="26"/>
      <c r="N284" s="370">
        <f t="shared" si="41"/>
        <v>15</v>
      </c>
      <c r="O284" s="370">
        <f t="shared" si="42"/>
        <v>32</v>
      </c>
      <c r="P284" s="370">
        <f t="shared" si="43"/>
        <v>47</v>
      </c>
      <c r="Q284" s="371">
        <f t="shared" si="44"/>
        <v>3994295</v>
      </c>
      <c r="R284" s="26"/>
      <c r="S284" s="26"/>
      <c r="T284" s="26"/>
      <c r="U284" s="26"/>
      <c r="V284" s="26"/>
      <c r="W284" s="26"/>
      <c r="X284" s="26"/>
    </row>
    <row r="285" spans="1:24">
      <c r="A285" s="368">
        <f t="shared" si="38"/>
        <v>274</v>
      </c>
      <c r="B285" s="388" t="s">
        <v>451</v>
      </c>
      <c r="C285" s="388" t="s">
        <v>515</v>
      </c>
      <c r="D285" s="389">
        <v>42773</v>
      </c>
      <c r="E285" s="390">
        <v>70889.97</v>
      </c>
      <c r="F285" s="389">
        <v>42736</v>
      </c>
      <c r="G285" s="389">
        <v>42763</v>
      </c>
      <c r="H285" s="369">
        <f t="shared" si="39"/>
        <v>13.5</v>
      </c>
      <c r="I285" s="389">
        <v>42804</v>
      </c>
      <c r="J285" s="391">
        <f t="shared" si="40"/>
        <v>41</v>
      </c>
      <c r="K285" s="392">
        <f t="shared" si="36"/>
        <v>54.5</v>
      </c>
      <c r="L285" s="336">
        <f t="shared" si="37"/>
        <v>3863503.37</v>
      </c>
      <c r="M285" s="26"/>
      <c r="N285" s="370">
        <f t="shared" si="41"/>
        <v>13.5</v>
      </c>
      <c r="O285" s="370">
        <f t="shared" si="42"/>
        <v>41</v>
      </c>
      <c r="P285" s="370">
        <f t="shared" si="43"/>
        <v>54.5</v>
      </c>
      <c r="Q285" s="371">
        <f t="shared" si="44"/>
        <v>3863503.3650000002</v>
      </c>
      <c r="R285" s="26"/>
      <c r="S285" s="26"/>
      <c r="T285" s="26"/>
      <c r="U285" s="26"/>
      <c r="V285" s="26"/>
      <c r="W285" s="26"/>
      <c r="X285" s="26"/>
    </row>
    <row r="286" spans="1:24">
      <c r="A286" s="368">
        <f t="shared" si="38"/>
        <v>275</v>
      </c>
      <c r="B286" s="388" t="s">
        <v>451</v>
      </c>
      <c r="C286" s="388" t="s">
        <v>515</v>
      </c>
      <c r="D286" s="389">
        <v>42773</v>
      </c>
      <c r="E286" s="390">
        <v>53516.46</v>
      </c>
      <c r="F286" s="389">
        <v>42736</v>
      </c>
      <c r="G286" s="389">
        <v>42763</v>
      </c>
      <c r="H286" s="369">
        <f t="shared" si="39"/>
        <v>13.5</v>
      </c>
      <c r="I286" s="389">
        <v>42804</v>
      </c>
      <c r="J286" s="391">
        <f t="shared" si="40"/>
        <v>41</v>
      </c>
      <c r="K286" s="392">
        <f t="shared" si="36"/>
        <v>54.5</v>
      </c>
      <c r="L286" s="336">
        <f t="shared" si="37"/>
        <v>2916647.07</v>
      </c>
      <c r="M286" s="26"/>
      <c r="N286" s="370">
        <f t="shared" si="41"/>
        <v>13.5</v>
      </c>
      <c r="O286" s="370">
        <f t="shared" si="42"/>
        <v>41</v>
      </c>
      <c r="P286" s="370">
        <f t="shared" si="43"/>
        <v>54.5</v>
      </c>
      <c r="Q286" s="371">
        <f t="shared" si="44"/>
        <v>2916647.07</v>
      </c>
      <c r="R286" s="26"/>
      <c r="S286" s="26"/>
      <c r="T286" s="26"/>
      <c r="U286" s="26"/>
      <c r="V286" s="26"/>
      <c r="W286" s="26"/>
      <c r="X286" s="26"/>
    </row>
    <row r="287" spans="1:24">
      <c r="A287" s="368">
        <f t="shared" si="38"/>
        <v>276</v>
      </c>
      <c r="B287" s="388" t="s">
        <v>451</v>
      </c>
      <c r="C287" s="388" t="s">
        <v>515</v>
      </c>
      <c r="D287" s="389">
        <v>42797</v>
      </c>
      <c r="E287" s="390">
        <v>71392.350000000006</v>
      </c>
      <c r="F287" s="389">
        <v>42764</v>
      </c>
      <c r="G287" s="389">
        <v>42791</v>
      </c>
      <c r="H287" s="369">
        <f t="shared" si="39"/>
        <v>13.5</v>
      </c>
      <c r="I287" s="389">
        <v>42829</v>
      </c>
      <c r="J287" s="391">
        <f t="shared" si="40"/>
        <v>38</v>
      </c>
      <c r="K287" s="392">
        <f t="shared" si="36"/>
        <v>51.5</v>
      </c>
      <c r="L287" s="336">
        <f t="shared" si="37"/>
        <v>3676706.03</v>
      </c>
      <c r="M287" s="26"/>
      <c r="N287" s="370">
        <f t="shared" si="41"/>
        <v>13.5</v>
      </c>
      <c r="O287" s="370">
        <f t="shared" si="42"/>
        <v>38</v>
      </c>
      <c r="P287" s="370">
        <f t="shared" si="43"/>
        <v>51.5</v>
      </c>
      <c r="Q287" s="371">
        <f t="shared" si="44"/>
        <v>3676706.0250000004</v>
      </c>
      <c r="R287" s="26"/>
      <c r="S287" s="26"/>
      <c r="T287" s="26"/>
      <c r="U287" s="26"/>
      <c r="V287" s="26"/>
      <c r="W287" s="26"/>
      <c r="X287" s="26"/>
    </row>
    <row r="288" spans="1:24">
      <c r="A288" s="368">
        <f t="shared" si="38"/>
        <v>277</v>
      </c>
      <c r="B288" s="388" t="s">
        <v>451</v>
      </c>
      <c r="C288" s="388" t="s">
        <v>515</v>
      </c>
      <c r="D288" s="389">
        <v>42832</v>
      </c>
      <c r="E288" s="390">
        <v>126459.82</v>
      </c>
      <c r="F288" s="389">
        <v>42792</v>
      </c>
      <c r="G288" s="389">
        <v>42826</v>
      </c>
      <c r="H288" s="369">
        <f t="shared" si="39"/>
        <v>17</v>
      </c>
      <c r="I288" s="389">
        <v>42863</v>
      </c>
      <c r="J288" s="391">
        <f t="shared" si="40"/>
        <v>37</v>
      </c>
      <c r="K288" s="392">
        <f t="shared" si="36"/>
        <v>54</v>
      </c>
      <c r="L288" s="336">
        <f t="shared" si="37"/>
        <v>6828830.2800000003</v>
      </c>
      <c r="M288" s="26"/>
      <c r="N288" s="370">
        <f t="shared" si="41"/>
        <v>17</v>
      </c>
      <c r="O288" s="370">
        <f t="shared" si="42"/>
        <v>37</v>
      </c>
      <c r="P288" s="370">
        <f t="shared" si="43"/>
        <v>54</v>
      </c>
      <c r="Q288" s="371">
        <f t="shared" si="44"/>
        <v>6828830.2800000003</v>
      </c>
      <c r="R288" s="26"/>
      <c r="S288" s="26"/>
      <c r="T288" s="26"/>
      <c r="U288" s="26"/>
      <c r="V288" s="26"/>
      <c r="W288" s="26"/>
      <c r="X288" s="26"/>
    </row>
    <row r="289" spans="1:24">
      <c r="A289" s="368">
        <f t="shared" si="38"/>
        <v>278</v>
      </c>
      <c r="B289" s="388" t="s">
        <v>451</v>
      </c>
      <c r="C289" s="388" t="s">
        <v>515</v>
      </c>
      <c r="D289" s="389">
        <v>42860</v>
      </c>
      <c r="E289" s="390">
        <v>107671.26</v>
      </c>
      <c r="F289" s="389">
        <v>42827</v>
      </c>
      <c r="G289" s="389">
        <v>42854</v>
      </c>
      <c r="H289" s="369">
        <f t="shared" si="39"/>
        <v>13.5</v>
      </c>
      <c r="I289" s="389">
        <v>42892</v>
      </c>
      <c r="J289" s="391">
        <f t="shared" si="40"/>
        <v>38</v>
      </c>
      <c r="K289" s="392">
        <f t="shared" si="36"/>
        <v>51.5</v>
      </c>
      <c r="L289" s="336">
        <f t="shared" si="37"/>
        <v>5545069.8899999997</v>
      </c>
      <c r="M289" s="26"/>
      <c r="N289" s="370">
        <f t="shared" si="41"/>
        <v>13.5</v>
      </c>
      <c r="O289" s="370">
        <f t="shared" si="42"/>
        <v>38</v>
      </c>
      <c r="P289" s="370">
        <f t="shared" si="43"/>
        <v>51.5</v>
      </c>
      <c r="Q289" s="371">
        <f t="shared" si="44"/>
        <v>5545069.8899999997</v>
      </c>
      <c r="R289" s="26"/>
      <c r="S289" s="26"/>
      <c r="T289" s="26"/>
      <c r="U289" s="26"/>
      <c r="V289" s="26"/>
      <c r="W289" s="26"/>
      <c r="X289" s="26"/>
    </row>
    <row r="290" spans="1:24">
      <c r="A290" s="368">
        <f t="shared" si="38"/>
        <v>279</v>
      </c>
      <c r="B290" s="388" t="s">
        <v>451</v>
      </c>
      <c r="C290" s="388" t="s">
        <v>515</v>
      </c>
      <c r="D290" s="389">
        <v>42894</v>
      </c>
      <c r="E290" s="390">
        <v>130243.31</v>
      </c>
      <c r="F290" s="389">
        <v>42855</v>
      </c>
      <c r="G290" s="389">
        <v>42889</v>
      </c>
      <c r="H290" s="369">
        <f t="shared" si="39"/>
        <v>17</v>
      </c>
      <c r="I290" s="389">
        <v>42949</v>
      </c>
      <c r="J290" s="391">
        <f t="shared" si="40"/>
        <v>60</v>
      </c>
      <c r="K290" s="392">
        <f t="shared" si="36"/>
        <v>77</v>
      </c>
      <c r="L290" s="336">
        <f t="shared" si="37"/>
        <v>10028734.869999999</v>
      </c>
      <c r="M290" s="26"/>
      <c r="N290" s="370">
        <f t="shared" si="41"/>
        <v>17</v>
      </c>
      <c r="O290" s="370">
        <f t="shared" si="42"/>
        <v>60</v>
      </c>
      <c r="P290" s="370">
        <f t="shared" si="43"/>
        <v>77</v>
      </c>
      <c r="Q290" s="371">
        <f t="shared" si="44"/>
        <v>10028734.869999999</v>
      </c>
      <c r="R290" s="26"/>
      <c r="S290" s="26"/>
      <c r="T290" s="26"/>
      <c r="U290" s="26"/>
      <c r="V290" s="26"/>
      <c r="W290" s="26"/>
      <c r="X290" s="26"/>
    </row>
    <row r="291" spans="1:24">
      <c r="A291" s="368">
        <f t="shared" si="38"/>
        <v>280</v>
      </c>
      <c r="B291" s="388" t="s">
        <v>451</v>
      </c>
      <c r="C291" s="388" t="s">
        <v>515</v>
      </c>
      <c r="D291" s="389">
        <v>42923</v>
      </c>
      <c r="E291" s="390">
        <v>100365.67</v>
      </c>
      <c r="F291" s="389">
        <v>42890</v>
      </c>
      <c r="G291" s="389">
        <v>42917</v>
      </c>
      <c r="H291" s="369">
        <f t="shared" si="39"/>
        <v>13.5</v>
      </c>
      <c r="I291" s="389">
        <v>42954</v>
      </c>
      <c r="J291" s="391">
        <f t="shared" si="40"/>
        <v>37</v>
      </c>
      <c r="K291" s="392">
        <f t="shared" si="36"/>
        <v>50.5</v>
      </c>
      <c r="L291" s="336">
        <f t="shared" si="37"/>
        <v>5068466.34</v>
      </c>
      <c r="M291" s="26"/>
      <c r="N291" s="370">
        <f t="shared" si="41"/>
        <v>13.5</v>
      </c>
      <c r="O291" s="370">
        <f t="shared" si="42"/>
        <v>37</v>
      </c>
      <c r="P291" s="370">
        <f t="shared" si="43"/>
        <v>50.5</v>
      </c>
      <c r="Q291" s="371">
        <f t="shared" si="44"/>
        <v>5068466.335</v>
      </c>
      <c r="R291" s="26"/>
      <c r="S291" s="26"/>
      <c r="T291" s="26"/>
      <c r="U291" s="26"/>
      <c r="V291" s="26"/>
      <c r="W291" s="26"/>
      <c r="X291" s="26"/>
    </row>
    <row r="292" spans="1:24">
      <c r="A292" s="368">
        <f t="shared" si="38"/>
        <v>281</v>
      </c>
      <c r="B292" s="388" t="s">
        <v>451</v>
      </c>
      <c r="C292" s="388" t="s">
        <v>515</v>
      </c>
      <c r="D292" s="389">
        <v>42951</v>
      </c>
      <c r="E292" s="390">
        <v>65166.97</v>
      </c>
      <c r="F292" s="389">
        <v>42918</v>
      </c>
      <c r="G292" s="389">
        <v>42945</v>
      </c>
      <c r="H292" s="369">
        <f t="shared" si="39"/>
        <v>13.5</v>
      </c>
      <c r="I292" s="389">
        <v>42986</v>
      </c>
      <c r="J292" s="391">
        <f t="shared" si="40"/>
        <v>41</v>
      </c>
      <c r="K292" s="392">
        <f t="shared" si="36"/>
        <v>54.5</v>
      </c>
      <c r="L292" s="336">
        <f t="shared" si="37"/>
        <v>3551599.87</v>
      </c>
      <c r="M292" s="26"/>
      <c r="N292" s="370">
        <f t="shared" si="41"/>
        <v>13.5</v>
      </c>
      <c r="O292" s="370">
        <f t="shared" si="42"/>
        <v>41</v>
      </c>
      <c r="P292" s="370">
        <f t="shared" si="43"/>
        <v>54.5</v>
      </c>
      <c r="Q292" s="371">
        <f t="shared" si="44"/>
        <v>3551599.8650000002</v>
      </c>
      <c r="R292" s="26"/>
      <c r="S292" s="26"/>
      <c r="T292" s="26"/>
      <c r="U292" s="26"/>
      <c r="V292" s="26"/>
      <c r="W292" s="26"/>
      <c r="X292" s="26"/>
    </row>
    <row r="293" spans="1:24">
      <c r="A293" s="368">
        <f t="shared" si="38"/>
        <v>282</v>
      </c>
      <c r="B293" s="388" t="s">
        <v>460</v>
      </c>
      <c r="C293" s="388" t="s">
        <v>515</v>
      </c>
      <c r="D293" s="389">
        <v>42748</v>
      </c>
      <c r="E293" s="390">
        <v>589.2299999999999</v>
      </c>
      <c r="F293" s="389">
        <v>42748</v>
      </c>
      <c r="G293" s="389"/>
      <c r="H293" s="369">
        <f t="shared" si="39"/>
        <v>0</v>
      </c>
      <c r="I293" s="389">
        <v>42765</v>
      </c>
      <c r="J293" s="391">
        <f t="shared" si="40"/>
        <v>17</v>
      </c>
      <c r="K293" s="392">
        <f t="shared" si="36"/>
        <v>17</v>
      </c>
      <c r="L293" s="336">
        <f t="shared" si="37"/>
        <v>10016.91</v>
      </c>
      <c r="M293" s="26"/>
      <c r="N293" s="370">
        <f t="shared" si="41"/>
        <v>15</v>
      </c>
      <c r="O293" s="370">
        <f t="shared" si="42"/>
        <v>17</v>
      </c>
      <c r="P293" s="370">
        <f t="shared" si="43"/>
        <v>32</v>
      </c>
      <c r="Q293" s="371">
        <f t="shared" si="44"/>
        <v>18855.359999999997</v>
      </c>
      <c r="R293" s="26"/>
      <c r="S293" s="26"/>
      <c r="T293" s="26"/>
      <c r="U293" s="26"/>
      <c r="V293" s="26"/>
      <c r="W293" s="26"/>
      <c r="X293" s="26"/>
    </row>
    <row r="294" spans="1:24">
      <c r="A294" s="368">
        <f t="shared" si="38"/>
        <v>283</v>
      </c>
      <c r="B294" s="388" t="s">
        <v>460</v>
      </c>
      <c r="C294" s="388" t="s">
        <v>515</v>
      </c>
      <c r="D294" s="389">
        <v>42965</v>
      </c>
      <c r="E294" s="390">
        <v>3023.1099999999997</v>
      </c>
      <c r="F294" s="389">
        <v>42965</v>
      </c>
      <c r="G294" s="389"/>
      <c r="H294" s="369">
        <f t="shared" si="39"/>
        <v>0</v>
      </c>
      <c r="I294" s="389">
        <v>42979</v>
      </c>
      <c r="J294" s="391">
        <f t="shared" si="40"/>
        <v>14</v>
      </c>
      <c r="K294" s="392">
        <f t="shared" si="36"/>
        <v>14</v>
      </c>
      <c r="L294" s="336">
        <f t="shared" si="37"/>
        <v>42323.54</v>
      </c>
      <c r="M294" s="26"/>
      <c r="N294" s="370">
        <f t="shared" si="41"/>
        <v>15</v>
      </c>
      <c r="O294" s="370">
        <f t="shared" si="42"/>
        <v>14</v>
      </c>
      <c r="P294" s="370">
        <f t="shared" si="43"/>
        <v>29</v>
      </c>
      <c r="Q294" s="371">
        <f t="shared" si="44"/>
        <v>87670.189999999988</v>
      </c>
      <c r="R294" s="26"/>
      <c r="S294" s="26"/>
      <c r="T294" s="26"/>
      <c r="U294" s="26"/>
      <c r="V294" s="26"/>
      <c r="W294" s="26"/>
      <c r="X294" s="26"/>
    </row>
    <row r="295" spans="1:24">
      <c r="A295" s="368">
        <f t="shared" si="38"/>
        <v>284</v>
      </c>
      <c r="B295" s="388" t="s">
        <v>523</v>
      </c>
      <c r="C295" s="388" t="s">
        <v>515</v>
      </c>
      <c r="D295" s="389">
        <v>42711</v>
      </c>
      <c r="E295" s="390">
        <v>78067.25</v>
      </c>
      <c r="F295" s="389">
        <v>42675</v>
      </c>
      <c r="G295" s="389">
        <v>42704</v>
      </c>
      <c r="H295" s="369">
        <f t="shared" si="39"/>
        <v>14.5</v>
      </c>
      <c r="I295" s="389">
        <v>42759</v>
      </c>
      <c r="J295" s="391">
        <f t="shared" si="40"/>
        <v>55</v>
      </c>
      <c r="K295" s="392">
        <f t="shared" si="36"/>
        <v>69.5</v>
      </c>
      <c r="L295" s="336">
        <f t="shared" si="37"/>
        <v>5425673.8799999999</v>
      </c>
      <c r="M295" s="26"/>
      <c r="N295" s="370">
        <f t="shared" si="41"/>
        <v>14.5</v>
      </c>
      <c r="O295" s="370">
        <f t="shared" si="42"/>
        <v>55</v>
      </c>
      <c r="P295" s="370">
        <f t="shared" si="43"/>
        <v>69.5</v>
      </c>
      <c r="Q295" s="371">
        <f t="shared" si="44"/>
        <v>5425673.875</v>
      </c>
      <c r="R295" s="26"/>
      <c r="S295" s="26"/>
      <c r="T295" s="26"/>
      <c r="U295" s="26"/>
      <c r="V295" s="26"/>
      <c r="W295" s="26"/>
      <c r="X295" s="26"/>
    </row>
    <row r="296" spans="1:24">
      <c r="A296" s="368">
        <f t="shared" si="38"/>
        <v>285</v>
      </c>
      <c r="B296" s="388" t="s">
        <v>523</v>
      </c>
      <c r="C296" s="388" t="s">
        <v>515</v>
      </c>
      <c r="D296" s="389">
        <v>42711</v>
      </c>
      <c r="E296" s="390">
        <v>124341.5</v>
      </c>
      <c r="F296" s="389">
        <v>42675</v>
      </c>
      <c r="G296" s="389">
        <v>42704</v>
      </c>
      <c r="H296" s="369">
        <f t="shared" si="39"/>
        <v>14.5</v>
      </c>
      <c r="I296" s="389">
        <v>42759</v>
      </c>
      <c r="J296" s="391">
        <f t="shared" si="40"/>
        <v>55</v>
      </c>
      <c r="K296" s="392">
        <f t="shared" si="36"/>
        <v>69.5</v>
      </c>
      <c r="L296" s="336">
        <f t="shared" si="37"/>
        <v>8641734.25</v>
      </c>
      <c r="M296" s="26"/>
      <c r="N296" s="370">
        <f t="shared" si="41"/>
        <v>14.5</v>
      </c>
      <c r="O296" s="370">
        <f t="shared" si="42"/>
        <v>55</v>
      </c>
      <c r="P296" s="370">
        <f t="shared" si="43"/>
        <v>69.5</v>
      </c>
      <c r="Q296" s="371">
        <f t="shared" si="44"/>
        <v>8641734.25</v>
      </c>
      <c r="R296" s="26"/>
      <c r="S296" s="26"/>
      <c r="T296" s="26"/>
      <c r="U296" s="26"/>
      <c r="V296" s="26"/>
      <c r="W296" s="26"/>
      <c r="X296" s="26"/>
    </row>
    <row r="297" spans="1:24">
      <c r="A297" s="368">
        <f t="shared" si="38"/>
        <v>286</v>
      </c>
      <c r="B297" s="388" t="s">
        <v>523</v>
      </c>
      <c r="C297" s="388" t="s">
        <v>515</v>
      </c>
      <c r="D297" s="389">
        <v>42740</v>
      </c>
      <c r="E297" s="390">
        <v>73761.25</v>
      </c>
      <c r="F297" s="389">
        <v>42705</v>
      </c>
      <c r="G297" s="389">
        <v>42734</v>
      </c>
      <c r="H297" s="369">
        <f t="shared" si="39"/>
        <v>14.5</v>
      </c>
      <c r="I297" s="389">
        <v>42781</v>
      </c>
      <c r="J297" s="391">
        <f t="shared" si="40"/>
        <v>47</v>
      </c>
      <c r="K297" s="392">
        <f t="shared" si="36"/>
        <v>61.5</v>
      </c>
      <c r="L297" s="336">
        <f t="shared" si="37"/>
        <v>4536316.88</v>
      </c>
      <c r="M297" s="26"/>
      <c r="N297" s="370">
        <f t="shared" si="41"/>
        <v>14.5</v>
      </c>
      <c r="O297" s="370">
        <f t="shared" si="42"/>
        <v>47</v>
      </c>
      <c r="P297" s="370">
        <f t="shared" si="43"/>
        <v>61.5</v>
      </c>
      <c r="Q297" s="371">
        <f t="shared" si="44"/>
        <v>4536316.875</v>
      </c>
      <c r="R297" s="26"/>
      <c r="S297" s="26"/>
      <c r="T297" s="26"/>
      <c r="U297" s="26"/>
      <c r="V297" s="26"/>
      <c r="W297" s="26"/>
      <c r="X297" s="26"/>
    </row>
    <row r="298" spans="1:24">
      <c r="A298" s="368">
        <f t="shared" si="38"/>
        <v>287</v>
      </c>
      <c r="B298" s="388" t="s">
        <v>523</v>
      </c>
      <c r="C298" s="388" t="s">
        <v>515</v>
      </c>
      <c r="D298" s="389">
        <v>42740</v>
      </c>
      <c r="E298" s="390">
        <v>116975.95</v>
      </c>
      <c r="F298" s="389">
        <v>42705</v>
      </c>
      <c r="G298" s="389">
        <v>42734</v>
      </c>
      <c r="H298" s="369">
        <f t="shared" si="39"/>
        <v>14.5</v>
      </c>
      <c r="I298" s="389">
        <v>42781</v>
      </c>
      <c r="J298" s="391">
        <f t="shared" si="40"/>
        <v>47</v>
      </c>
      <c r="K298" s="392">
        <f t="shared" si="36"/>
        <v>61.5</v>
      </c>
      <c r="L298" s="336">
        <f t="shared" si="37"/>
        <v>7194020.9299999997</v>
      </c>
      <c r="M298" s="26"/>
      <c r="N298" s="370">
        <f t="shared" si="41"/>
        <v>14.5</v>
      </c>
      <c r="O298" s="370">
        <f t="shared" si="42"/>
        <v>47</v>
      </c>
      <c r="P298" s="370">
        <f t="shared" si="43"/>
        <v>61.5</v>
      </c>
      <c r="Q298" s="371">
        <f t="shared" si="44"/>
        <v>7194020.9249999998</v>
      </c>
      <c r="R298" s="26"/>
      <c r="S298" s="26"/>
      <c r="T298" s="26"/>
      <c r="U298" s="26"/>
      <c r="V298" s="26"/>
      <c r="W298" s="26"/>
      <c r="X298" s="26"/>
    </row>
    <row r="299" spans="1:24">
      <c r="A299" s="368">
        <f t="shared" si="38"/>
        <v>288</v>
      </c>
      <c r="B299" s="388" t="s">
        <v>523</v>
      </c>
      <c r="C299" s="388" t="s">
        <v>515</v>
      </c>
      <c r="D299" s="389">
        <v>42773</v>
      </c>
      <c r="E299" s="390">
        <v>65267</v>
      </c>
      <c r="F299" s="389">
        <v>42736</v>
      </c>
      <c r="G299" s="389">
        <v>42766</v>
      </c>
      <c r="H299" s="369">
        <f t="shared" si="39"/>
        <v>15</v>
      </c>
      <c r="I299" s="389">
        <v>42809</v>
      </c>
      <c r="J299" s="391">
        <f t="shared" si="40"/>
        <v>43</v>
      </c>
      <c r="K299" s="392">
        <f t="shared" si="36"/>
        <v>58</v>
      </c>
      <c r="L299" s="336">
        <f t="shared" si="37"/>
        <v>3785486</v>
      </c>
      <c r="M299" s="26"/>
      <c r="N299" s="370">
        <f t="shared" si="41"/>
        <v>15</v>
      </c>
      <c r="O299" s="370">
        <f t="shared" si="42"/>
        <v>43</v>
      </c>
      <c r="P299" s="370">
        <f t="shared" si="43"/>
        <v>58</v>
      </c>
      <c r="Q299" s="371">
        <f t="shared" si="44"/>
        <v>3785486</v>
      </c>
      <c r="R299" s="26"/>
      <c r="S299" s="26"/>
      <c r="T299" s="26"/>
      <c r="U299" s="26"/>
      <c r="V299" s="26"/>
      <c r="W299" s="26"/>
      <c r="X299" s="26"/>
    </row>
    <row r="300" spans="1:24">
      <c r="A300" s="368">
        <f t="shared" si="38"/>
        <v>289</v>
      </c>
      <c r="B300" s="388" t="s">
        <v>523</v>
      </c>
      <c r="C300" s="388" t="s">
        <v>515</v>
      </c>
      <c r="D300" s="389">
        <v>42773</v>
      </c>
      <c r="E300" s="390">
        <v>103435.05</v>
      </c>
      <c r="F300" s="389">
        <v>42736</v>
      </c>
      <c r="G300" s="389">
        <v>42766</v>
      </c>
      <c r="H300" s="369">
        <f t="shared" si="39"/>
        <v>15</v>
      </c>
      <c r="I300" s="389">
        <v>42809</v>
      </c>
      <c r="J300" s="391">
        <f t="shared" si="40"/>
        <v>43</v>
      </c>
      <c r="K300" s="392">
        <f t="shared" si="36"/>
        <v>58</v>
      </c>
      <c r="L300" s="336">
        <f t="shared" si="37"/>
        <v>5999232.9000000004</v>
      </c>
      <c r="M300" s="26"/>
      <c r="N300" s="370">
        <f t="shared" si="41"/>
        <v>15</v>
      </c>
      <c r="O300" s="370">
        <f t="shared" si="42"/>
        <v>43</v>
      </c>
      <c r="P300" s="370">
        <f t="shared" si="43"/>
        <v>58</v>
      </c>
      <c r="Q300" s="371">
        <f t="shared" si="44"/>
        <v>5999232.9000000004</v>
      </c>
      <c r="R300" s="26"/>
      <c r="S300" s="26"/>
      <c r="T300" s="26"/>
      <c r="U300" s="26"/>
      <c r="V300" s="26"/>
      <c r="W300" s="26"/>
      <c r="X300" s="26"/>
    </row>
    <row r="301" spans="1:24">
      <c r="A301" s="368">
        <f t="shared" si="38"/>
        <v>290</v>
      </c>
      <c r="B301" s="388" t="s">
        <v>523</v>
      </c>
      <c r="C301" s="388" t="s">
        <v>515</v>
      </c>
      <c r="D301" s="389">
        <v>42797</v>
      </c>
      <c r="E301" s="390">
        <v>111160.9</v>
      </c>
      <c r="F301" s="389">
        <v>42767</v>
      </c>
      <c r="G301" s="389">
        <v>42794</v>
      </c>
      <c r="H301" s="369">
        <f t="shared" si="39"/>
        <v>13.5</v>
      </c>
      <c r="I301" s="389">
        <v>42859</v>
      </c>
      <c r="J301" s="391">
        <f t="shared" si="40"/>
        <v>65</v>
      </c>
      <c r="K301" s="392">
        <f t="shared" si="36"/>
        <v>78.5</v>
      </c>
      <c r="L301" s="336">
        <f t="shared" si="37"/>
        <v>8726130.6500000004</v>
      </c>
      <c r="M301" s="26"/>
      <c r="N301" s="370">
        <f t="shared" si="41"/>
        <v>13.5</v>
      </c>
      <c r="O301" s="370">
        <f t="shared" si="42"/>
        <v>65</v>
      </c>
      <c r="P301" s="370">
        <f t="shared" si="43"/>
        <v>78.5</v>
      </c>
      <c r="Q301" s="371">
        <f t="shared" si="44"/>
        <v>8726130.6500000004</v>
      </c>
      <c r="R301" s="26"/>
      <c r="S301" s="26"/>
      <c r="T301" s="26"/>
      <c r="U301" s="26"/>
      <c r="V301" s="26"/>
      <c r="W301" s="26"/>
      <c r="X301" s="26"/>
    </row>
    <row r="302" spans="1:24">
      <c r="A302" s="368">
        <f t="shared" si="38"/>
        <v>291</v>
      </c>
      <c r="B302" s="388" t="s">
        <v>523</v>
      </c>
      <c r="C302" s="388" t="s">
        <v>515</v>
      </c>
      <c r="D302" s="389">
        <v>42797</v>
      </c>
      <c r="E302" s="390">
        <v>68430.5</v>
      </c>
      <c r="F302" s="389">
        <v>42767</v>
      </c>
      <c r="G302" s="389">
        <v>42794</v>
      </c>
      <c r="H302" s="369">
        <f t="shared" si="39"/>
        <v>13.5</v>
      </c>
      <c r="I302" s="389">
        <v>42859</v>
      </c>
      <c r="J302" s="391">
        <f t="shared" si="40"/>
        <v>65</v>
      </c>
      <c r="K302" s="392">
        <f t="shared" si="36"/>
        <v>78.5</v>
      </c>
      <c r="L302" s="336">
        <f t="shared" si="37"/>
        <v>5371794.25</v>
      </c>
      <c r="M302" s="26"/>
      <c r="N302" s="370">
        <f t="shared" si="41"/>
        <v>13.5</v>
      </c>
      <c r="O302" s="370">
        <f t="shared" si="42"/>
        <v>65</v>
      </c>
      <c r="P302" s="370">
        <f t="shared" si="43"/>
        <v>78.5</v>
      </c>
      <c r="Q302" s="371">
        <f t="shared" si="44"/>
        <v>5371794.25</v>
      </c>
      <c r="R302" s="26"/>
      <c r="S302" s="26"/>
      <c r="T302" s="26"/>
      <c r="U302" s="26"/>
      <c r="V302" s="26"/>
      <c r="W302" s="26"/>
      <c r="X302" s="26"/>
    </row>
    <row r="303" spans="1:24">
      <c r="A303" s="368">
        <f t="shared" si="38"/>
        <v>292</v>
      </c>
      <c r="B303" s="388" t="s">
        <v>523</v>
      </c>
      <c r="C303" s="388" t="s">
        <v>515</v>
      </c>
      <c r="D303" s="389">
        <v>42846</v>
      </c>
      <c r="E303" s="390">
        <v>79418.5</v>
      </c>
      <c r="F303" s="389">
        <v>42795</v>
      </c>
      <c r="G303" s="389">
        <v>42825</v>
      </c>
      <c r="H303" s="369">
        <f t="shared" si="39"/>
        <v>15</v>
      </c>
      <c r="I303" s="389">
        <v>42878</v>
      </c>
      <c r="J303" s="391">
        <f t="shared" si="40"/>
        <v>53</v>
      </c>
      <c r="K303" s="392">
        <f t="shared" si="36"/>
        <v>68</v>
      </c>
      <c r="L303" s="336">
        <f t="shared" si="37"/>
        <v>5400458</v>
      </c>
      <c r="M303" s="26"/>
      <c r="N303" s="370">
        <f t="shared" si="41"/>
        <v>15</v>
      </c>
      <c r="O303" s="370">
        <f t="shared" si="42"/>
        <v>53</v>
      </c>
      <c r="P303" s="370">
        <f t="shared" si="43"/>
        <v>68</v>
      </c>
      <c r="Q303" s="371">
        <f t="shared" si="44"/>
        <v>5400458</v>
      </c>
      <c r="R303" s="26"/>
      <c r="S303" s="26"/>
      <c r="T303" s="26"/>
      <c r="U303" s="26"/>
      <c r="V303" s="26"/>
      <c r="W303" s="26"/>
      <c r="X303" s="26"/>
    </row>
    <row r="304" spans="1:24">
      <c r="A304" s="368">
        <f t="shared" si="38"/>
        <v>293</v>
      </c>
      <c r="B304" s="388" t="s">
        <v>523</v>
      </c>
      <c r="C304" s="388" t="s">
        <v>515</v>
      </c>
      <c r="D304" s="389">
        <v>42846</v>
      </c>
      <c r="E304" s="390">
        <v>130180.65</v>
      </c>
      <c r="F304" s="389">
        <v>42795</v>
      </c>
      <c r="G304" s="389">
        <v>42825</v>
      </c>
      <c r="H304" s="369">
        <f t="shared" si="39"/>
        <v>15</v>
      </c>
      <c r="I304" s="389">
        <v>42878</v>
      </c>
      <c r="J304" s="391">
        <f t="shared" si="40"/>
        <v>53</v>
      </c>
      <c r="K304" s="392">
        <f t="shared" si="36"/>
        <v>68</v>
      </c>
      <c r="L304" s="336">
        <f t="shared" si="37"/>
        <v>8852284.1999999993</v>
      </c>
      <c r="M304" s="26"/>
      <c r="N304" s="370">
        <f t="shared" si="41"/>
        <v>15</v>
      </c>
      <c r="O304" s="370">
        <f t="shared" si="42"/>
        <v>53</v>
      </c>
      <c r="P304" s="370">
        <f t="shared" si="43"/>
        <v>68</v>
      </c>
      <c r="Q304" s="371">
        <f t="shared" si="44"/>
        <v>8852284.1999999993</v>
      </c>
      <c r="R304" s="26"/>
      <c r="S304" s="26"/>
      <c r="T304" s="26"/>
      <c r="U304" s="26"/>
      <c r="V304" s="26"/>
      <c r="W304" s="26"/>
      <c r="X304" s="26"/>
    </row>
    <row r="305" spans="1:24">
      <c r="A305" s="368">
        <f t="shared" si="38"/>
        <v>294</v>
      </c>
      <c r="B305" s="388" t="s">
        <v>523</v>
      </c>
      <c r="C305" s="388" t="s">
        <v>515</v>
      </c>
      <c r="D305" s="389">
        <v>42867</v>
      </c>
      <c r="E305" s="390">
        <v>57094.25</v>
      </c>
      <c r="F305" s="389">
        <v>42826</v>
      </c>
      <c r="G305" s="389">
        <v>42855</v>
      </c>
      <c r="H305" s="369">
        <f t="shared" si="39"/>
        <v>14.5</v>
      </c>
      <c r="I305" s="389">
        <v>42898</v>
      </c>
      <c r="J305" s="391">
        <f t="shared" si="40"/>
        <v>43</v>
      </c>
      <c r="K305" s="392">
        <f t="shared" si="36"/>
        <v>57.5</v>
      </c>
      <c r="L305" s="336">
        <f t="shared" si="37"/>
        <v>3282919.38</v>
      </c>
      <c r="M305" s="26"/>
      <c r="N305" s="370">
        <f t="shared" si="41"/>
        <v>14.5</v>
      </c>
      <c r="O305" s="370">
        <f t="shared" si="42"/>
        <v>43</v>
      </c>
      <c r="P305" s="370">
        <f t="shared" si="43"/>
        <v>57.5</v>
      </c>
      <c r="Q305" s="371">
        <f t="shared" si="44"/>
        <v>3282919.375</v>
      </c>
      <c r="R305" s="26"/>
      <c r="S305" s="26"/>
      <c r="T305" s="26"/>
      <c r="U305" s="26"/>
      <c r="V305" s="26"/>
      <c r="W305" s="26"/>
      <c r="X305" s="26"/>
    </row>
    <row r="306" spans="1:24">
      <c r="A306" s="368">
        <f t="shared" si="38"/>
        <v>295</v>
      </c>
      <c r="B306" s="388" t="s">
        <v>523</v>
      </c>
      <c r="C306" s="388" t="s">
        <v>515</v>
      </c>
      <c r="D306" s="389">
        <v>42867</v>
      </c>
      <c r="E306" s="390">
        <v>91930.05</v>
      </c>
      <c r="F306" s="389">
        <v>42826</v>
      </c>
      <c r="G306" s="389">
        <v>42855</v>
      </c>
      <c r="H306" s="369">
        <f t="shared" si="39"/>
        <v>14.5</v>
      </c>
      <c r="I306" s="389">
        <v>42898</v>
      </c>
      <c r="J306" s="391">
        <f t="shared" si="40"/>
        <v>43</v>
      </c>
      <c r="K306" s="392">
        <f t="shared" si="36"/>
        <v>57.5</v>
      </c>
      <c r="L306" s="336">
        <f t="shared" si="37"/>
        <v>5285977.88</v>
      </c>
      <c r="M306" s="26"/>
      <c r="N306" s="370">
        <f t="shared" si="41"/>
        <v>14.5</v>
      </c>
      <c r="O306" s="370">
        <f t="shared" si="42"/>
        <v>43</v>
      </c>
      <c r="P306" s="370">
        <f t="shared" si="43"/>
        <v>57.5</v>
      </c>
      <c r="Q306" s="371">
        <f t="shared" si="44"/>
        <v>5285977.875</v>
      </c>
      <c r="R306" s="26"/>
      <c r="S306" s="26"/>
      <c r="T306" s="26"/>
      <c r="U306" s="26"/>
      <c r="V306" s="26"/>
      <c r="W306" s="26"/>
      <c r="X306" s="26"/>
    </row>
    <row r="307" spans="1:24">
      <c r="A307" s="368">
        <f t="shared" si="38"/>
        <v>296</v>
      </c>
      <c r="B307" s="388" t="s">
        <v>523</v>
      </c>
      <c r="C307" s="388" t="s">
        <v>515</v>
      </c>
      <c r="D307" s="389">
        <v>42902</v>
      </c>
      <c r="E307" s="390">
        <v>62517.25</v>
      </c>
      <c r="F307" s="389">
        <v>42856</v>
      </c>
      <c r="G307" s="389">
        <v>42886</v>
      </c>
      <c r="H307" s="369">
        <f t="shared" si="39"/>
        <v>15</v>
      </c>
      <c r="I307" s="389">
        <v>42933</v>
      </c>
      <c r="J307" s="391">
        <f t="shared" si="40"/>
        <v>47</v>
      </c>
      <c r="K307" s="392">
        <f t="shared" si="36"/>
        <v>62</v>
      </c>
      <c r="L307" s="336">
        <f t="shared" si="37"/>
        <v>3876069.5</v>
      </c>
      <c r="M307" s="26"/>
      <c r="N307" s="370">
        <f t="shared" si="41"/>
        <v>15</v>
      </c>
      <c r="O307" s="370">
        <f t="shared" si="42"/>
        <v>47</v>
      </c>
      <c r="P307" s="370">
        <f t="shared" si="43"/>
        <v>62</v>
      </c>
      <c r="Q307" s="371">
        <f t="shared" si="44"/>
        <v>3876069.5</v>
      </c>
      <c r="R307" s="26"/>
      <c r="S307" s="26"/>
      <c r="T307" s="26"/>
      <c r="U307" s="26"/>
      <c r="V307" s="26"/>
      <c r="W307" s="26"/>
      <c r="X307" s="26"/>
    </row>
    <row r="308" spans="1:24">
      <c r="A308" s="368">
        <f t="shared" si="38"/>
        <v>297</v>
      </c>
      <c r="B308" s="388" t="s">
        <v>523</v>
      </c>
      <c r="C308" s="388" t="s">
        <v>515</v>
      </c>
      <c r="D308" s="389">
        <v>42902</v>
      </c>
      <c r="E308" s="390">
        <v>103267.1</v>
      </c>
      <c r="F308" s="389">
        <v>42856</v>
      </c>
      <c r="G308" s="389">
        <v>42886</v>
      </c>
      <c r="H308" s="369">
        <f t="shared" si="39"/>
        <v>15</v>
      </c>
      <c r="I308" s="389">
        <v>42933</v>
      </c>
      <c r="J308" s="391">
        <f t="shared" si="40"/>
        <v>47</v>
      </c>
      <c r="K308" s="392">
        <f t="shared" si="36"/>
        <v>62</v>
      </c>
      <c r="L308" s="336">
        <f t="shared" si="37"/>
        <v>6402560.2000000002</v>
      </c>
      <c r="M308" s="26"/>
      <c r="N308" s="370">
        <f t="shared" si="41"/>
        <v>15</v>
      </c>
      <c r="O308" s="370">
        <f t="shared" si="42"/>
        <v>47</v>
      </c>
      <c r="P308" s="370">
        <f t="shared" si="43"/>
        <v>62</v>
      </c>
      <c r="Q308" s="371">
        <f t="shared" si="44"/>
        <v>6402560.2000000002</v>
      </c>
      <c r="R308" s="26"/>
      <c r="S308" s="26"/>
      <c r="T308" s="26"/>
      <c r="U308" s="26"/>
      <c r="V308" s="26"/>
      <c r="W308" s="26"/>
      <c r="X308" s="26"/>
    </row>
    <row r="309" spans="1:24">
      <c r="A309" s="368">
        <f t="shared" si="38"/>
        <v>298</v>
      </c>
      <c r="B309" s="388" t="s">
        <v>523</v>
      </c>
      <c r="C309" s="388" t="s">
        <v>515</v>
      </c>
      <c r="D309" s="389">
        <v>42926</v>
      </c>
      <c r="E309" s="390">
        <v>106306.25</v>
      </c>
      <c r="F309" s="389">
        <v>42887</v>
      </c>
      <c r="G309" s="389">
        <v>42916</v>
      </c>
      <c r="H309" s="369">
        <f t="shared" si="39"/>
        <v>14.5</v>
      </c>
      <c r="I309" s="389">
        <v>42957</v>
      </c>
      <c r="J309" s="391">
        <f t="shared" si="40"/>
        <v>41</v>
      </c>
      <c r="K309" s="392">
        <f t="shared" si="36"/>
        <v>55.5</v>
      </c>
      <c r="L309" s="336">
        <f t="shared" si="37"/>
        <v>5899996.8799999999</v>
      </c>
      <c r="M309" s="26"/>
      <c r="N309" s="370">
        <f t="shared" si="41"/>
        <v>14.5</v>
      </c>
      <c r="O309" s="370">
        <f t="shared" si="42"/>
        <v>41</v>
      </c>
      <c r="P309" s="370">
        <f t="shared" si="43"/>
        <v>55.5</v>
      </c>
      <c r="Q309" s="371">
        <f t="shared" si="44"/>
        <v>5899996.875</v>
      </c>
      <c r="R309" s="26"/>
      <c r="S309" s="26"/>
      <c r="T309" s="26"/>
      <c r="U309" s="26"/>
      <c r="V309" s="26"/>
      <c r="W309" s="26"/>
      <c r="X309" s="26"/>
    </row>
    <row r="310" spans="1:24">
      <c r="A310" s="368">
        <f t="shared" si="38"/>
        <v>299</v>
      </c>
      <c r="B310" s="388" t="s">
        <v>523</v>
      </c>
      <c r="C310" s="388" t="s">
        <v>515</v>
      </c>
      <c r="D310" s="389">
        <v>42926</v>
      </c>
      <c r="E310" s="390">
        <v>71050.5</v>
      </c>
      <c r="F310" s="389">
        <v>42887</v>
      </c>
      <c r="G310" s="389">
        <v>42916</v>
      </c>
      <c r="H310" s="369">
        <f t="shared" si="39"/>
        <v>14.5</v>
      </c>
      <c r="I310" s="389">
        <v>42957</v>
      </c>
      <c r="J310" s="391">
        <f t="shared" si="40"/>
        <v>41</v>
      </c>
      <c r="K310" s="392">
        <f t="shared" si="36"/>
        <v>55.5</v>
      </c>
      <c r="L310" s="336">
        <f t="shared" si="37"/>
        <v>3943302.75</v>
      </c>
      <c r="M310" s="26"/>
      <c r="N310" s="370">
        <f t="shared" si="41"/>
        <v>14.5</v>
      </c>
      <c r="O310" s="370">
        <f t="shared" si="42"/>
        <v>41</v>
      </c>
      <c r="P310" s="370">
        <f t="shared" si="43"/>
        <v>55.5</v>
      </c>
      <c r="Q310" s="371">
        <f t="shared" si="44"/>
        <v>3943302.75</v>
      </c>
      <c r="R310" s="26"/>
      <c r="S310" s="26"/>
      <c r="T310" s="26"/>
      <c r="U310" s="26"/>
      <c r="V310" s="26"/>
      <c r="W310" s="26"/>
      <c r="X310" s="26"/>
    </row>
    <row r="311" spans="1:24">
      <c r="A311" s="368">
        <f t="shared" si="38"/>
        <v>300</v>
      </c>
      <c r="B311" s="388" t="s">
        <v>523</v>
      </c>
      <c r="C311" s="388" t="s">
        <v>515</v>
      </c>
      <c r="D311" s="389">
        <v>42950</v>
      </c>
      <c r="E311" s="390">
        <v>63671.25</v>
      </c>
      <c r="F311" s="389">
        <v>42917</v>
      </c>
      <c r="G311" s="389">
        <v>42947</v>
      </c>
      <c r="H311" s="369">
        <f t="shared" si="39"/>
        <v>15</v>
      </c>
      <c r="I311" s="389">
        <v>42983</v>
      </c>
      <c r="J311" s="391">
        <f t="shared" si="40"/>
        <v>36</v>
      </c>
      <c r="K311" s="392">
        <f t="shared" si="36"/>
        <v>51</v>
      </c>
      <c r="L311" s="336">
        <f t="shared" si="37"/>
        <v>3247233.75</v>
      </c>
      <c r="M311" s="26"/>
      <c r="N311" s="370">
        <f t="shared" si="41"/>
        <v>15</v>
      </c>
      <c r="O311" s="370">
        <f t="shared" si="42"/>
        <v>36</v>
      </c>
      <c r="P311" s="370">
        <f t="shared" si="43"/>
        <v>51</v>
      </c>
      <c r="Q311" s="371">
        <f t="shared" si="44"/>
        <v>3247233.75</v>
      </c>
      <c r="R311" s="26"/>
      <c r="S311" s="26"/>
      <c r="T311" s="26"/>
      <c r="U311" s="26"/>
      <c r="V311" s="26"/>
      <c r="W311" s="26"/>
      <c r="X311" s="26"/>
    </row>
    <row r="312" spans="1:24">
      <c r="A312" s="368">
        <f t="shared" si="38"/>
        <v>301</v>
      </c>
      <c r="B312" s="388" t="s">
        <v>523</v>
      </c>
      <c r="C312" s="388" t="s">
        <v>515</v>
      </c>
      <c r="D312" s="389">
        <v>42950</v>
      </c>
      <c r="E312" s="390">
        <v>102184</v>
      </c>
      <c r="F312" s="389">
        <v>42917</v>
      </c>
      <c r="G312" s="389">
        <v>42947</v>
      </c>
      <c r="H312" s="369">
        <f t="shared" si="39"/>
        <v>15</v>
      </c>
      <c r="I312" s="389">
        <v>42983</v>
      </c>
      <c r="J312" s="391">
        <f t="shared" si="40"/>
        <v>36</v>
      </c>
      <c r="K312" s="392">
        <f t="shared" si="36"/>
        <v>51</v>
      </c>
      <c r="L312" s="336">
        <f t="shared" si="37"/>
        <v>5211384</v>
      </c>
      <c r="M312" s="26"/>
      <c r="N312" s="370">
        <f t="shared" si="41"/>
        <v>15</v>
      </c>
      <c r="O312" s="370">
        <f t="shared" si="42"/>
        <v>36</v>
      </c>
      <c r="P312" s="370">
        <f t="shared" si="43"/>
        <v>51</v>
      </c>
      <c r="Q312" s="371">
        <f t="shared" si="44"/>
        <v>5211384</v>
      </c>
      <c r="R312" s="26"/>
      <c r="S312" s="26"/>
      <c r="T312" s="26"/>
      <c r="U312" s="26"/>
      <c r="V312" s="26"/>
      <c r="W312" s="26"/>
      <c r="X312" s="26"/>
    </row>
    <row r="313" spans="1:24">
      <c r="A313" s="368">
        <f t="shared" si="38"/>
        <v>302</v>
      </c>
      <c r="B313" s="388" t="s">
        <v>523</v>
      </c>
      <c r="C313" s="388" t="s">
        <v>515</v>
      </c>
      <c r="D313" s="389">
        <v>42989</v>
      </c>
      <c r="E313" s="390">
        <v>125109.25</v>
      </c>
      <c r="F313" s="389">
        <v>42948</v>
      </c>
      <c r="G313" s="389">
        <v>42978</v>
      </c>
      <c r="H313" s="369">
        <f t="shared" si="39"/>
        <v>15</v>
      </c>
      <c r="I313" s="389">
        <v>43020</v>
      </c>
      <c r="J313" s="391">
        <f t="shared" si="40"/>
        <v>42</v>
      </c>
      <c r="K313" s="392">
        <f t="shared" si="36"/>
        <v>57</v>
      </c>
      <c r="L313" s="336">
        <f t="shared" si="37"/>
        <v>7131227.25</v>
      </c>
      <c r="M313" s="26"/>
      <c r="N313" s="370">
        <f t="shared" si="41"/>
        <v>15</v>
      </c>
      <c r="O313" s="370">
        <f t="shared" si="42"/>
        <v>42</v>
      </c>
      <c r="P313" s="370">
        <f t="shared" si="43"/>
        <v>57</v>
      </c>
      <c r="Q313" s="371">
        <f t="shared" si="44"/>
        <v>7131227.25</v>
      </c>
      <c r="R313" s="26"/>
      <c r="S313" s="26"/>
      <c r="T313" s="26"/>
      <c r="U313" s="26"/>
      <c r="V313" s="26"/>
      <c r="W313" s="26"/>
      <c r="X313" s="26"/>
    </row>
    <row r="314" spans="1:24">
      <c r="A314" s="368">
        <f t="shared" si="38"/>
        <v>303</v>
      </c>
      <c r="B314" s="388" t="s">
        <v>523</v>
      </c>
      <c r="C314" s="388" t="s">
        <v>515</v>
      </c>
      <c r="D314" s="389">
        <v>42989</v>
      </c>
      <c r="E314" s="390">
        <v>77300.25</v>
      </c>
      <c r="F314" s="389">
        <v>42948</v>
      </c>
      <c r="G314" s="389">
        <v>42978</v>
      </c>
      <c r="H314" s="369">
        <f t="shared" si="39"/>
        <v>15</v>
      </c>
      <c r="I314" s="389">
        <v>43020</v>
      </c>
      <c r="J314" s="391">
        <f t="shared" si="40"/>
        <v>42</v>
      </c>
      <c r="K314" s="392">
        <f t="shared" si="36"/>
        <v>57</v>
      </c>
      <c r="L314" s="336">
        <f t="shared" si="37"/>
        <v>4406114.25</v>
      </c>
      <c r="M314" s="26"/>
      <c r="N314" s="370">
        <f t="shared" si="41"/>
        <v>15</v>
      </c>
      <c r="O314" s="370">
        <f t="shared" si="42"/>
        <v>42</v>
      </c>
      <c r="P314" s="370">
        <f t="shared" si="43"/>
        <v>57</v>
      </c>
      <c r="Q314" s="371">
        <f t="shared" si="44"/>
        <v>4406114.25</v>
      </c>
      <c r="R314" s="26"/>
      <c r="S314" s="26"/>
      <c r="T314" s="26"/>
      <c r="U314" s="26"/>
      <c r="V314" s="26"/>
      <c r="W314" s="26"/>
      <c r="X314" s="26"/>
    </row>
    <row r="315" spans="1:24">
      <c r="A315" s="368">
        <f t="shared" si="38"/>
        <v>304</v>
      </c>
      <c r="B315" s="388" t="s">
        <v>523</v>
      </c>
      <c r="C315" s="388" t="s">
        <v>515</v>
      </c>
      <c r="D315" s="389">
        <v>43013</v>
      </c>
      <c r="E315" s="390">
        <v>105376.05</v>
      </c>
      <c r="F315" s="389">
        <v>42979</v>
      </c>
      <c r="G315" s="389">
        <v>43008</v>
      </c>
      <c r="H315" s="369">
        <f t="shared" si="39"/>
        <v>14.5</v>
      </c>
      <c r="I315" s="389">
        <v>43045</v>
      </c>
      <c r="J315" s="391">
        <f t="shared" si="40"/>
        <v>37</v>
      </c>
      <c r="K315" s="392">
        <f t="shared" si="36"/>
        <v>51.5</v>
      </c>
      <c r="L315" s="336">
        <f t="shared" si="37"/>
        <v>5426866.5800000001</v>
      </c>
      <c r="M315" s="26"/>
      <c r="N315" s="370">
        <f t="shared" si="41"/>
        <v>14.5</v>
      </c>
      <c r="O315" s="370">
        <f t="shared" si="42"/>
        <v>37</v>
      </c>
      <c r="P315" s="370">
        <f t="shared" si="43"/>
        <v>51.5</v>
      </c>
      <c r="Q315" s="371">
        <f t="shared" si="44"/>
        <v>5426866.5750000002</v>
      </c>
      <c r="R315" s="26"/>
      <c r="S315" s="26"/>
      <c r="T315" s="26"/>
      <c r="U315" s="26"/>
      <c r="V315" s="26"/>
      <c r="W315" s="26"/>
      <c r="X315" s="26"/>
    </row>
    <row r="316" spans="1:24">
      <c r="A316" s="368">
        <f t="shared" si="38"/>
        <v>305</v>
      </c>
      <c r="B316" s="388" t="s">
        <v>523</v>
      </c>
      <c r="C316" s="388" t="s">
        <v>515</v>
      </c>
      <c r="D316" s="389">
        <v>43048</v>
      </c>
      <c r="E316" s="390">
        <v>79636</v>
      </c>
      <c r="F316" s="389">
        <v>43009</v>
      </c>
      <c r="G316" s="389">
        <v>43039</v>
      </c>
      <c r="H316" s="369">
        <f t="shared" si="39"/>
        <v>15</v>
      </c>
      <c r="I316" s="389">
        <v>43080</v>
      </c>
      <c r="J316" s="391">
        <f t="shared" si="40"/>
        <v>41</v>
      </c>
      <c r="K316" s="392">
        <f t="shared" si="36"/>
        <v>56</v>
      </c>
      <c r="L316" s="336">
        <f t="shared" si="37"/>
        <v>4459616</v>
      </c>
      <c r="N316" s="370">
        <f t="shared" si="41"/>
        <v>15</v>
      </c>
      <c r="O316" s="370">
        <f t="shared" si="42"/>
        <v>41</v>
      </c>
      <c r="P316" s="370">
        <f t="shared" si="43"/>
        <v>56</v>
      </c>
      <c r="Q316" s="371">
        <f t="shared" si="44"/>
        <v>4459616</v>
      </c>
    </row>
    <row r="317" spans="1:24">
      <c r="A317" s="368">
        <f t="shared" si="38"/>
        <v>306</v>
      </c>
      <c r="B317" s="388" t="s">
        <v>523</v>
      </c>
      <c r="C317" s="388" t="s">
        <v>515</v>
      </c>
      <c r="D317" s="389">
        <v>43048</v>
      </c>
      <c r="E317" s="390">
        <v>132419.15</v>
      </c>
      <c r="F317" s="389">
        <v>43009</v>
      </c>
      <c r="G317" s="389">
        <v>43039</v>
      </c>
      <c r="H317" s="369">
        <f t="shared" si="39"/>
        <v>15</v>
      </c>
      <c r="I317" s="389">
        <v>43080</v>
      </c>
      <c r="J317" s="391">
        <f t="shared" si="40"/>
        <v>41</v>
      </c>
      <c r="K317" s="392">
        <f t="shared" si="36"/>
        <v>56</v>
      </c>
      <c r="L317" s="336">
        <f t="shared" si="37"/>
        <v>7415472.4000000004</v>
      </c>
      <c r="N317" s="370">
        <f t="shared" si="41"/>
        <v>15</v>
      </c>
      <c r="O317" s="370">
        <f t="shared" si="42"/>
        <v>41</v>
      </c>
      <c r="P317" s="370">
        <f t="shared" si="43"/>
        <v>56</v>
      </c>
      <c r="Q317" s="371">
        <f t="shared" si="44"/>
        <v>7415472.3999999994</v>
      </c>
    </row>
    <row r="318" spans="1:24">
      <c r="A318" s="368">
        <f t="shared" si="38"/>
        <v>307</v>
      </c>
      <c r="B318" s="388" t="s">
        <v>523</v>
      </c>
      <c r="C318" s="388" t="s">
        <v>515</v>
      </c>
      <c r="D318" s="389">
        <v>43069</v>
      </c>
      <c r="E318" s="390">
        <v>64951.5</v>
      </c>
      <c r="F318" s="389">
        <v>43040</v>
      </c>
      <c r="G318" s="389">
        <v>43069</v>
      </c>
      <c r="H318" s="369">
        <f t="shared" si="39"/>
        <v>14.5</v>
      </c>
      <c r="I318" s="389">
        <v>43102</v>
      </c>
      <c r="J318" s="391">
        <f t="shared" si="40"/>
        <v>33</v>
      </c>
      <c r="K318" s="392">
        <f t="shared" si="36"/>
        <v>47.5</v>
      </c>
      <c r="L318" s="336">
        <f t="shared" si="37"/>
        <v>3085196.25</v>
      </c>
      <c r="N318" s="370">
        <f t="shared" si="41"/>
        <v>14.5</v>
      </c>
      <c r="O318" s="370">
        <f t="shared" si="42"/>
        <v>33</v>
      </c>
      <c r="P318" s="370">
        <f t="shared" si="43"/>
        <v>47.5</v>
      </c>
      <c r="Q318" s="371">
        <f t="shared" si="44"/>
        <v>3085196.25</v>
      </c>
    </row>
    <row r="319" spans="1:24">
      <c r="A319" s="368">
        <f t="shared" si="38"/>
        <v>308</v>
      </c>
      <c r="B319" s="388" t="s">
        <v>523</v>
      </c>
      <c r="C319" s="388" t="s">
        <v>515</v>
      </c>
      <c r="D319" s="389">
        <v>43069</v>
      </c>
      <c r="E319" s="390">
        <v>108738.95</v>
      </c>
      <c r="F319" s="389">
        <v>43040</v>
      </c>
      <c r="G319" s="389">
        <v>43069</v>
      </c>
      <c r="H319" s="369">
        <f t="shared" si="39"/>
        <v>14.5</v>
      </c>
      <c r="I319" s="389">
        <v>43102</v>
      </c>
      <c r="J319" s="391">
        <f t="shared" si="40"/>
        <v>33</v>
      </c>
      <c r="K319" s="392">
        <f t="shared" si="36"/>
        <v>47.5</v>
      </c>
      <c r="L319" s="336">
        <f t="shared" si="37"/>
        <v>5165100.13</v>
      </c>
      <c r="N319" s="370">
        <f t="shared" si="41"/>
        <v>14.5</v>
      </c>
      <c r="O319" s="370">
        <f t="shared" si="42"/>
        <v>33</v>
      </c>
      <c r="P319" s="370">
        <f t="shared" si="43"/>
        <v>47.5</v>
      </c>
      <c r="Q319" s="371">
        <f t="shared" si="44"/>
        <v>5165100.125</v>
      </c>
    </row>
    <row r="320" spans="1:24">
      <c r="A320" s="368">
        <f t="shared" si="38"/>
        <v>309</v>
      </c>
      <c r="B320" s="388" t="s">
        <v>519</v>
      </c>
      <c r="C320" s="388" t="s">
        <v>515</v>
      </c>
      <c r="D320" s="389">
        <v>42843</v>
      </c>
      <c r="E320" s="390">
        <v>56536.87</v>
      </c>
      <c r="F320" s="389">
        <v>42795</v>
      </c>
      <c r="G320" s="389">
        <v>42826</v>
      </c>
      <c r="H320" s="369">
        <f t="shared" si="39"/>
        <v>15.5</v>
      </c>
      <c r="I320" s="389">
        <v>42874</v>
      </c>
      <c r="J320" s="391">
        <f t="shared" si="40"/>
        <v>48</v>
      </c>
      <c r="K320" s="392">
        <f t="shared" si="36"/>
        <v>63.5</v>
      </c>
      <c r="L320" s="336">
        <f t="shared" si="37"/>
        <v>3590091.25</v>
      </c>
      <c r="N320" s="370">
        <f t="shared" si="41"/>
        <v>15.5</v>
      </c>
      <c r="O320" s="370">
        <f t="shared" si="42"/>
        <v>48</v>
      </c>
      <c r="P320" s="370">
        <f t="shared" si="43"/>
        <v>63.5</v>
      </c>
      <c r="Q320" s="371">
        <f t="shared" si="44"/>
        <v>3590091.2450000001</v>
      </c>
    </row>
    <row r="321" spans="1:17">
      <c r="A321" s="368">
        <f t="shared" si="38"/>
        <v>310</v>
      </c>
      <c r="B321" s="388" t="s">
        <v>519</v>
      </c>
      <c r="C321" s="388" t="s">
        <v>515</v>
      </c>
      <c r="D321" s="389">
        <v>42921</v>
      </c>
      <c r="E321" s="390">
        <v>64291.42</v>
      </c>
      <c r="F321" s="389">
        <v>42891</v>
      </c>
      <c r="G321" s="389">
        <v>42918</v>
      </c>
      <c r="H321" s="369">
        <f t="shared" si="39"/>
        <v>13.5</v>
      </c>
      <c r="I321" s="389">
        <v>42954</v>
      </c>
      <c r="J321" s="391">
        <f t="shared" si="40"/>
        <v>36</v>
      </c>
      <c r="K321" s="392">
        <f t="shared" si="36"/>
        <v>49.5</v>
      </c>
      <c r="L321" s="336">
        <f t="shared" si="37"/>
        <v>3182425.29</v>
      </c>
      <c r="N321" s="370">
        <f t="shared" si="41"/>
        <v>13.5</v>
      </c>
      <c r="O321" s="370">
        <f t="shared" si="42"/>
        <v>36</v>
      </c>
      <c r="P321" s="370">
        <f t="shared" si="43"/>
        <v>49.5</v>
      </c>
      <c r="Q321" s="371">
        <f t="shared" si="44"/>
        <v>3182425.29</v>
      </c>
    </row>
    <row r="322" spans="1:17">
      <c r="A322" s="368">
        <f t="shared" si="38"/>
        <v>311</v>
      </c>
      <c r="B322" s="388" t="s">
        <v>519</v>
      </c>
      <c r="C322" s="388" t="s">
        <v>515</v>
      </c>
      <c r="D322" s="389">
        <v>43012</v>
      </c>
      <c r="E322" s="390">
        <v>55455.38</v>
      </c>
      <c r="F322" s="389">
        <v>42975</v>
      </c>
      <c r="G322" s="389">
        <v>43009</v>
      </c>
      <c r="H322" s="369">
        <f t="shared" si="39"/>
        <v>17</v>
      </c>
      <c r="I322" s="389">
        <v>43045</v>
      </c>
      <c r="J322" s="391">
        <f t="shared" si="40"/>
        <v>36</v>
      </c>
      <c r="K322" s="392">
        <f t="shared" si="36"/>
        <v>53</v>
      </c>
      <c r="L322" s="336">
        <f t="shared" si="37"/>
        <v>2939135.14</v>
      </c>
      <c r="N322" s="370">
        <f t="shared" si="41"/>
        <v>17</v>
      </c>
      <c r="O322" s="370">
        <f t="shared" si="42"/>
        <v>36</v>
      </c>
      <c r="P322" s="370">
        <f t="shared" si="43"/>
        <v>53</v>
      </c>
      <c r="Q322" s="371">
        <f t="shared" si="44"/>
        <v>2939135.1399999997</v>
      </c>
    </row>
    <row r="323" spans="1:17">
      <c r="A323" s="368">
        <f t="shared" si="38"/>
        <v>312</v>
      </c>
      <c r="B323" s="388" t="s">
        <v>519</v>
      </c>
      <c r="C323" s="388" t="s">
        <v>515</v>
      </c>
      <c r="D323" s="389">
        <v>43010</v>
      </c>
      <c r="E323" s="390">
        <v>56137.64</v>
      </c>
      <c r="F323" s="389">
        <v>42947</v>
      </c>
      <c r="G323" s="389">
        <v>42955</v>
      </c>
      <c r="H323" s="369">
        <f t="shared" si="39"/>
        <v>4</v>
      </c>
      <c r="I323" s="389">
        <v>43041</v>
      </c>
      <c r="J323" s="391">
        <f t="shared" si="40"/>
        <v>86</v>
      </c>
      <c r="K323" s="392">
        <f t="shared" si="36"/>
        <v>90</v>
      </c>
      <c r="L323" s="336">
        <f t="shared" si="37"/>
        <v>5052387.5999999996</v>
      </c>
      <c r="N323" s="370">
        <f t="shared" si="41"/>
        <v>4</v>
      </c>
      <c r="O323" s="370">
        <f t="shared" si="42"/>
        <v>86</v>
      </c>
      <c r="P323" s="370">
        <f t="shared" si="43"/>
        <v>90</v>
      </c>
      <c r="Q323" s="371">
        <f t="shared" si="44"/>
        <v>5052387.5999999996</v>
      </c>
    </row>
    <row r="324" spans="1:17">
      <c r="A324" s="368">
        <f t="shared" si="38"/>
        <v>313</v>
      </c>
      <c r="B324" s="388" t="s">
        <v>460</v>
      </c>
      <c r="C324" s="388" t="s">
        <v>515</v>
      </c>
      <c r="D324" s="389">
        <v>42775</v>
      </c>
      <c r="E324" s="390">
        <v>939.51</v>
      </c>
      <c r="F324" s="389">
        <v>42775</v>
      </c>
      <c r="G324" s="389"/>
      <c r="H324" s="369">
        <f t="shared" si="39"/>
        <v>0</v>
      </c>
      <c r="I324" s="389">
        <v>42793</v>
      </c>
      <c r="J324" s="391">
        <f t="shared" si="40"/>
        <v>18</v>
      </c>
      <c r="K324" s="392">
        <f t="shared" si="36"/>
        <v>18</v>
      </c>
      <c r="L324" s="336">
        <f t="shared" si="37"/>
        <v>16911.18</v>
      </c>
      <c r="N324" s="370">
        <f t="shared" si="41"/>
        <v>15</v>
      </c>
      <c r="O324" s="370">
        <f t="shared" si="42"/>
        <v>18</v>
      </c>
      <c r="P324" s="370">
        <f t="shared" si="43"/>
        <v>33</v>
      </c>
      <c r="Q324" s="371">
        <f t="shared" si="44"/>
        <v>31003.829999999998</v>
      </c>
    </row>
    <row r="325" spans="1:17">
      <c r="A325" s="368">
        <f t="shared" si="38"/>
        <v>314</v>
      </c>
      <c r="B325" s="388" t="s">
        <v>460</v>
      </c>
      <c r="C325" s="388" t="s">
        <v>515</v>
      </c>
      <c r="D325" s="389">
        <v>42783</v>
      </c>
      <c r="E325" s="390">
        <v>1064.1400000000001</v>
      </c>
      <c r="F325" s="389">
        <v>42783</v>
      </c>
      <c r="G325" s="389"/>
      <c r="H325" s="369">
        <f t="shared" si="39"/>
        <v>0</v>
      </c>
      <c r="I325" s="389">
        <v>42800</v>
      </c>
      <c r="J325" s="391">
        <f t="shared" si="40"/>
        <v>17</v>
      </c>
      <c r="K325" s="392">
        <f t="shared" si="36"/>
        <v>17</v>
      </c>
      <c r="L325" s="336">
        <f t="shared" si="37"/>
        <v>18090.38</v>
      </c>
      <c r="N325" s="370">
        <f t="shared" si="41"/>
        <v>15</v>
      </c>
      <c r="O325" s="370">
        <f t="shared" si="42"/>
        <v>17</v>
      </c>
      <c r="P325" s="370">
        <f t="shared" si="43"/>
        <v>32</v>
      </c>
      <c r="Q325" s="371">
        <f t="shared" si="44"/>
        <v>34052.480000000003</v>
      </c>
    </row>
    <row r="326" spans="1:17">
      <c r="A326" s="368">
        <f t="shared" si="38"/>
        <v>315</v>
      </c>
      <c r="B326" s="388" t="s">
        <v>460</v>
      </c>
      <c r="C326" s="388" t="s">
        <v>515</v>
      </c>
      <c r="D326" s="389">
        <v>42856</v>
      </c>
      <c r="E326" s="390">
        <v>5396.52</v>
      </c>
      <c r="F326" s="389">
        <v>42856</v>
      </c>
      <c r="G326" s="389"/>
      <c r="H326" s="369">
        <f t="shared" si="39"/>
        <v>0</v>
      </c>
      <c r="I326" s="389">
        <v>42872</v>
      </c>
      <c r="J326" s="391">
        <f t="shared" si="40"/>
        <v>16</v>
      </c>
      <c r="K326" s="392">
        <f t="shared" si="36"/>
        <v>16</v>
      </c>
      <c r="L326" s="336">
        <f t="shared" si="37"/>
        <v>86344.320000000007</v>
      </c>
      <c r="N326" s="370">
        <f t="shared" si="41"/>
        <v>15</v>
      </c>
      <c r="O326" s="370">
        <f t="shared" si="42"/>
        <v>16</v>
      </c>
      <c r="P326" s="370">
        <f t="shared" si="43"/>
        <v>31</v>
      </c>
      <c r="Q326" s="371">
        <f t="shared" si="44"/>
        <v>167292.12000000002</v>
      </c>
    </row>
    <row r="327" spans="1:17">
      <c r="A327" s="368">
        <f t="shared" si="38"/>
        <v>316</v>
      </c>
      <c r="B327" s="388" t="s">
        <v>460</v>
      </c>
      <c r="C327" s="388" t="s">
        <v>515</v>
      </c>
      <c r="D327" s="389">
        <v>42811</v>
      </c>
      <c r="E327" s="390">
        <v>333.43</v>
      </c>
      <c r="F327" s="389">
        <v>42811</v>
      </c>
      <c r="G327" s="389"/>
      <c r="H327" s="369">
        <f t="shared" si="39"/>
        <v>0</v>
      </c>
      <c r="I327" s="389">
        <v>42828</v>
      </c>
      <c r="J327" s="391">
        <f t="shared" si="40"/>
        <v>17</v>
      </c>
      <c r="K327" s="392">
        <f t="shared" si="36"/>
        <v>17</v>
      </c>
      <c r="L327" s="336">
        <f t="shared" si="37"/>
        <v>5668.31</v>
      </c>
      <c r="N327" s="370">
        <f t="shared" si="41"/>
        <v>15</v>
      </c>
      <c r="O327" s="370">
        <f t="shared" si="42"/>
        <v>17</v>
      </c>
      <c r="P327" s="370">
        <f t="shared" si="43"/>
        <v>32</v>
      </c>
      <c r="Q327" s="371">
        <f t="shared" si="44"/>
        <v>10669.76</v>
      </c>
    </row>
    <row r="328" spans="1:17">
      <c r="A328" s="368">
        <f t="shared" si="38"/>
        <v>317</v>
      </c>
      <c r="B328" s="388" t="s">
        <v>474</v>
      </c>
      <c r="C328" s="388" t="s">
        <v>515</v>
      </c>
      <c r="D328" s="389">
        <v>43082</v>
      </c>
      <c r="E328" s="390">
        <v>161.19</v>
      </c>
      <c r="F328" s="389">
        <v>43082</v>
      </c>
      <c r="G328" s="389"/>
      <c r="H328" s="369">
        <f t="shared" si="39"/>
        <v>0</v>
      </c>
      <c r="I328" s="389">
        <v>43091</v>
      </c>
      <c r="J328" s="391">
        <f t="shared" si="40"/>
        <v>9</v>
      </c>
      <c r="K328" s="392">
        <f t="shared" si="36"/>
        <v>9</v>
      </c>
      <c r="L328" s="336">
        <f t="shared" si="37"/>
        <v>1450.71</v>
      </c>
      <c r="N328" s="370">
        <f t="shared" si="41"/>
        <v>15</v>
      </c>
      <c r="O328" s="370">
        <f t="shared" si="42"/>
        <v>9</v>
      </c>
      <c r="P328" s="370">
        <f t="shared" si="43"/>
        <v>24</v>
      </c>
      <c r="Q328" s="371">
        <f t="shared" si="44"/>
        <v>3868.56</v>
      </c>
    </row>
    <row r="329" spans="1:17">
      <c r="A329" s="368">
        <f t="shared" si="38"/>
        <v>318</v>
      </c>
      <c r="B329" s="388" t="s">
        <v>460</v>
      </c>
      <c r="C329" s="388" t="s">
        <v>515</v>
      </c>
      <c r="D329" s="389">
        <v>42761</v>
      </c>
      <c r="E329" s="390">
        <v>669.68000000000006</v>
      </c>
      <c r="F329" s="389">
        <v>42761</v>
      </c>
      <c r="G329" s="389"/>
      <c r="H329" s="369">
        <f t="shared" si="39"/>
        <v>0</v>
      </c>
      <c r="I329" s="389">
        <v>42779</v>
      </c>
      <c r="J329" s="391">
        <f t="shared" si="40"/>
        <v>18</v>
      </c>
      <c r="K329" s="392">
        <f t="shared" si="36"/>
        <v>18</v>
      </c>
      <c r="L329" s="336">
        <f t="shared" si="37"/>
        <v>12054.24</v>
      </c>
      <c r="N329" s="370">
        <f t="shared" si="41"/>
        <v>15</v>
      </c>
      <c r="O329" s="370">
        <f t="shared" si="42"/>
        <v>18</v>
      </c>
      <c r="P329" s="370">
        <f t="shared" si="43"/>
        <v>33</v>
      </c>
      <c r="Q329" s="371">
        <f t="shared" si="44"/>
        <v>22099.440000000002</v>
      </c>
    </row>
    <row r="330" spans="1:17">
      <c r="A330" s="368">
        <f t="shared" si="38"/>
        <v>319</v>
      </c>
      <c r="B330" s="388" t="s">
        <v>460</v>
      </c>
      <c r="C330" s="388" t="s">
        <v>515</v>
      </c>
      <c r="D330" s="389">
        <v>42916</v>
      </c>
      <c r="E330" s="390">
        <v>1056.53</v>
      </c>
      <c r="F330" s="389">
        <v>42916</v>
      </c>
      <c r="G330" s="389"/>
      <c r="H330" s="369">
        <f t="shared" si="39"/>
        <v>0</v>
      </c>
      <c r="I330" s="389">
        <v>42933</v>
      </c>
      <c r="J330" s="391">
        <f t="shared" si="40"/>
        <v>17</v>
      </c>
      <c r="K330" s="392">
        <f t="shared" si="36"/>
        <v>17</v>
      </c>
      <c r="L330" s="336">
        <f t="shared" si="37"/>
        <v>17961.009999999998</v>
      </c>
      <c r="N330" s="370">
        <f t="shared" si="41"/>
        <v>15</v>
      </c>
      <c r="O330" s="370">
        <f t="shared" si="42"/>
        <v>17</v>
      </c>
      <c r="P330" s="370">
        <f t="shared" si="43"/>
        <v>32</v>
      </c>
      <c r="Q330" s="371">
        <f t="shared" si="44"/>
        <v>33808.959999999999</v>
      </c>
    </row>
    <row r="331" spans="1:17">
      <c r="A331" s="368">
        <f t="shared" si="38"/>
        <v>320</v>
      </c>
      <c r="B331" s="388" t="s">
        <v>524</v>
      </c>
      <c r="C331" s="388" t="s">
        <v>515</v>
      </c>
      <c r="D331" s="389">
        <v>42916</v>
      </c>
      <c r="E331" s="390">
        <v>777.24</v>
      </c>
      <c r="F331" s="389">
        <v>42887</v>
      </c>
      <c r="G331" s="389">
        <v>42914</v>
      </c>
      <c r="H331" s="369">
        <f t="shared" si="39"/>
        <v>13.5</v>
      </c>
      <c r="I331" s="389">
        <v>42986</v>
      </c>
      <c r="J331" s="391">
        <f t="shared" si="40"/>
        <v>72</v>
      </c>
      <c r="K331" s="392">
        <f t="shared" si="36"/>
        <v>85.5</v>
      </c>
      <c r="L331" s="336">
        <f t="shared" si="37"/>
        <v>66454.02</v>
      </c>
      <c r="N331" s="370">
        <f t="shared" si="41"/>
        <v>13.5</v>
      </c>
      <c r="O331" s="370">
        <f t="shared" si="42"/>
        <v>72</v>
      </c>
      <c r="P331" s="370">
        <f t="shared" si="43"/>
        <v>85.5</v>
      </c>
      <c r="Q331" s="371">
        <f t="shared" si="44"/>
        <v>66454.02</v>
      </c>
    </row>
    <row r="332" spans="1:17">
      <c r="A332" s="368">
        <f t="shared" si="38"/>
        <v>321</v>
      </c>
      <c r="B332" s="388" t="s">
        <v>460</v>
      </c>
      <c r="C332" s="388" t="s">
        <v>515</v>
      </c>
      <c r="D332" s="389">
        <v>43055</v>
      </c>
      <c r="E332" s="390">
        <v>85.94</v>
      </c>
      <c r="F332" s="389">
        <v>43055</v>
      </c>
      <c r="G332" s="389"/>
      <c r="H332" s="369">
        <f t="shared" si="39"/>
        <v>0</v>
      </c>
      <c r="I332" s="389">
        <v>43073</v>
      </c>
      <c r="J332" s="391">
        <f t="shared" si="40"/>
        <v>18</v>
      </c>
      <c r="K332" s="392">
        <f t="shared" ref="K332:K391" si="45">H332+J332</f>
        <v>18</v>
      </c>
      <c r="L332" s="336">
        <f t="shared" ref="L332:L391" si="46">ROUND(E332*K332,2)</f>
        <v>1546.92</v>
      </c>
      <c r="N332" s="370">
        <f t="shared" si="41"/>
        <v>15</v>
      </c>
      <c r="O332" s="370">
        <f t="shared" si="42"/>
        <v>18</v>
      </c>
      <c r="P332" s="370">
        <f t="shared" si="43"/>
        <v>33</v>
      </c>
      <c r="Q332" s="371">
        <f t="shared" si="44"/>
        <v>2836.02</v>
      </c>
    </row>
    <row r="333" spans="1:17">
      <c r="A333" s="368">
        <f t="shared" ref="A333:A391" si="47">A332+1</f>
        <v>322</v>
      </c>
      <c r="B333" s="388" t="s">
        <v>525</v>
      </c>
      <c r="C333" s="388" t="s">
        <v>515</v>
      </c>
      <c r="D333" s="389">
        <v>42881</v>
      </c>
      <c r="E333" s="390">
        <v>9081.07</v>
      </c>
      <c r="F333" s="389">
        <v>42881</v>
      </c>
      <c r="G333" s="389"/>
      <c r="H333" s="369">
        <f t="shared" ref="H333:H391" si="48">IF(G333="",0,(G333-F333)/2)</f>
        <v>0</v>
      </c>
      <c r="I333" s="389">
        <v>42927</v>
      </c>
      <c r="J333" s="391">
        <f t="shared" ref="J333:J391" si="49">IF(G333="",I333-F333,I333-G333)</f>
        <v>46</v>
      </c>
      <c r="K333" s="392">
        <f t="shared" si="45"/>
        <v>46</v>
      </c>
      <c r="L333" s="336">
        <f t="shared" si="46"/>
        <v>417729.22</v>
      </c>
      <c r="N333" s="370">
        <f t="shared" ref="N333:N390" si="50">IF(G333="",30/2,H333)</f>
        <v>15</v>
      </c>
      <c r="O333" s="370">
        <f t="shared" ref="O333:O390" si="51">J333</f>
        <v>46</v>
      </c>
      <c r="P333" s="370">
        <f t="shared" ref="P333:P390" si="52">N333+O333</f>
        <v>61</v>
      </c>
      <c r="Q333" s="371">
        <f t="shared" ref="Q333:Q390" si="53">E333*P333</f>
        <v>553945.27</v>
      </c>
    </row>
    <row r="334" spans="1:17">
      <c r="A334" s="368">
        <f t="shared" si="47"/>
        <v>323</v>
      </c>
      <c r="B334" s="388" t="s">
        <v>525</v>
      </c>
      <c r="C334" s="388" t="s">
        <v>515</v>
      </c>
      <c r="D334" s="389">
        <v>42893</v>
      </c>
      <c r="E334" s="390">
        <v>10118.02</v>
      </c>
      <c r="F334" s="389">
        <v>42893</v>
      </c>
      <c r="G334" s="389"/>
      <c r="H334" s="369">
        <f t="shared" si="48"/>
        <v>0</v>
      </c>
      <c r="I334" s="389">
        <v>42940</v>
      </c>
      <c r="J334" s="391">
        <f t="shared" si="49"/>
        <v>47</v>
      </c>
      <c r="K334" s="392">
        <f t="shared" si="45"/>
        <v>47</v>
      </c>
      <c r="L334" s="336">
        <f t="shared" si="46"/>
        <v>475546.94</v>
      </c>
      <c r="N334" s="370">
        <f t="shared" si="50"/>
        <v>15</v>
      </c>
      <c r="O334" s="370">
        <f t="shared" si="51"/>
        <v>47</v>
      </c>
      <c r="P334" s="370">
        <f t="shared" si="52"/>
        <v>62</v>
      </c>
      <c r="Q334" s="371">
        <f t="shared" si="53"/>
        <v>627317.24</v>
      </c>
    </row>
    <row r="335" spans="1:17">
      <c r="A335" s="368">
        <f t="shared" si="47"/>
        <v>324</v>
      </c>
      <c r="B335" s="388" t="s">
        <v>460</v>
      </c>
      <c r="C335" s="388" t="s">
        <v>515</v>
      </c>
      <c r="D335" s="389">
        <v>42944</v>
      </c>
      <c r="E335" s="390">
        <v>5813.68</v>
      </c>
      <c r="F335" s="389">
        <v>42944</v>
      </c>
      <c r="G335" s="389"/>
      <c r="H335" s="369">
        <f t="shared" si="48"/>
        <v>0</v>
      </c>
      <c r="I335" s="389">
        <v>42961</v>
      </c>
      <c r="J335" s="391">
        <f t="shared" si="49"/>
        <v>17</v>
      </c>
      <c r="K335" s="392">
        <f t="shared" si="45"/>
        <v>17</v>
      </c>
      <c r="L335" s="336">
        <f t="shared" si="46"/>
        <v>98832.56</v>
      </c>
      <c r="N335" s="370">
        <f t="shared" si="50"/>
        <v>15</v>
      </c>
      <c r="O335" s="370">
        <f t="shared" si="51"/>
        <v>17</v>
      </c>
      <c r="P335" s="370">
        <f t="shared" si="52"/>
        <v>32</v>
      </c>
      <c r="Q335" s="371">
        <f t="shared" si="53"/>
        <v>186037.76000000001</v>
      </c>
    </row>
    <row r="336" spans="1:17">
      <c r="A336" s="368">
        <f t="shared" si="47"/>
        <v>325</v>
      </c>
      <c r="B336" s="388" t="s">
        <v>460</v>
      </c>
      <c r="C336" s="388" t="s">
        <v>515</v>
      </c>
      <c r="D336" s="389">
        <v>42951</v>
      </c>
      <c r="E336" s="390">
        <v>2774.1</v>
      </c>
      <c r="F336" s="389">
        <v>42951</v>
      </c>
      <c r="G336" s="389"/>
      <c r="H336" s="369">
        <f t="shared" si="48"/>
        <v>0</v>
      </c>
      <c r="I336" s="389">
        <v>42968</v>
      </c>
      <c r="J336" s="391">
        <f t="shared" si="49"/>
        <v>17</v>
      </c>
      <c r="K336" s="392">
        <f t="shared" si="45"/>
        <v>17</v>
      </c>
      <c r="L336" s="336">
        <f t="shared" si="46"/>
        <v>47159.7</v>
      </c>
      <c r="N336" s="370">
        <f t="shared" si="50"/>
        <v>15</v>
      </c>
      <c r="O336" s="370">
        <f t="shared" si="51"/>
        <v>17</v>
      </c>
      <c r="P336" s="370">
        <f t="shared" si="52"/>
        <v>32</v>
      </c>
      <c r="Q336" s="371">
        <f t="shared" si="53"/>
        <v>88771.199999999997</v>
      </c>
    </row>
    <row r="337" spans="1:17">
      <c r="A337" s="368">
        <f t="shared" si="47"/>
        <v>326</v>
      </c>
      <c r="B337" s="388" t="s">
        <v>460</v>
      </c>
      <c r="C337" s="388" t="s">
        <v>515</v>
      </c>
      <c r="D337" s="389">
        <v>42972</v>
      </c>
      <c r="E337" s="390">
        <v>5424.1799999999994</v>
      </c>
      <c r="F337" s="389">
        <v>42972</v>
      </c>
      <c r="G337" s="389"/>
      <c r="H337" s="369">
        <f t="shared" si="48"/>
        <v>0</v>
      </c>
      <c r="I337" s="389">
        <v>42989</v>
      </c>
      <c r="J337" s="391">
        <f t="shared" si="49"/>
        <v>17</v>
      </c>
      <c r="K337" s="392">
        <f t="shared" si="45"/>
        <v>17</v>
      </c>
      <c r="L337" s="336">
        <f t="shared" si="46"/>
        <v>92211.06</v>
      </c>
      <c r="N337" s="370">
        <f t="shared" si="50"/>
        <v>15</v>
      </c>
      <c r="O337" s="370">
        <f t="shared" si="51"/>
        <v>17</v>
      </c>
      <c r="P337" s="370">
        <f t="shared" si="52"/>
        <v>32</v>
      </c>
      <c r="Q337" s="371">
        <f t="shared" si="53"/>
        <v>173573.75999999998</v>
      </c>
    </row>
    <row r="338" spans="1:17">
      <c r="A338" s="368">
        <f t="shared" si="47"/>
        <v>327</v>
      </c>
      <c r="B338" s="388" t="s">
        <v>460</v>
      </c>
      <c r="C338" s="388" t="s">
        <v>515</v>
      </c>
      <c r="D338" s="389">
        <v>43042</v>
      </c>
      <c r="E338" s="390">
        <v>1593.1100000000001</v>
      </c>
      <c r="F338" s="389">
        <v>43042</v>
      </c>
      <c r="G338" s="389"/>
      <c r="H338" s="369">
        <f t="shared" si="48"/>
        <v>0</v>
      </c>
      <c r="I338" s="389">
        <v>43059</v>
      </c>
      <c r="J338" s="391">
        <f t="shared" si="49"/>
        <v>17</v>
      </c>
      <c r="K338" s="392">
        <f t="shared" si="45"/>
        <v>17</v>
      </c>
      <c r="L338" s="336">
        <f t="shared" si="46"/>
        <v>27082.87</v>
      </c>
      <c r="N338" s="370">
        <f t="shared" si="50"/>
        <v>15</v>
      </c>
      <c r="O338" s="370">
        <f t="shared" si="51"/>
        <v>17</v>
      </c>
      <c r="P338" s="370">
        <f t="shared" si="52"/>
        <v>32</v>
      </c>
      <c r="Q338" s="371">
        <f t="shared" si="53"/>
        <v>50979.520000000004</v>
      </c>
    </row>
    <row r="339" spans="1:17">
      <c r="A339" s="368">
        <f t="shared" si="47"/>
        <v>328</v>
      </c>
      <c r="B339" s="388" t="s">
        <v>460</v>
      </c>
      <c r="C339" s="388" t="s">
        <v>515</v>
      </c>
      <c r="D339" s="389">
        <v>42790</v>
      </c>
      <c r="E339" s="390">
        <v>673.31000000000006</v>
      </c>
      <c r="F339" s="389">
        <v>42790</v>
      </c>
      <c r="G339" s="389"/>
      <c r="H339" s="369">
        <f t="shared" si="48"/>
        <v>0</v>
      </c>
      <c r="I339" s="389">
        <v>42807</v>
      </c>
      <c r="J339" s="391">
        <f t="shared" si="49"/>
        <v>17</v>
      </c>
      <c r="K339" s="392">
        <f t="shared" si="45"/>
        <v>17</v>
      </c>
      <c r="L339" s="336">
        <f t="shared" si="46"/>
        <v>11446.27</v>
      </c>
      <c r="N339" s="370">
        <f t="shared" si="50"/>
        <v>15</v>
      </c>
      <c r="O339" s="370">
        <f t="shared" si="51"/>
        <v>17</v>
      </c>
      <c r="P339" s="370">
        <f t="shared" si="52"/>
        <v>32</v>
      </c>
      <c r="Q339" s="371">
        <f t="shared" si="53"/>
        <v>21545.920000000002</v>
      </c>
    </row>
    <row r="340" spans="1:17">
      <c r="A340" s="368">
        <f t="shared" si="47"/>
        <v>329</v>
      </c>
      <c r="B340" s="388" t="s">
        <v>525</v>
      </c>
      <c r="C340" s="388" t="s">
        <v>515</v>
      </c>
      <c r="D340" s="389">
        <v>42922</v>
      </c>
      <c r="E340" s="390">
        <v>438.25</v>
      </c>
      <c r="F340" s="389">
        <v>42922</v>
      </c>
      <c r="G340" s="389"/>
      <c r="H340" s="369">
        <f t="shared" si="48"/>
        <v>0</v>
      </c>
      <c r="I340" s="389">
        <v>42968</v>
      </c>
      <c r="J340" s="391">
        <f t="shared" si="49"/>
        <v>46</v>
      </c>
      <c r="K340" s="392">
        <f t="shared" si="45"/>
        <v>46</v>
      </c>
      <c r="L340" s="336">
        <f t="shared" si="46"/>
        <v>20159.5</v>
      </c>
      <c r="N340" s="370">
        <f t="shared" si="50"/>
        <v>15</v>
      </c>
      <c r="O340" s="370">
        <f t="shared" si="51"/>
        <v>46</v>
      </c>
      <c r="P340" s="370">
        <f t="shared" si="52"/>
        <v>61</v>
      </c>
      <c r="Q340" s="371">
        <f t="shared" si="53"/>
        <v>26733.25</v>
      </c>
    </row>
    <row r="341" spans="1:17">
      <c r="A341" s="368">
        <f t="shared" si="47"/>
        <v>330</v>
      </c>
      <c r="B341" s="388" t="s">
        <v>519</v>
      </c>
      <c r="C341" s="388" t="s">
        <v>515</v>
      </c>
      <c r="D341" s="389">
        <v>42951</v>
      </c>
      <c r="E341" s="390">
        <v>1864.8</v>
      </c>
      <c r="F341" s="389">
        <v>42919</v>
      </c>
      <c r="G341" s="389">
        <v>42946</v>
      </c>
      <c r="H341" s="369">
        <f t="shared" si="48"/>
        <v>13.5</v>
      </c>
      <c r="I341" s="389">
        <v>42979</v>
      </c>
      <c r="J341" s="391">
        <f t="shared" si="49"/>
        <v>33</v>
      </c>
      <c r="K341" s="392">
        <f t="shared" si="45"/>
        <v>46.5</v>
      </c>
      <c r="L341" s="336">
        <f t="shared" si="46"/>
        <v>86713.2</v>
      </c>
      <c r="N341" s="370">
        <f t="shared" si="50"/>
        <v>13.5</v>
      </c>
      <c r="O341" s="370">
        <f t="shared" si="51"/>
        <v>33</v>
      </c>
      <c r="P341" s="370">
        <f t="shared" si="52"/>
        <v>46.5</v>
      </c>
      <c r="Q341" s="371">
        <f t="shared" si="53"/>
        <v>86713.2</v>
      </c>
    </row>
    <row r="342" spans="1:17">
      <c r="A342" s="368">
        <f t="shared" si="47"/>
        <v>331</v>
      </c>
      <c r="B342" s="388" t="s">
        <v>465</v>
      </c>
      <c r="C342" s="388" t="s">
        <v>515</v>
      </c>
      <c r="D342" s="389">
        <v>42797</v>
      </c>
      <c r="E342" s="390">
        <v>1965.31</v>
      </c>
      <c r="F342" s="389">
        <v>42792</v>
      </c>
      <c r="G342" s="389"/>
      <c r="H342" s="369">
        <f t="shared" si="48"/>
        <v>0</v>
      </c>
      <c r="I342" s="389">
        <v>42828</v>
      </c>
      <c r="J342" s="391">
        <f t="shared" si="49"/>
        <v>36</v>
      </c>
      <c r="K342" s="392">
        <f t="shared" si="45"/>
        <v>36</v>
      </c>
      <c r="L342" s="336">
        <f t="shared" si="46"/>
        <v>70751.16</v>
      </c>
      <c r="N342" s="370">
        <f t="shared" si="50"/>
        <v>15</v>
      </c>
      <c r="O342" s="370">
        <f t="shared" si="51"/>
        <v>36</v>
      </c>
      <c r="P342" s="370">
        <f t="shared" si="52"/>
        <v>51</v>
      </c>
      <c r="Q342" s="371">
        <f t="shared" si="53"/>
        <v>100230.81</v>
      </c>
    </row>
    <row r="343" spans="1:17">
      <c r="A343" s="368">
        <f t="shared" si="47"/>
        <v>332</v>
      </c>
      <c r="B343" s="388" t="s">
        <v>465</v>
      </c>
      <c r="C343" s="388" t="s">
        <v>515</v>
      </c>
      <c r="D343" s="389">
        <v>42930</v>
      </c>
      <c r="E343" s="390">
        <v>375.72</v>
      </c>
      <c r="F343" s="389">
        <v>42897</v>
      </c>
      <c r="G343" s="389"/>
      <c r="H343" s="369">
        <f t="shared" si="48"/>
        <v>0</v>
      </c>
      <c r="I343" s="389">
        <v>42964</v>
      </c>
      <c r="J343" s="391">
        <f t="shared" si="49"/>
        <v>67</v>
      </c>
      <c r="K343" s="392">
        <f t="shared" si="45"/>
        <v>67</v>
      </c>
      <c r="L343" s="336">
        <f t="shared" si="46"/>
        <v>25173.24</v>
      </c>
      <c r="N343" s="370">
        <f t="shared" si="50"/>
        <v>15</v>
      </c>
      <c r="O343" s="370">
        <f t="shared" si="51"/>
        <v>67</v>
      </c>
      <c r="P343" s="370">
        <f t="shared" si="52"/>
        <v>82</v>
      </c>
      <c r="Q343" s="371">
        <f t="shared" si="53"/>
        <v>30809.040000000001</v>
      </c>
    </row>
    <row r="344" spans="1:17">
      <c r="A344" s="368">
        <f t="shared" si="47"/>
        <v>333</v>
      </c>
      <c r="B344" s="388" t="s">
        <v>465</v>
      </c>
      <c r="C344" s="388" t="s">
        <v>515</v>
      </c>
      <c r="D344" s="389">
        <v>42951</v>
      </c>
      <c r="E344" s="390">
        <v>2536.12</v>
      </c>
      <c r="F344" s="389">
        <v>42939</v>
      </c>
      <c r="G344" s="389"/>
      <c r="H344" s="369">
        <f t="shared" si="48"/>
        <v>0</v>
      </c>
      <c r="I344" s="389">
        <v>42979</v>
      </c>
      <c r="J344" s="391">
        <f t="shared" si="49"/>
        <v>40</v>
      </c>
      <c r="K344" s="392">
        <f t="shared" si="45"/>
        <v>40</v>
      </c>
      <c r="L344" s="336">
        <f t="shared" si="46"/>
        <v>101444.8</v>
      </c>
      <c r="N344" s="370">
        <f t="shared" si="50"/>
        <v>15</v>
      </c>
      <c r="O344" s="370">
        <f t="shared" si="51"/>
        <v>40</v>
      </c>
      <c r="P344" s="370">
        <f t="shared" si="52"/>
        <v>55</v>
      </c>
      <c r="Q344" s="371">
        <f t="shared" si="53"/>
        <v>139486.6</v>
      </c>
    </row>
    <row r="345" spans="1:17">
      <c r="A345" s="368">
        <f t="shared" si="47"/>
        <v>334</v>
      </c>
      <c r="B345" s="388" t="s">
        <v>465</v>
      </c>
      <c r="C345" s="388" t="s">
        <v>515</v>
      </c>
      <c r="D345" s="389">
        <v>42797</v>
      </c>
      <c r="E345" s="390">
        <v>7825.19</v>
      </c>
      <c r="F345" s="389">
        <v>42797</v>
      </c>
      <c r="G345" s="389"/>
      <c r="H345" s="369">
        <f t="shared" si="48"/>
        <v>0</v>
      </c>
      <c r="I345" s="389">
        <v>42828</v>
      </c>
      <c r="J345" s="391">
        <f t="shared" si="49"/>
        <v>31</v>
      </c>
      <c r="K345" s="392">
        <f t="shared" si="45"/>
        <v>31</v>
      </c>
      <c r="L345" s="336">
        <f t="shared" si="46"/>
        <v>242580.89</v>
      </c>
      <c r="N345" s="370">
        <f t="shared" si="50"/>
        <v>15</v>
      </c>
      <c r="O345" s="370">
        <f t="shared" si="51"/>
        <v>31</v>
      </c>
      <c r="P345" s="370">
        <f t="shared" si="52"/>
        <v>46</v>
      </c>
      <c r="Q345" s="371">
        <f t="shared" si="53"/>
        <v>359958.74</v>
      </c>
    </row>
    <row r="346" spans="1:17">
      <c r="A346" s="368">
        <f t="shared" si="47"/>
        <v>335</v>
      </c>
      <c r="B346" s="388" t="s">
        <v>451</v>
      </c>
      <c r="C346" s="388" t="s">
        <v>515</v>
      </c>
      <c r="D346" s="389">
        <v>42829</v>
      </c>
      <c r="E346" s="390">
        <v>1675.6</v>
      </c>
      <c r="F346" s="389">
        <v>42820</v>
      </c>
      <c r="G346" s="389">
        <v>42826</v>
      </c>
      <c r="H346" s="369">
        <f t="shared" si="48"/>
        <v>3</v>
      </c>
      <c r="I346" s="389">
        <v>42863</v>
      </c>
      <c r="J346" s="391">
        <f t="shared" si="49"/>
        <v>37</v>
      </c>
      <c r="K346" s="392">
        <f t="shared" si="45"/>
        <v>40</v>
      </c>
      <c r="L346" s="336">
        <f t="shared" si="46"/>
        <v>67024</v>
      </c>
      <c r="N346" s="370">
        <f t="shared" si="50"/>
        <v>3</v>
      </c>
      <c r="O346" s="370">
        <f t="shared" si="51"/>
        <v>37</v>
      </c>
      <c r="P346" s="370">
        <f t="shared" si="52"/>
        <v>40</v>
      </c>
      <c r="Q346" s="371">
        <f t="shared" si="53"/>
        <v>67024</v>
      </c>
    </row>
    <row r="347" spans="1:17">
      <c r="A347" s="368">
        <f t="shared" si="47"/>
        <v>336</v>
      </c>
      <c r="B347" s="388" t="s">
        <v>526</v>
      </c>
      <c r="C347" s="388" t="s">
        <v>515</v>
      </c>
      <c r="D347" s="389">
        <v>42906</v>
      </c>
      <c r="E347" s="390">
        <v>5327.07</v>
      </c>
      <c r="F347" s="389">
        <v>42891</v>
      </c>
      <c r="G347" s="389">
        <v>42892</v>
      </c>
      <c r="H347" s="369">
        <f t="shared" si="48"/>
        <v>0.5</v>
      </c>
      <c r="I347" s="389">
        <v>42937</v>
      </c>
      <c r="J347" s="391">
        <f t="shared" si="49"/>
        <v>45</v>
      </c>
      <c r="K347" s="392">
        <f t="shared" si="45"/>
        <v>45.5</v>
      </c>
      <c r="L347" s="336">
        <f t="shared" si="46"/>
        <v>242381.69</v>
      </c>
      <c r="N347" s="370">
        <f t="shared" si="50"/>
        <v>0.5</v>
      </c>
      <c r="O347" s="370">
        <f t="shared" si="51"/>
        <v>45</v>
      </c>
      <c r="P347" s="370">
        <f t="shared" si="52"/>
        <v>45.5</v>
      </c>
      <c r="Q347" s="371">
        <f t="shared" si="53"/>
        <v>242381.685</v>
      </c>
    </row>
    <row r="348" spans="1:17">
      <c r="A348" s="368">
        <f t="shared" si="47"/>
        <v>337</v>
      </c>
      <c r="B348" s="388" t="s">
        <v>527</v>
      </c>
      <c r="C348" s="388" t="s">
        <v>515</v>
      </c>
      <c r="D348" s="389">
        <v>42888</v>
      </c>
      <c r="E348" s="390">
        <v>986.61</v>
      </c>
      <c r="F348" s="389">
        <v>42888</v>
      </c>
      <c r="G348" s="389"/>
      <c r="H348" s="369">
        <f t="shared" si="48"/>
        <v>0</v>
      </c>
      <c r="I348" s="389">
        <v>42919</v>
      </c>
      <c r="J348" s="391">
        <f t="shared" si="49"/>
        <v>31</v>
      </c>
      <c r="K348" s="392">
        <f t="shared" si="45"/>
        <v>31</v>
      </c>
      <c r="L348" s="336">
        <f t="shared" si="46"/>
        <v>30584.91</v>
      </c>
      <c r="N348" s="370">
        <f t="shared" si="50"/>
        <v>15</v>
      </c>
      <c r="O348" s="370">
        <f t="shared" si="51"/>
        <v>31</v>
      </c>
      <c r="P348" s="370">
        <f t="shared" si="52"/>
        <v>46</v>
      </c>
      <c r="Q348" s="371">
        <f t="shared" si="53"/>
        <v>45384.06</v>
      </c>
    </row>
    <row r="349" spans="1:17">
      <c r="A349" s="368">
        <f t="shared" si="47"/>
        <v>338</v>
      </c>
      <c r="B349" s="388" t="s">
        <v>465</v>
      </c>
      <c r="C349" s="388" t="s">
        <v>515</v>
      </c>
      <c r="D349" s="389">
        <v>43063</v>
      </c>
      <c r="E349" s="390">
        <v>3663.35</v>
      </c>
      <c r="F349" s="389">
        <v>43058</v>
      </c>
      <c r="G349" s="389"/>
      <c r="H349" s="369">
        <f t="shared" si="48"/>
        <v>0</v>
      </c>
      <c r="I349" s="389">
        <v>43091</v>
      </c>
      <c r="J349" s="391">
        <f t="shared" si="49"/>
        <v>33</v>
      </c>
      <c r="K349" s="392">
        <f t="shared" si="45"/>
        <v>33</v>
      </c>
      <c r="L349" s="336">
        <f t="shared" si="46"/>
        <v>120890.55</v>
      </c>
      <c r="N349" s="370">
        <f t="shared" si="50"/>
        <v>15</v>
      </c>
      <c r="O349" s="370">
        <f t="shared" si="51"/>
        <v>33</v>
      </c>
      <c r="P349" s="370">
        <f t="shared" si="52"/>
        <v>48</v>
      </c>
      <c r="Q349" s="371">
        <f t="shared" si="53"/>
        <v>175840.8</v>
      </c>
    </row>
    <row r="350" spans="1:17">
      <c r="A350" s="368">
        <f t="shared" si="47"/>
        <v>339</v>
      </c>
      <c r="B350" s="388" t="s">
        <v>465</v>
      </c>
      <c r="C350" s="388" t="s">
        <v>515</v>
      </c>
      <c r="D350" s="389">
        <v>42733</v>
      </c>
      <c r="E350" s="390">
        <v>253.22</v>
      </c>
      <c r="F350" s="389">
        <v>42729</v>
      </c>
      <c r="G350" s="389"/>
      <c r="H350" s="369">
        <f t="shared" si="48"/>
        <v>0</v>
      </c>
      <c r="I350" s="389">
        <v>42765</v>
      </c>
      <c r="J350" s="391">
        <f t="shared" si="49"/>
        <v>36</v>
      </c>
      <c r="K350" s="392">
        <f t="shared" si="45"/>
        <v>36</v>
      </c>
      <c r="L350" s="336">
        <f t="shared" si="46"/>
        <v>9115.92</v>
      </c>
      <c r="N350" s="370">
        <f t="shared" si="50"/>
        <v>15</v>
      </c>
      <c r="O350" s="370">
        <f t="shared" si="51"/>
        <v>36</v>
      </c>
      <c r="P350" s="370">
        <f t="shared" si="52"/>
        <v>51</v>
      </c>
      <c r="Q350" s="371">
        <f t="shared" si="53"/>
        <v>12914.22</v>
      </c>
    </row>
    <row r="351" spans="1:17">
      <c r="A351" s="368">
        <f t="shared" si="47"/>
        <v>340</v>
      </c>
      <c r="B351" s="388" t="s">
        <v>527</v>
      </c>
      <c r="C351" s="388" t="s">
        <v>515</v>
      </c>
      <c r="D351" s="389">
        <v>42865</v>
      </c>
      <c r="E351" s="390">
        <v>38.31</v>
      </c>
      <c r="F351" s="389">
        <v>42864</v>
      </c>
      <c r="G351" s="389"/>
      <c r="H351" s="369">
        <f t="shared" si="48"/>
        <v>0</v>
      </c>
      <c r="I351" s="389">
        <v>42898</v>
      </c>
      <c r="J351" s="391">
        <f t="shared" si="49"/>
        <v>34</v>
      </c>
      <c r="K351" s="392">
        <f t="shared" si="45"/>
        <v>34</v>
      </c>
      <c r="L351" s="336">
        <f t="shared" si="46"/>
        <v>1302.54</v>
      </c>
      <c r="N351" s="370">
        <f t="shared" si="50"/>
        <v>15</v>
      </c>
      <c r="O351" s="370">
        <f t="shared" si="51"/>
        <v>34</v>
      </c>
      <c r="P351" s="370">
        <f t="shared" si="52"/>
        <v>49</v>
      </c>
      <c r="Q351" s="371">
        <f t="shared" si="53"/>
        <v>1877.19</v>
      </c>
    </row>
    <row r="352" spans="1:17">
      <c r="A352" s="368">
        <f t="shared" si="47"/>
        <v>341</v>
      </c>
      <c r="B352" s="388" t="s">
        <v>525</v>
      </c>
      <c r="C352" s="388" t="s">
        <v>515</v>
      </c>
      <c r="D352" s="389">
        <v>42762</v>
      </c>
      <c r="E352" s="390">
        <v>257.55</v>
      </c>
      <c r="F352" s="389">
        <v>42762</v>
      </c>
      <c r="G352" s="389"/>
      <c r="H352" s="369">
        <f t="shared" si="48"/>
        <v>0</v>
      </c>
      <c r="I352" s="389">
        <v>42808</v>
      </c>
      <c r="J352" s="391">
        <f t="shared" si="49"/>
        <v>46</v>
      </c>
      <c r="K352" s="392">
        <f t="shared" si="45"/>
        <v>46</v>
      </c>
      <c r="L352" s="336">
        <f t="shared" si="46"/>
        <v>11847.3</v>
      </c>
      <c r="N352" s="370">
        <f t="shared" si="50"/>
        <v>15</v>
      </c>
      <c r="O352" s="370">
        <f t="shared" si="51"/>
        <v>46</v>
      </c>
      <c r="P352" s="370">
        <f t="shared" si="52"/>
        <v>61</v>
      </c>
      <c r="Q352" s="371">
        <f t="shared" si="53"/>
        <v>15710.550000000001</v>
      </c>
    </row>
    <row r="353" spans="1:17">
      <c r="A353" s="368">
        <f t="shared" si="47"/>
        <v>342</v>
      </c>
      <c r="B353" s="388" t="s">
        <v>528</v>
      </c>
      <c r="C353" s="388" t="s">
        <v>515</v>
      </c>
      <c r="D353" s="389">
        <v>42891</v>
      </c>
      <c r="E353" s="390">
        <v>53528.08</v>
      </c>
      <c r="F353" s="389">
        <v>42891</v>
      </c>
      <c r="G353" s="389">
        <v>42916</v>
      </c>
      <c r="H353" s="369">
        <f t="shared" si="48"/>
        <v>12.5</v>
      </c>
      <c r="I353" s="389">
        <v>42898</v>
      </c>
      <c r="J353" s="391">
        <f t="shared" si="49"/>
        <v>-18</v>
      </c>
      <c r="K353" s="392">
        <f t="shared" si="45"/>
        <v>-5.5</v>
      </c>
      <c r="L353" s="336">
        <f t="shared" si="46"/>
        <v>-294404.44</v>
      </c>
      <c r="N353" s="370">
        <f t="shared" si="50"/>
        <v>12.5</v>
      </c>
      <c r="O353" s="370">
        <f t="shared" si="51"/>
        <v>-18</v>
      </c>
      <c r="P353" s="370">
        <f t="shared" si="52"/>
        <v>-5.5</v>
      </c>
      <c r="Q353" s="371">
        <f t="shared" si="53"/>
        <v>-294404.44</v>
      </c>
    </row>
    <row r="354" spans="1:17">
      <c r="A354" s="368">
        <f t="shared" si="47"/>
        <v>343</v>
      </c>
      <c r="B354" s="388" t="s">
        <v>499</v>
      </c>
      <c r="C354" s="388" t="s">
        <v>515</v>
      </c>
      <c r="D354" s="389">
        <v>43051</v>
      </c>
      <c r="E354" s="390">
        <v>3539.27</v>
      </c>
      <c r="F354" s="389">
        <v>43051</v>
      </c>
      <c r="G354" s="389"/>
      <c r="H354" s="369">
        <f t="shared" si="48"/>
        <v>0</v>
      </c>
      <c r="I354" s="389">
        <v>43082</v>
      </c>
      <c r="J354" s="391">
        <f t="shared" si="49"/>
        <v>31</v>
      </c>
      <c r="K354" s="392">
        <f t="shared" si="45"/>
        <v>31</v>
      </c>
      <c r="L354" s="336">
        <f t="shared" si="46"/>
        <v>109717.37</v>
      </c>
      <c r="N354" s="370">
        <f t="shared" si="50"/>
        <v>15</v>
      </c>
      <c r="O354" s="370">
        <f t="shared" si="51"/>
        <v>31</v>
      </c>
      <c r="P354" s="370">
        <f t="shared" si="52"/>
        <v>46</v>
      </c>
      <c r="Q354" s="371">
        <f t="shared" si="53"/>
        <v>162806.42000000001</v>
      </c>
    </row>
    <row r="355" spans="1:17">
      <c r="A355" s="368">
        <f t="shared" si="47"/>
        <v>344</v>
      </c>
      <c r="B355" s="388" t="s">
        <v>499</v>
      </c>
      <c r="C355" s="388" t="s">
        <v>515</v>
      </c>
      <c r="D355" s="389">
        <v>42936</v>
      </c>
      <c r="E355" s="390">
        <v>1547.47</v>
      </c>
      <c r="F355" s="389">
        <v>42936</v>
      </c>
      <c r="G355" s="389"/>
      <c r="H355" s="369">
        <f t="shared" si="48"/>
        <v>0</v>
      </c>
      <c r="I355" s="389">
        <v>42968</v>
      </c>
      <c r="J355" s="391">
        <f t="shared" si="49"/>
        <v>32</v>
      </c>
      <c r="K355" s="392">
        <f t="shared" si="45"/>
        <v>32</v>
      </c>
      <c r="L355" s="336">
        <f t="shared" si="46"/>
        <v>49519.040000000001</v>
      </c>
      <c r="N355" s="370">
        <f t="shared" si="50"/>
        <v>15</v>
      </c>
      <c r="O355" s="370">
        <f t="shared" si="51"/>
        <v>32</v>
      </c>
      <c r="P355" s="370">
        <f t="shared" si="52"/>
        <v>47</v>
      </c>
      <c r="Q355" s="371">
        <f t="shared" si="53"/>
        <v>72731.09</v>
      </c>
    </row>
    <row r="356" spans="1:17">
      <c r="A356" s="368">
        <f t="shared" si="47"/>
        <v>345</v>
      </c>
      <c r="B356" s="388" t="s">
        <v>499</v>
      </c>
      <c r="C356" s="388" t="s">
        <v>515</v>
      </c>
      <c r="D356" s="389">
        <v>43082</v>
      </c>
      <c r="E356" s="390">
        <v>2316.7800000000002</v>
      </c>
      <c r="F356" s="389">
        <v>43082</v>
      </c>
      <c r="G356" s="389"/>
      <c r="H356" s="369">
        <f t="shared" si="48"/>
        <v>0</v>
      </c>
      <c r="I356" s="389">
        <v>43116</v>
      </c>
      <c r="J356" s="391">
        <f t="shared" si="49"/>
        <v>34</v>
      </c>
      <c r="K356" s="392">
        <f t="shared" si="45"/>
        <v>34</v>
      </c>
      <c r="L356" s="336">
        <f t="shared" si="46"/>
        <v>78770.52</v>
      </c>
      <c r="N356" s="370">
        <f t="shared" si="50"/>
        <v>15</v>
      </c>
      <c r="O356" s="370">
        <f t="shared" si="51"/>
        <v>34</v>
      </c>
      <c r="P356" s="370">
        <f t="shared" si="52"/>
        <v>49</v>
      </c>
      <c r="Q356" s="371">
        <f t="shared" si="53"/>
        <v>113522.22000000002</v>
      </c>
    </row>
    <row r="357" spans="1:17">
      <c r="A357" s="368">
        <f t="shared" si="47"/>
        <v>346</v>
      </c>
      <c r="B357" s="388" t="s">
        <v>499</v>
      </c>
      <c r="C357" s="388" t="s">
        <v>515</v>
      </c>
      <c r="D357" s="389">
        <v>42832</v>
      </c>
      <c r="E357" s="390">
        <v>19.88</v>
      </c>
      <c r="F357" s="389">
        <v>42832</v>
      </c>
      <c r="G357" s="389"/>
      <c r="H357" s="369">
        <f t="shared" si="48"/>
        <v>0</v>
      </c>
      <c r="I357" s="389">
        <v>42863</v>
      </c>
      <c r="J357" s="391">
        <f t="shared" si="49"/>
        <v>31</v>
      </c>
      <c r="K357" s="392">
        <f t="shared" si="45"/>
        <v>31</v>
      </c>
      <c r="L357" s="336">
        <f t="shared" si="46"/>
        <v>616.28</v>
      </c>
      <c r="N357" s="370">
        <f t="shared" si="50"/>
        <v>15</v>
      </c>
      <c r="O357" s="370">
        <f t="shared" si="51"/>
        <v>31</v>
      </c>
      <c r="P357" s="370">
        <f t="shared" si="52"/>
        <v>46</v>
      </c>
      <c r="Q357" s="371">
        <f t="shared" si="53"/>
        <v>914.4799999999999</v>
      </c>
    </row>
    <row r="358" spans="1:17">
      <c r="A358" s="368">
        <f t="shared" si="47"/>
        <v>347</v>
      </c>
      <c r="B358" s="388" t="s">
        <v>499</v>
      </c>
      <c r="C358" s="388" t="s">
        <v>515</v>
      </c>
      <c r="D358" s="389">
        <v>42804</v>
      </c>
      <c r="E358" s="390">
        <v>1518</v>
      </c>
      <c r="F358" s="389">
        <v>42804</v>
      </c>
      <c r="G358" s="389"/>
      <c r="H358" s="369">
        <f t="shared" si="48"/>
        <v>0</v>
      </c>
      <c r="I358" s="389">
        <v>42835</v>
      </c>
      <c r="J358" s="391">
        <f t="shared" si="49"/>
        <v>31</v>
      </c>
      <c r="K358" s="392">
        <f t="shared" si="45"/>
        <v>31</v>
      </c>
      <c r="L358" s="336">
        <f t="shared" si="46"/>
        <v>47058</v>
      </c>
      <c r="N358" s="370">
        <f t="shared" si="50"/>
        <v>15</v>
      </c>
      <c r="O358" s="370">
        <f t="shared" si="51"/>
        <v>31</v>
      </c>
      <c r="P358" s="370">
        <f t="shared" si="52"/>
        <v>46</v>
      </c>
      <c r="Q358" s="371">
        <f t="shared" si="53"/>
        <v>69828</v>
      </c>
    </row>
    <row r="359" spans="1:17">
      <c r="A359" s="368">
        <f t="shared" si="47"/>
        <v>348</v>
      </c>
      <c r="B359" s="388" t="s">
        <v>529</v>
      </c>
      <c r="C359" s="388" t="s">
        <v>530</v>
      </c>
      <c r="D359" s="389">
        <v>42978</v>
      </c>
      <c r="E359" s="390">
        <v>67945.899999999994</v>
      </c>
      <c r="F359" s="389">
        <v>42951</v>
      </c>
      <c r="G359" s="389">
        <v>42978</v>
      </c>
      <c r="H359" s="369">
        <f t="shared" si="48"/>
        <v>13.5</v>
      </c>
      <c r="I359" s="389">
        <v>43024</v>
      </c>
      <c r="J359" s="391">
        <f t="shared" si="49"/>
        <v>46</v>
      </c>
      <c r="K359" s="392">
        <f t="shared" si="45"/>
        <v>59.5</v>
      </c>
      <c r="L359" s="336">
        <f t="shared" si="46"/>
        <v>4042781.05</v>
      </c>
      <c r="N359" s="370">
        <f t="shared" si="50"/>
        <v>13.5</v>
      </c>
      <c r="O359" s="370">
        <f t="shared" si="51"/>
        <v>46</v>
      </c>
      <c r="P359" s="370">
        <f t="shared" si="52"/>
        <v>59.5</v>
      </c>
      <c r="Q359" s="371">
        <f t="shared" si="53"/>
        <v>4042781.05</v>
      </c>
    </row>
    <row r="360" spans="1:17">
      <c r="A360" s="368">
        <f t="shared" si="47"/>
        <v>349</v>
      </c>
      <c r="B360" s="388" t="s">
        <v>529</v>
      </c>
      <c r="C360" s="388" t="s">
        <v>530</v>
      </c>
      <c r="D360" s="389">
        <v>42825</v>
      </c>
      <c r="E360" s="390">
        <v>61871.91</v>
      </c>
      <c r="F360" s="389">
        <v>42795</v>
      </c>
      <c r="G360" s="389">
        <v>42824</v>
      </c>
      <c r="H360" s="369">
        <f t="shared" si="48"/>
        <v>14.5</v>
      </c>
      <c r="I360" s="389">
        <v>42863</v>
      </c>
      <c r="J360" s="391">
        <f t="shared" si="49"/>
        <v>39</v>
      </c>
      <c r="K360" s="392">
        <f t="shared" si="45"/>
        <v>53.5</v>
      </c>
      <c r="L360" s="336">
        <f t="shared" si="46"/>
        <v>3310147.19</v>
      </c>
      <c r="N360" s="370">
        <f t="shared" si="50"/>
        <v>14.5</v>
      </c>
      <c r="O360" s="370">
        <f t="shared" si="51"/>
        <v>39</v>
      </c>
      <c r="P360" s="370">
        <f t="shared" si="52"/>
        <v>53.5</v>
      </c>
      <c r="Q360" s="371">
        <f t="shared" si="53"/>
        <v>3310147.1850000001</v>
      </c>
    </row>
    <row r="361" spans="1:17">
      <c r="A361" s="368">
        <f t="shared" si="47"/>
        <v>350</v>
      </c>
      <c r="B361" s="388" t="s">
        <v>444</v>
      </c>
      <c r="C361" s="388" t="s">
        <v>530</v>
      </c>
      <c r="D361" s="389">
        <v>42822</v>
      </c>
      <c r="E361" s="390">
        <v>29767.55</v>
      </c>
      <c r="F361" s="389">
        <v>42822</v>
      </c>
      <c r="G361" s="389"/>
      <c r="H361" s="369">
        <f t="shared" si="48"/>
        <v>0</v>
      </c>
      <c r="I361" s="389">
        <v>42852</v>
      </c>
      <c r="J361" s="391">
        <f t="shared" si="49"/>
        <v>30</v>
      </c>
      <c r="K361" s="392">
        <f t="shared" si="45"/>
        <v>30</v>
      </c>
      <c r="L361" s="336">
        <f t="shared" si="46"/>
        <v>893026.5</v>
      </c>
      <c r="N361" s="370">
        <f t="shared" si="50"/>
        <v>15</v>
      </c>
      <c r="O361" s="370">
        <f t="shared" si="51"/>
        <v>30</v>
      </c>
      <c r="P361" s="370">
        <f t="shared" si="52"/>
        <v>45</v>
      </c>
      <c r="Q361" s="371">
        <f t="shared" si="53"/>
        <v>1339539.75</v>
      </c>
    </row>
    <row r="362" spans="1:17">
      <c r="A362" s="368">
        <f t="shared" si="47"/>
        <v>351</v>
      </c>
      <c r="B362" s="388" t="s">
        <v>531</v>
      </c>
      <c r="C362" s="388" t="s">
        <v>532</v>
      </c>
      <c r="D362" s="389">
        <v>42842</v>
      </c>
      <c r="E362" s="390">
        <v>241.49</v>
      </c>
      <c r="F362" s="389">
        <v>42800</v>
      </c>
      <c r="G362" s="389"/>
      <c r="H362" s="369">
        <f t="shared" si="48"/>
        <v>0</v>
      </c>
      <c r="I362" s="389">
        <v>42873</v>
      </c>
      <c r="J362" s="391">
        <f t="shared" si="49"/>
        <v>73</v>
      </c>
      <c r="K362" s="392">
        <f t="shared" si="45"/>
        <v>73</v>
      </c>
      <c r="L362" s="336">
        <f t="shared" si="46"/>
        <v>17628.77</v>
      </c>
      <c r="N362" s="370">
        <f t="shared" si="50"/>
        <v>15</v>
      </c>
      <c r="O362" s="370">
        <f t="shared" si="51"/>
        <v>73</v>
      </c>
      <c r="P362" s="370">
        <f t="shared" si="52"/>
        <v>88</v>
      </c>
      <c r="Q362" s="371">
        <f t="shared" si="53"/>
        <v>21251.120000000003</v>
      </c>
    </row>
    <row r="363" spans="1:17">
      <c r="A363" s="368">
        <f t="shared" si="47"/>
        <v>352</v>
      </c>
      <c r="B363" s="388" t="s">
        <v>533</v>
      </c>
      <c r="C363" s="388" t="s">
        <v>534</v>
      </c>
      <c r="D363" s="389">
        <v>42929</v>
      </c>
      <c r="E363" s="390">
        <v>366.69</v>
      </c>
      <c r="F363" s="389">
        <v>42929</v>
      </c>
      <c r="G363" s="389"/>
      <c r="H363" s="369">
        <f t="shared" si="48"/>
        <v>0</v>
      </c>
      <c r="I363" s="389">
        <v>42961</v>
      </c>
      <c r="J363" s="391">
        <f t="shared" si="49"/>
        <v>32</v>
      </c>
      <c r="K363" s="392">
        <f t="shared" si="45"/>
        <v>32</v>
      </c>
      <c r="L363" s="336">
        <f t="shared" si="46"/>
        <v>11734.08</v>
      </c>
      <c r="N363" s="370">
        <f t="shared" si="50"/>
        <v>15</v>
      </c>
      <c r="O363" s="370">
        <f t="shared" si="51"/>
        <v>32</v>
      </c>
      <c r="P363" s="370">
        <f t="shared" si="52"/>
        <v>47</v>
      </c>
      <c r="Q363" s="371">
        <f t="shared" si="53"/>
        <v>17234.43</v>
      </c>
    </row>
    <row r="364" spans="1:17">
      <c r="A364" s="368">
        <f t="shared" si="47"/>
        <v>353</v>
      </c>
      <c r="B364" s="388" t="s">
        <v>397</v>
      </c>
      <c r="C364" s="388" t="s">
        <v>535</v>
      </c>
      <c r="D364" s="389">
        <v>42943</v>
      </c>
      <c r="E364" s="390">
        <v>248.37</v>
      </c>
      <c r="F364" s="389">
        <v>42923</v>
      </c>
      <c r="G364" s="389"/>
      <c r="H364" s="369">
        <f t="shared" si="48"/>
        <v>0</v>
      </c>
      <c r="I364" s="389">
        <v>42949</v>
      </c>
      <c r="J364" s="391">
        <f t="shared" si="49"/>
        <v>26</v>
      </c>
      <c r="K364" s="392">
        <f t="shared" si="45"/>
        <v>26</v>
      </c>
      <c r="L364" s="336">
        <f t="shared" si="46"/>
        <v>6457.62</v>
      </c>
      <c r="N364" s="370">
        <f t="shared" si="50"/>
        <v>15</v>
      </c>
      <c r="O364" s="370">
        <f t="shared" si="51"/>
        <v>26</v>
      </c>
      <c r="P364" s="370">
        <f t="shared" si="52"/>
        <v>41</v>
      </c>
      <c r="Q364" s="371">
        <f t="shared" si="53"/>
        <v>10183.17</v>
      </c>
    </row>
    <row r="365" spans="1:17">
      <c r="A365" s="368">
        <f t="shared" si="47"/>
        <v>354</v>
      </c>
      <c r="B365" s="388" t="s">
        <v>395</v>
      </c>
      <c r="C365" s="388" t="s">
        <v>536</v>
      </c>
      <c r="D365" s="389">
        <v>43039</v>
      </c>
      <c r="E365" s="390">
        <v>12.46</v>
      </c>
      <c r="F365" s="389">
        <v>43018</v>
      </c>
      <c r="G365" s="389"/>
      <c r="H365" s="369">
        <f t="shared" si="48"/>
        <v>0</v>
      </c>
      <c r="I365" s="389">
        <v>43080</v>
      </c>
      <c r="J365" s="391">
        <f t="shared" si="49"/>
        <v>62</v>
      </c>
      <c r="K365" s="392">
        <f t="shared" si="45"/>
        <v>62</v>
      </c>
      <c r="L365" s="336">
        <f t="shared" si="46"/>
        <v>772.52</v>
      </c>
      <c r="N365" s="370">
        <f t="shared" si="50"/>
        <v>15</v>
      </c>
      <c r="O365" s="370">
        <f t="shared" si="51"/>
        <v>62</v>
      </c>
      <c r="P365" s="370">
        <f t="shared" si="52"/>
        <v>77</v>
      </c>
      <c r="Q365" s="371">
        <f t="shared" si="53"/>
        <v>959.42000000000007</v>
      </c>
    </row>
    <row r="366" spans="1:17">
      <c r="A366" s="368">
        <f t="shared" si="47"/>
        <v>355</v>
      </c>
      <c r="B366" s="388" t="s">
        <v>395</v>
      </c>
      <c r="C366" s="388" t="s">
        <v>536</v>
      </c>
      <c r="D366" s="389">
        <v>42916</v>
      </c>
      <c r="E366" s="390">
        <v>-209.92</v>
      </c>
      <c r="F366" s="389">
        <v>42837</v>
      </c>
      <c r="G366" s="389">
        <v>42844</v>
      </c>
      <c r="H366" s="369">
        <f t="shared" si="48"/>
        <v>3.5</v>
      </c>
      <c r="I366" s="389">
        <v>42941</v>
      </c>
      <c r="J366" s="391">
        <f t="shared" si="49"/>
        <v>97</v>
      </c>
      <c r="K366" s="392">
        <f t="shared" si="45"/>
        <v>100.5</v>
      </c>
      <c r="L366" s="336">
        <f t="shared" si="46"/>
        <v>-21096.959999999999</v>
      </c>
      <c r="N366" s="370">
        <f t="shared" si="50"/>
        <v>3.5</v>
      </c>
      <c r="O366" s="370">
        <f t="shared" si="51"/>
        <v>97</v>
      </c>
      <c r="P366" s="370">
        <f t="shared" si="52"/>
        <v>100.5</v>
      </c>
      <c r="Q366" s="371">
        <f t="shared" si="53"/>
        <v>-21096.959999999999</v>
      </c>
    </row>
    <row r="367" spans="1:17">
      <c r="A367" s="368">
        <f t="shared" si="47"/>
        <v>356</v>
      </c>
      <c r="B367" s="388" t="s">
        <v>395</v>
      </c>
      <c r="C367" s="388" t="s">
        <v>537</v>
      </c>
      <c r="D367" s="389">
        <v>42947</v>
      </c>
      <c r="E367" s="390">
        <v>321.73</v>
      </c>
      <c r="F367" s="389">
        <v>42916</v>
      </c>
      <c r="G367" s="389">
        <v>42940</v>
      </c>
      <c r="H367" s="369">
        <f t="shared" si="48"/>
        <v>12</v>
      </c>
      <c r="I367" s="389">
        <v>42972</v>
      </c>
      <c r="J367" s="391">
        <f t="shared" si="49"/>
        <v>32</v>
      </c>
      <c r="K367" s="392">
        <f t="shared" si="45"/>
        <v>44</v>
      </c>
      <c r="L367" s="336">
        <f t="shared" si="46"/>
        <v>14156.12</v>
      </c>
      <c r="N367" s="370">
        <f t="shared" si="50"/>
        <v>12</v>
      </c>
      <c r="O367" s="370">
        <f t="shared" si="51"/>
        <v>32</v>
      </c>
      <c r="P367" s="370">
        <f t="shared" si="52"/>
        <v>44</v>
      </c>
      <c r="Q367" s="371">
        <f t="shared" si="53"/>
        <v>14156.12</v>
      </c>
    </row>
    <row r="368" spans="1:17">
      <c r="A368" s="368">
        <f t="shared" si="47"/>
        <v>357</v>
      </c>
      <c r="B368" s="388" t="s">
        <v>538</v>
      </c>
      <c r="C368" s="388" t="s">
        <v>539</v>
      </c>
      <c r="D368" s="389">
        <v>43024</v>
      </c>
      <c r="E368" s="390">
        <v>54520.94</v>
      </c>
      <c r="F368" s="389">
        <v>43024</v>
      </c>
      <c r="G368" s="389"/>
      <c r="H368" s="369">
        <f t="shared" si="48"/>
        <v>0</v>
      </c>
      <c r="I368" s="389">
        <v>43055</v>
      </c>
      <c r="J368" s="391">
        <f t="shared" si="49"/>
        <v>31</v>
      </c>
      <c r="K368" s="392">
        <f t="shared" si="45"/>
        <v>31</v>
      </c>
      <c r="L368" s="336">
        <f t="shared" si="46"/>
        <v>1690149.14</v>
      </c>
      <c r="N368" s="370">
        <f t="shared" si="50"/>
        <v>15</v>
      </c>
      <c r="O368" s="370">
        <f t="shared" si="51"/>
        <v>31</v>
      </c>
      <c r="P368" s="370">
        <f t="shared" si="52"/>
        <v>46</v>
      </c>
      <c r="Q368" s="371">
        <f t="shared" si="53"/>
        <v>2507963.2400000002</v>
      </c>
    </row>
    <row r="369" spans="1:17">
      <c r="A369" s="368">
        <f t="shared" si="47"/>
        <v>358</v>
      </c>
      <c r="B369" s="388" t="s">
        <v>538</v>
      </c>
      <c r="C369" s="388" t="s">
        <v>539</v>
      </c>
      <c r="D369" s="389">
        <v>43045</v>
      </c>
      <c r="E369" s="390">
        <v>5195.96</v>
      </c>
      <c r="F369" s="389">
        <v>43045</v>
      </c>
      <c r="G369" s="389"/>
      <c r="H369" s="369">
        <f t="shared" si="48"/>
        <v>0</v>
      </c>
      <c r="I369" s="389">
        <v>43076</v>
      </c>
      <c r="J369" s="391">
        <f t="shared" si="49"/>
        <v>31</v>
      </c>
      <c r="K369" s="392">
        <f t="shared" si="45"/>
        <v>31</v>
      </c>
      <c r="L369" s="336">
        <f t="shared" si="46"/>
        <v>161074.76</v>
      </c>
      <c r="N369" s="370">
        <f t="shared" si="50"/>
        <v>15</v>
      </c>
      <c r="O369" s="370">
        <f t="shared" si="51"/>
        <v>31</v>
      </c>
      <c r="P369" s="370">
        <f t="shared" si="52"/>
        <v>46</v>
      </c>
      <c r="Q369" s="371">
        <f t="shared" si="53"/>
        <v>239014.16</v>
      </c>
    </row>
    <row r="370" spans="1:17">
      <c r="A370" s="368">
        <f t="shared" si="47"/>
        <v>359</v>
      </c>
      <c r="B370" s="388" t="s">
        <v>397</v>
      </c>
      <c r="C370" s="388" t="s">
        <v>539</v>
      </c>
      <c r="D370" s="389">
        <v>43097</v>
      </c>
      <c r="E370" s="390">
        <v>24842.03</v>
      </c>
      <c r="F370" s="389">
        <v>43068</v>
      </c>
      <c r="G370" s="389">
        <v>43090</v>
      </c>
      <c r="H370" s="369">
        <f t="shared" si="48"/>
        <v>11</v>
      </c>
      <c r="I370" s="389">
        <v>43098</v>
      </c>
      <c r="J370" s="391">
        <f t="shared" si="49"/>
        <v>8</v>
      </c>
      <c r="K370" s="392">
        <f t="shared" si="45"/>
        <v>19</v>
      </c>
      <c r="L370" s="336">
        <f t="shared" si="46"/>
        <v>471998.57</v>
      </c>
      <c r="N370" s="370">
        <f t="shared" si="50"/>
        <v>11</v>
      </c>
      <c r="O370" s="370">
        <f t="shared" si="51"/>
        <v>8</v>
      </c>
      <c r="P370" s="370">
        <f t="shared" si="52"/>
        <v>19</v>
      </c>
      <c r="Q370" s="371">
        <f t="shared" si="53"/>
        <v>471998.56999999995</v>
      </c>
    </row>
    <row r="371" spans="1:17">
      <c r="A371" s="368">
        <f t="shared" si="47"/>
        <v>360</v>
      </c>
      <c r="B371" s="388" t="s">
        <v>540</v>
      </c>
      <c r="C371" s="388" t="s">
        <v>539</v>
      </c>
      <c r="D371" s="389">
        <v>43039</v>
      </c>
      <c r="E371" s="390">
        <v>1087.58</v>
      </c>
      <c r="F371" s="389">
        <v>43039</v>
      </c>
      <c r="G371" s="389"/>
      <c r="H371" s="369">
        <f t="shared" si="48"/>
        <v>0</v>
      </c>
      <c r="I371" s="389">
        <v>43070</v>
      </c>
      <c r="J371" s="391">
        <f t="shared" si="49"/>
        <v>31</v>
      </c>
      <c r="K371" s="392">
        <f t="shared" si="45"/>
        <v>31</v>
      </c>
      <c r="L371" s="336">
        <f t="shared" si="46"/>
        <v>33714.980000000003</v>
      </c>
      <c r="N371" s="370">
        <f t="shared" si="50"/>
        <v>15</v>
      </c>
      <c r="O371" s="370">
        <f t="shared" si="51"/>
        <v>31</v>
      </c>
      <c r="P371" s="370">
        <f t="shared" si="52"/>
        <v>46</v>
      </c>
      <c r="Q371" s="371">
        <f t="shared" si="53"/>
        <v>50028.679999999993</v>
      </c>
    </row>
    <row r="372" spans="1:17">
      <c r="A372" s="368">
        <f t="shared" si="47"/>
        <v>361</v>
      </c>
      <c r="B372" s="388" t="s">
        <v>541</v>
      </c>
      <c r="C372" s="388" t="s">
        <v>539</v>
      </c>
      <c r="D372" s="389">
        <v>42935</v>
      </c>
      <c r="E372" s="390">
        <v>746.13</v>
      </c>
      <c r="F372" s="389">
        <v>42935</v>
      </c>
      <c r="G372" s="389"/>
      <c r="H372" s="369">
        <f t="shared" si="48"/>
        <v>0</v>
      </c>
      <c r="I372" s="389">
        <v>42968</v>
      </c>
      <c r="J372" s="391">
        <f t="shared" si="49"/>
        <v>33</v>
      </c>
      <c r="K372" s="392">
        <f t="shared" si="45"/>
        <v>33</v>
      </c>
      <c r="L372" s="336">
        <f t="shared" si="46"/>
        <v>24622.29</v>
      </c>
      <c r="N372" s="370">
        <f t="shared" si="50"/>
        <v>15</v>
      </c>
      <c r="O372" s="370">
        <f t="shared" si="51"/>
        <v>33</v>
      </c>
      <c r="P372" s="370">
        <f t="shared" si="52"/>
        <v>48</v>
      </c>
      <c r="Q372" s="371">
        <f t="shared" si="53"/>
        <v>35814.239999999998</v>
      </c>
    </row>
    <row r="373" spans="1:17">
      <c r="A373" s="368">
        <f t="shared" si="47"/>
        <v>362</v>
      </c>
      <c r="B373" s="388" t="s">
        <v>542</v>
      </c>
      <c r="C373" s="388" t="s">
        <v>539</v>
      </c>
      <c r="D373" s="389">
        <v>43091</v>
      </c>
      <c r="E373" s="390">
        <v>59935.73</v>
      </c>
      <c r="F373" s="389">
        <v>43091</v>
      </c>
      <c r="G373" s="389"/>
      <c r="H373" s="369">
        <f t="shared" si="48"/>
        <v>0</v>
      </c>
      <c r="I373" s="389">
        <v>43122</v>
      </c>
      <c r="J373" s="391">
        <f t="shared" si="49"/>
        <v>31</v>
      </c>
      <c r="K373" s="392">
        <f t="shared" si="45"/>
        <v>31</v>
      </c>
      <c r="L373" s="336">
        <f t="shared" si="46"/>
        <v>1858007.63</v>
      </c>
      <c r="N373" s="370">
        <f t="shared" si="50"/>
        <v>15</v>
      </c>
      <c r="O373" s="370">
        <f t="shared" si="51"/>
        <v>31</v>
      </c>
      <c r="P373" s="370">
        <f t="shared" si="52"/>
        <v>46</v>
      </c>
      <c r="Q373" s="371">
        <f t="shared" si="53"/>
        <v>2757043.58</v>
      </c>
    </row>
    <row r="374" spans="1:17">
      <c r="A374" s="368">
        <f t="shared" si="47"/>
        <v>363</v>
      </c>
      <c r="B374" s="388" t="s">
        <v>416</v>
      </c>
      <c r="C374" s="388" t="s">
        <v>539</v>
      </c>
      <c r="D374" s="389">
        <v>42978</v>
      </c>
      <c r="E374" s="390">
        <v>4905</v>
      </c>
      <c r="F374" s="389">
        <v>42978</v>
      </c>
      <c r="G374" s="389"/>
      <c r="H374" s="369">
        <f t="shared" si="48"/>
        <v>0</v>
      </c>
      <c r="I374" s="389">
        <v>43010</v>
      </c>
      <c r="J374" s="391">
        <f t="shared" si="49"/>
        <v>32</v>
      </c>
      <c r="K374" s="392">
        <f t="shared" si="45"/>
        <v>32</v>
      </c>
      <c r="L374" s="336">
        <f t="shared" si="46"/>
        <v>156960</v>
      </c>
      <c r="N374" s="370">
        <f t="shared" si="50"/>
        <v>15</v>
      </c>
      <c r="O374" s="370">
        <f t="shared" si="51"/>
        <v>32</v>
      </c>
      <c r="P374" s="370">
        <f t="shared" si="52"/>
        <v>47</v>
      </c>
      <c r="Q374" s="371">
        <f t="shared" si="53"/>
        <v>230535</v>
      </c>
    </row>
    <row r="375" spans="1:17">
      <c r="A375" s="368">
        <f t="shared" si="47"/>
        <v>364</v>
      </c>
      <c r="B375" s="388" t="s">
        <v>395</v>
      </c>
      <c r="C375" s="388" t="s">
        <v>539</v>
      </c>
      <c r="D375" s="389">
        <v>43039</v>
      </c>
      <c r="E375" s="390">
        <v>58.55</v>
      </c>
      <c r="F375" s="389">
        <v>43000</v>
      </c>
      <c r="G375" s="389"/>
      <c r="H375" s="369">
        <f t="shared" si="48"/>
        <v>0</v>
      </c>
      <c r="I375" s="389">
        <v>43080</v>
      </c>
      <c r="J375" s="391">
        <f t="shared" si="49"/>
        <v>80</v>
      </c>
      <c r="K375" s="392">
        <f t="shared" si="45"/>
        <v>80</v>
      </c>
      <c r="L375" s="336">
        <f t="shared" si="46"/>
        <v>4684</v>
      </c>
      <c r="N375" s="370">
        <f t="shared" si="50"/>
        <v>15</v>
      </c>
      <c r="O375" s="370">
        <f t="shared" si="51"/>
        <v>80</v>
      </c>
      <c r="P375" s="370">
        <f t="shared" si="52"/>
        <v>95</v>
      </c>
      <c r="Q375" s="371">
        <f t="shared" si="53"/>
        <v>5562.25</v>
      </c>
    </row>
    <row r="376" spans="1:17">
      <c r="A376" s="368">
        <f t="shared" si="47"/>
        <v>365</v>
      </c>
      <c r="B376" s="388" t="s">
        <v>543</v>
      </c>
      <c r="C376" s="388" t="s">
        <v>539</v>
      </c>
      <c r="D376" s="389">
        <v>43083</v>
      </c>
      <c r="E376" s="390">
        <v>1743</v>
      </c>
      <c r="F376" s="389">
        <v>43083</v>
      </c>
      <c r="G376" s="389"/>
      <c r="H376" s="369">
        <f t="shared" si="48"/>
        <v>0</v>
      </c>
      <c r="I376" s="389">
        <v>43116</v>
      </c>
      <c r="J376" s="391">
        <f t="shared" si="49"/>
        <v>33</v>
      </c>
      <c r="K376" s="392">
        <f t="shared" si="45"/>
        <v>33</v>
      </c>
      <c r="L376" s="336">
        <f t="shared" si="46"/>
        <v>57519</v>
      </c>
      <c r="N376" s="370">
        <f t="shared" si="50"/>
        <v>15</v>
      </c>
      <c r="O376" s="370">
        <f t="shared" si="51"/>
        <v>33</v>
      </c>
      <c r="P376" s="370">
        <f t="shared" si="52"/>
        <v>48</v>
      </c>
      <c r="Q376" s="371">
        <f t="shared" si="53"/>
        <v>83664</v>
      </c>
    </row>
    <row r="377" spans="1:17">
      <c r="A377" s="368">
        <f t="shared" si="47"/>
        <v>366</v>
      </c>
      <c r="B377" s="388" t="s">
        <v>544</v>
      </c>
      <c r="C377" s="388" t="s">
        <v>539</v>
      </c>
      <c r="D377" s="389">
        <v>43039</v>
      </c>
      <c r="E377" s="390">
        <v>73101</v>
      </c>
      <c r="F377" s="389">
        <v>43039</v>
      </c>
      <c r="G377" s="389"/>
      <c r="H377" s="369">
        <f t="shared" si="48"/>
        <v>0</v>
      </c>
      <c r="I377" s="389">
        <v>43069</v>
      </c>
      <c r="J377" s="391">
        <f t="shared" si="49"/>
        <v>30</v>
      </c>
      <c r="K377" s="392">
        <f t="shared" si="45"/>
        <v>30</v>
      </c>
      <c r="L377" s="336">
        <f t="shared" si="46"/>
        <v>2193030</v>
      </c>
      <c r="N377" s="370">
        <f t="shared" si="50"/>
        <v>15</v>
      </c>
      <c r="O377" s="370">
        <f t="shared" si="51"/>
        <v>30</v>
      </c>
      <c r="P377" s="370">
        <f t="shared" si="52"/>
        <v>45</v>
      </c>
      <c r="Q377" s="371">
        <f t="shared" si="53"/>
        <v>3289545</v>
      </c>
    </row>
    <row r="378" spans="1:17">
      <c r="A378" s="368">
        <f t="shared" si="47"/>
        <v>367</v>
      </c>
      <c r="B378" s="388" t="s">
        <v>397</v>
      </c>
      <c r="C378" s="388" t="s">
        <v>545</v>
      </c>
      <c r="D378" s="389">
        <v>43068</v>
      </c>
      <c r="E378" s="390">
        <v>29.97</v>
      </c>
      <c r="F378" s="389">
        <v>43052</v>
      </c>
      <c r="G378" s="389"/>
      <c r="H378" s="369">
        <f t="shared" si="48"/>
        <v>0</v>
      </c>
      <c r="I378" s="389">
        <v>43073</v>
      </c>
      <c r="J378" s="391">
        <f t="shared" si="49"/>
        <v>21</v>
      </c>
      <c r="K378" s="392">
        <f t="shared" si="45"/>
        <v>21</v>
      </c>
      <c r="L378" s="336">
        <f t="shared" si="46"/>
        <v>629.37</v>
      </c>
      <c r="N378" s="370">
        <f t="shared" si="50"/>
        <v>15</v>
      </c>
      <c r="O378" s="370">
        <f t="shared" si="51"/>
        <v>21</v>
      </c>
      <c r="P378" s="370">
        <f t="shared" si="52"/>
        <v>36</v>
      </c>
      <c r="Q378" s="371">
        <f t="shared" si="53"/>
        <v>1078.92</v>
      </c>
    </row>
    <row r="379" spans="1:17">
      <c r="A379" s="368">
        <f t="shared" si="47"/>
        <v>368</v>
      </c>
      <c r="B379" s="388" t="s">
        <v>398</v>
      </c>
      <c r="C379" s="388" t="s">
        <v>545</v>
      </c>
      <c r="D379" s="389">
        <v>42976</v>
      </c>
      <c r="E379" s="390">
        <v>934</v>
      </c>
      <c r="F379" s="389">
        <v>42949</v>
      </c>
      <c r="G379" s="389"/>
      <c r="H379" s="369">
        <f t="shared" si="48"/>
        <v>0</v>
      </c>
      <c r="I379" s="389">
        <v>43007</v>
      </c>
      <c r="J379" s="391">
        <f t="shared" si="49"/>
        <v>58</v>
      </c>
      <c r="K379" s="392">
        <f t="shared" si="45"/>
        <v>58</v>
      </c>
      <c r="L379" s="336">
        <f t="shared" si="46"/>
        <v>54172</v>
      </c>
      <c r="N379" s="370">
        <f t="shared" si="50"/>
        <v>15</v>
      </c>
      <c r="O379" s="370">
        <f t="shared" si="51"/>
        <v>58</v>
      </c>
      <c r="P379" s="370">
        <f t="shared" si="52"/>
        <v>73</v>
      </c>
      <c r="Q379" s="371">
        <f t="shared" si="53"/>
        <v>68182</v>
      </c>
    </row>
    <row r="380" spans="1:17">
      <c r="A380" s="368">
        <f t="shared" si="47"/>
        <v>369</v>
      </c>
      <c r="B380" s="388" t="s">
        <v>546</v>
      </c>
      <c r="C380" s="388" t="s">
        <v>545</v>
      </c>
      <c r="D380" s="389">
        <v>43067</v>
      </c>
      <c r="E380" s="390">
        <v>110780.65000000001</v>
      </c>
      <c r="F380" s="389">
        <v>43046</v>
      </c>
      <c r="G380" s="389"/>
      <c r="H380" s="369">
        <f t="shared" si="48"/>
        <v>0</v>
      </c>
      <c r="I380" s="389">
        <v>43098</v>
      </c>
      <c r="J380" s="391">
        <f t="shared" si="49"/>
        <v>52</v>
      </c>
      <c r="K380" s="392">
        <f t="shared" si="45"/>
        <v>52</v>
      </c>
      <c r="L380" s="336">
        <f t="shared" si="46"/>
        <v>5760593.7999999998</v>
      </c>
      <c r="N380" s="370">
        <f t="shared" si="50"/>
        <v>15</v>
      </c>
      <c r="O380" s="370">
        <f t="shared" si="51"/>
        <v>52</v>
      </c>
      <c r="P380" s="370">
        <f t="shared" si="52"/>
        <v>67</v>
      </c>
      <c r="Q380" s="371">
        <f t="shared" si="53"/>
        <v>7422303.5500000007</v>
      </c>
    </row>
    <row r="381" spans="1:17">
      <c r="A381" s="368">
        <f t="shared" si="47"/>
        <v>370</v>
      </c>
      <c r="B381" s="388" t="s">
        <v>547</v>
      </c>
      <c r="C381" s="388" t="s">
        <v>548</v>
      </c>
      <c r="D381" s="389">
        <v>43047</v>
      </c>
      <c r="E381" s="390">
        <v>3380</v>
      </c>
      <c r="F381" s="389">
        <v>43033</v>
      </c>
      <c r="G381" s="389">
        <v>43054</v>
      </c>
      <c r="H381" s="369">
        <f t="shared" si="48"/>
        <v>10.5</v>
      </c>
      <c r="I381" s="389">
        <v>43077</v>
      </c>
      <c r="J381" s="391">
        <f t="shared" si="49"/>
        <v>23</v>
      </c>
      <c r="K381" s="392">
        <f t="shared" si="45"/>
        <v>33.5</v>
      </c>
      <c r="L381" s="336">
        <f t="shared" si="46"/>
        <v>113230</v>
      </c>
      <c r="N381" s="370">
        <f t="shared" si="50"/>
        <v>10.5</v>
      </c>
      <c r="O381" s="370">
        <f t="shared" si="51"/>
        <v>23</v>
      </c>
      <c r="P381" s="370">
        <f t="shared" si="52"/>
        <v>33.5</v>
      </c>
      <c r="Q381" s="371">
        <f t="shared" si="53"/>
        <v>113230</v>
      </c>
    </row>
    <row r="382" spans="1:17">
      <c r="A382" s="368">
        <f t="shared" si="47"/>
        <v>371</v>
      </c>
      <c r="B382" s="388" t="s">
        <v>549</v>
      </c>
      <c r="C382" s="388" t="s">
        <v>550</v>
      </c>
      <c r="D382" s="389">
        <v>42762</v>
      </c>
      <c r="E382" s="390">
        <v>9810.75</v>
      </c>
      <c r="F382" s="389">
        <v>42806</v>
      </c>
      <c r="G382" s="389">
        <v>43170</v>
      </c>
      <c r="H382" s="369">
        <f t="shared" si="48"/>
        <v>182</v>
      </c>
      <c r="I382" s="389">
        <v>42947</v>
      </c>
      <c r="J382" s="391">
        <f t="shared" si="49"/>
        <v>-223</v>
      </c>
      <c r="K382" s="392">
        <f t="shared" si="45"/>
        <v>-41</v>
      </c>
      <c r="L382" s="336">
        <f t="shared" si="46"/>
        <v>-402240.75</v>
      </c>
      <c r="N382" s="370">
        <f t="shared" si="50"/>
        <v>182</v>
      </c>
      <c r="O382" s="370">
        <f t="shared" si="51"/>
        <v>-223</v>
      </c>
      <c r="P382" s="370">
        <f t="shared" si="52"/>
        <v>-41</v>
      </c>
      <c r="Q382" s="371">
        <f t="shared" si="53"/>
        <v>-402240.75</v>
      </c>
    </row>
    <row r="383" spans="1:17">
      <c r="A383" s="368">
        <f t="shared" si="47"/>
        <v>372</v>
      </c>
      <c r="B383" s="388" t="s">
        <v>551</v>
      </c>
      <c r="C383" s="388" t="s">
        <v>550</v>
      </c>
      <c r="D383" s="389">
        <v>42828</v>
      </c>
      <c r="E383" s="390">
        <v>92</v>
      </c>
      <c r="F383" s="389">
        <v>42828</v>
      </c>
      <c r="G383" s="389"/>
      <c r="H383" s="369">
        <f t="shared" si="48"/>
        <v>0</v>
      </c>
      <c r="I383" s="389">
        <v>42838</v>
      </c>
      <c r="J383" s="391">
        <f t="shared" si="49"/>
        <v>10</v>
      </c>
      <c r="K383" s="392">
        <f t="shared" si="45"/>
        <v>10</v>
      </c>
      <c r="L383" s="336">
        <f t="shared" si="46"/>
        <v>920</v>
      </c>
      <c r="N383" s="370">
        <f t="shared" si="50"/>
        <v>15</v>
      </c>
      <c r="O383" s="370">
        <f t="shared" si="51"/>
        <v>10</v>
      </c>
      <c r="P383" s="370">
        <f t="shared" si="52"/>
        <v>25</v>
      </c>
      <c r="Q383" s="371">
        <f t="shared" si="53"/>
        <v>2300</v>
      </c>
    </row>
    <row r="384" spans="1:17">
      <c r="A384" s="368">
        <f t="shared" si="47"/>
        <v>373</v>
      </c>
      <c r="B384" s="388" t="s">
        <v>552</v>
      </c>
      <c r="C384" s="388" t="s">
        <v>550</v>
      </c>
      <c r="D384" s="389">
        <v>42965</v>
      </c>
      <c r="E384" s="390">
        <v>600</v>
      </c>
      <c r="F384" s="389">
        <v>42965</v>
      </c>
      <c r="G384" s="389"/>
      <c r="H384" s="369">
        <f t="shared" si="48"/>
        <v>0</v>
      </c>
      <c r="I384" s="389">
        <v>42985</v>
      </c>
      <c r="J384" s="391">
        <f t="shared" si="49"/>
        <v>20</v>
      </c>
      <c r="K384" s="392">
        <f t="shared" si="45"/>
        <v>20</v>
      </c>
      <c r="L384" s="336">
        <f t="shared" si="46"/>
        <v>12000</v>
      </c>
      <c r="N384" s="370">
        <f t="shared" si="50"/>
        <v>15</v>
      </c>
      <c r="O384" s="370">
        <f t="shared" si="51"/>
        <v>20</v>
      </c>
      <c r="P384" s="370">
        <f t="shared" si="52"/>
        <v>35</v>
      </c>
      <c r="Q384" s="371">
        <f t="shared" si="53"/>
        <v>21000</v>
      </c>
    </row>
    <row r="385" spans="1:17">
      <c r="A385" s="368">
        <f t="shared" si="47"/>
        <v>374</v>
      </c>
      <c r="B385" s="388" t="s">
        <v>553</v>
      </c>
      <c r="C385" s="388" t="s">
        <v>550</v>
      </c>
      <c r="D385" s="389">
        <v>43053</v>
      </c>
      <c r="E385" s="390">
        <v>25</v>
      </c>
      <c r="F385" s="389">
        <v>43053</v>
      </c>
      <c r="G385" s="389"/>
      <c r="H385" s="369">
        <f t="shared" si="48"/>
        <v>0</v>
      </c>
      <c r="I385" s="389">
        <v>43061</v>
      </c>
      <c r="J385" s="391">
        <f t="shared" si="49"/>
        <v>8</v>
      </c>
      <c r="K385" s="392">
        <f t="shared" si="45"/>
        <v>8</v>
      </c>
      <c r="L385" s="336">
        <f t="shared" si="46"/>
        <v>200</v>
      </c>
      <c r="N385" s="370">
        <f t="shared" si="50"/>
        <v>15</v>
      </c>
      <c r="O385" s="370">
        <f t="shared" si="51"/>
        <v>8</v>
      </c>
      <c r="P385" s="370">
        <f t="shared" si="52"/>
        <v>23</v>
      </c>
      <c r="Q385" s="371">
        <f t="shared" si="53"/>
        <v>575</v>
      </c>
    </row>
    <row r="386" spans="1:17">
      <c r="A386" s="368">
        <f t="shared" si="47"/>
        <v>375</v>
      </c>
      <c r="B386" s="388" t="s">
        <v>554</v>
      </c>
      <c r="C386" s="388" t="s">
        <v>555</v>
      </c>
      <c r="D386" s="389">
        <v>42819</v>
      </c>
      <c r="E386" s="390">
        <v>1354.34</v>
      </c>
      <c r="F386" s="389">
        <v>42813</v>
      </c>
      <c r="G386" s="389">
        <v>42819</v>
      </c>
      <c r="H386" s="369">
        <f t="shared" si="48"/>
        <v>3</v>
      </c>
      <c r="I386" s="389">
        <v>42838</v>
      </c>
      <c r="J386" s="391">
        <f t="shared" si="49"/>
        <v>19</v>
      </c>
      <c r="K386" s="392">
        <f t="shared" si="45"/>
        <v>22</v>
      </c>
      <c r="L386" s="336">
        <f t="shared" si="46"/>
        <v>29795.48</v>
      </c>
      <c r="N386" s="370">
        <f t="shared" si="50"/>
        <v>3</v>
      </c>
      <c r="O386" s="370">
        <f t="shared" si="51"/>
        <v>19</v>
      </c>
      <c r="P386" s="370">
        <f t="shared" si="52"/>
        <v>22</v>
      </c>
      <c r="Q386" s="371">
        <f t="shared" si="53"/>
        <v>29795.48</v>
      </c>
    </row>
    <row r="387" spans="1:17">
      <c r="A387" s="368">
        <f t="shared" si="47"/>
        <v>376</v>
      </c>
      <c r="B387" s="388" t="s">
        <v>556</v>
      </c>
      <c r="C387" s="388" t="s">
        <v>555</v>
      </c>
      <c r="D387" s="389">
        <v>42998</v>
      </c>
      <c r="E387" s="390">
        <v>144.63</v>
      </c>
      <c r="F387" s="389">
        <v>42998</v>
      </c>
      <c r="G387" s="389"/>
      <c r="H387" s="369">
        <f t="shared" si="48"/>
        <v>0</v>
      </c>
      <c r="I387" s="389">
        <v>43014</v>
      </c>
      <c r="J387" s="391">
        <f t="shared" si="49"/>
        <v>16</v>
      </c>
      <c r="K387" s="392">
        <f t="shared" si="45"/>
        <v>16</v>
      </c>
      <c r="L387" s="336">
        <f t="shared" si="46"/>
        <v>2314.08</v>
      </c>
      <c r="N387" s="370">
        <f t="shared" si="50"/>
        <v>15</v>
      </c>
      <c r="O387" s="370">
        <f t="shared" si="51"/>
        <v>16</v>
      </c>
      <c r="P387" s="370">
        <f t="shared" si="52"/>
        <v>31</v>
      </c>
      <c r="Q387" s="371">
        <f t="shared" si="53"/>
        <v>4483.53</v>
      </c>
    </row>
    <row r="388" spans="1:17">
      <c r="A388" s="368">
        <f t="shared" si="47"/>
        <v>377</v>
      </c>
      <c r="B388" s="388" t="s">
        <v>557</v>
      </c>
      <c r="C388" s="388" t="s">
        <v>558</v>
      </c>
      <c r="D388" s="389">
        <v>43060</v>
      </c>
      <c r="E388" s="390">
        <v>99.61</v>
      </c>
      <c r="F388" s="389">
        <v>43001</v>
      </c>
      <c r="G388" s="389">
        <v>43059</v>
      </c>
      <c r="H388" s="369">
        <f t="shared" si="48"/>
        <v>29</v>
      </c>
      <c r="I388" s="389">
        <v>43077</v>
      </c>
      <c r="J388" s="391">
        <f t="shared" si="49"/>
        <v>18</v>
      </c>
      <c r="K388" s="392">
        <f t="shared" si="45"/>
        <v>47</v>
      </c>
      <c r="L388" s="336">
        <f t="shared" si="46"/>
        <v>4681.67</v>
      </c>
      <c r="N388" s="370">
        <f t="shared" si="50"/>
        <v>29</v>
      </c>
      <c r="O388" s="370">
        <f t="shared" si="51"/>
        <v>18</v>
      </c>
      <c r="P388" s="370">
        <f t="shared" si="52"/>
        <v>47</v>
      </c>
      <c r="Q388" s="371">
        <f t="shared" si="53"/>
        <v>4681.67</v>
      </c>
    </row>
    <row r="389" spans="1:17">
      <c r="A389" s="368">
        <f t="shared" si="47"/>
        <v>378</v>
      </c>
      <c r="B389" s="388" t="s">
        <v>557</v>
      </c>
      <c r="C389" s="388" t="s">
        <v>558</v>
      </c>
      <c r="D389" s="389">
        <v>42775</v>
      </c>
      <c r="E389" s="390">
        <v>976.44</v>
      </c>
      <c r="F389" s="389">
        <v>42710</v>
      </c>
      <c r="G389" s="389">
        <v>42775</v>
      </c>
      <c r="H389" s="369">
        <f t="shared" si="48"/>
        <v>32.5</v>
      </c>
      <c r="I389" s="389">
        <v>42788</v>
      </c>
      <c r="J389" s="391">
        <f t="shared" si="49"/>
        <v>13</v>
      </c>
      <c r="K389" s="392">
        <f t="shared" si="45"/>
        <v>45.5</v>
      </c>
      <c r="L389" s="336">
        <f t="shared" si="46"/>
        <v>44428.02</v>
      </c>
      <c r="N389" s="370">
        <f t="shared" si="50"/>
        <v>32.5</v>
      </c>
      <c r="O389" s="370">
        <f t="shared" si="51"/>
        <v>13</v>
      </c>
      <c r="P389" s="370">
        <f t="shared" si="52"/>
        <v>45.5</v>
      </c>
      <c r="Q389" s="371">
        <f t="shared" si="53"/>
        <v>44428.020000000004</v>
      </c>
    </row>
    <row r="390" spans="1:17">
      <c r="A390" s="368">
        <f t="shared" si="47"/>
        <v>379</v>
      </c>
      <c r="B390" s="388" t="s">
        <v>557</v>
      </c>
      <c r="C390" s="388" t="s">
        <v>558</v>
      </c>
      <c r="D390" s="389">
        <v>42865</v>
      </c>
      <c r="E390" s="390">
        <v>214.01</v>
      </c>
      <c r="F390" s="389">
        <v>42801</v>
      </c>
      <c r="G390" s="389">
        <v>42865</v>
      </c>
      <c r="H390" s="369">
        <f t="shared" si="48"/>
        <v>32</v>
      </c>
      <c r="I390" s="389">
        <v>42885</v>
      </c>
      <c r="J390" s="391">
        <f t="shared" si="49"/>
        <v>20</v>
      </c>
      <c r="K390" s="392">
        <f t="shared" si="45"/>
        <v>52</v>
      </c>
      <c r="L390" s="336">
        <f t="shared" si="46"/>
        <v>11128.52</v>
      </c>
      <c r="N390" s="370">
        <f t="shared" si="50"/>
        <v>32</v>
      </c>
      <c r="O390" s="370">
        <f t="shared" si="51"/>
        <v>20</v>
      </c>
      <c r="P390" s="370">
        <f t="shared" si="52"/>
        <v>52</v>
      </c>
      <c r="Q390" s="371">
        <f t="shared" si="53"/>
        <v>11128.52</v>
      </c>
    </row>
    <row r="391" spans="1:17">
      <c r="A391" s="368">
        <f t="shared" si="47"/>
        <v>380</v>
      </c>
      <c r="B391" s="388" t="s">
        <v>557</v>
      </c>
      <c r="C391" s="388" t="s">
        <v>558</v>
      </c>
      <c r="D391" s="389">
        <v>42916</v>
      </c>
      <c r="E391" s="390">
        <v>9062.89</v>
      </c>
      <c r="F391" s="389">
        <v>42863</v>
      </c>
      <c r="G391" s="389">
        <v>42898</v>
      </c>
      <c r="H391" s="369">
        <f t="shared" si="48"/>
        <v>17.5</v>
      </c>
      <c r="I391" s="389">
        <v>42936</v>
      </c>
      <c r="J391" s="391">
        <f t="shared" si="49"/>
        <v>38</v>
      </c>
      <c r="K391" s="392">
        <f t="shared" si="45"/>
        <v>55.5</v>
      </c>
      <c r="L391" s="336">
        <f t="shared" si="46"/>
        <v>502990.4</v>
      </c>
      <c r="N391" s="363"/>
      <c r="O391" s="363"/>
      <c r="P391" s="363"/>
      <c r="Q391" s="363"/>
    </row>
    <row r="392" spans="1:17">
      <c r="A392" s="368"/>
      <c r="B392" s="372"/>
      <c r="C392" s="372"/>
      <c r="D392" s="372"/>
      <c r="E392" s="373"/>
      <c r="F392" s="372"/>
      <c r="G392" s="372"/>
      <c r="H392" s="372"/>
      <c r="I392" s="372"/>
      <c r="J392" s="372"/>
      <c r="K392" s="372"/>
      <c r="L392" s="373"/>
      <c r="N392" s="363"/>
      <c r="O392" s="363"/>
      <c r="P392" s="363"/>
      <c r="Q392" s="374"/>
    </row>
    <row r="393" spans="1:17" ht="14" thickBot="1">
      <c r="A393" s="368">
        <f>A391+1</f>
        <v>381</v>
      </c>
      <c r="B393" s="372" t="s">
        <v>15</v>
      </c>
      <c r="C393" s="372"/>
      <c r="D393" s="372"/>
      <c r="E393" s="375">
        <f>SUM(E12:E391)</f>
        <v>29643395.470000003</v>
      </c>
      <c r="F393" s="372"/>
      <c r="G393" s="372"/>
      <c r="H393" s="372"/>
      <c r="I393" s="372"/>
      <c r="J393" s="372"/>
      <c r="K393" s="372"/>
      <c r="L393" s="375">
        <f>SUM(L12:L391)</f>
        <v>1458232225.4800005</v>
      </c>
      <c r="N393" s="363"/>
      <c r="O393" s="363"/>
      <c r="P393" s="363"/>
      <c r="Q393" s="376">
        <f>SUM(Q12:Q391)</f>
        <v>1588254131.7099998</v>
      </c>
    </row>
    <row r="394" spans="1:17" ht="14" thickTop="1">
      <c r="A394" s="368"/>
      <c r="B394" s="372"/>
      <c r="C394" s="372"/>
      <c r="D394" s="372"/>
      <c r="E394" s="373"/>
      <c r="F394" s="372"/>
      <c r="G394" s="372"/>
      <c r="H394" s="372"/>
      <c r="I394" s="372"/>
      <c r="J394" s="372"/>
      <c r="K394" s="372"/>
      <c r="L394" s="373"/>
      <c r="N394" s="363"/>
      <c r="O394" s="363"/>
      <c r="P394" s="363"/>
      <c r="Q394" s="374"/>
    </row>
    <row r="395" spans="1:17" ht="14" thickBot="1">
      <c r="A395" s="368">
        <f>A393+1</f>
        <v>382</v>
      </c>
      <c r="B395" s="372" t="s">
        <v>559</v>
      </c>
      <c r="C395" s="372"/>
      <c r="D395" s="372"/>
      <c r="E395" s="373"/>
      <c r="F395" s="372"/>
      <c r="G395" s="372"/>
      <c r="H395" s="372"/>
      <c r="I395" s="372"/>
      <c r="J395" s="372"/>
      <c r="K395" s="372"/>
      <c r="L395" s="393">
        <f>IF(E393=0,0,L393/E393)</f>
        <v>49.192482924426621</v>
      </c>
      <c r="N395" s="363"/>
      <c r="O395" s="363"/>
      <c r="P395" s="363"/>
      <c r="Q395" s="394">
        <f>IF(E393=0,0,Q393/E393)</f>
        <v>53.578684443128665</v>
      </c>
    </row>
    <row r="396" spans="1:17" ht="14" thickTop="1">
      <c r="A396" s="368"/>
      <c r="B396" s="372"/>
      <c r="C396" s="372"/>
      <c r="D396" s="372"/>
      <c r="E396" s="373"/>
      <c r="F396" s="372"/>
      <c r="G396" s="372"/>
      <c r="H396" s="372"/>
      <c r="I396" s="372"/>
      <c r="J396" s="372"/>
      <c r="K396" s="372"/>
      <c r="L396" s="373"/>
    </row>
    <row r="398" spans="1:17" s="26" customFormat="1">
      <c r="A398" s="26" t="s">
        <v>560</v>
      </c>
      <c r="E398" s="377"/>
      <c r="L398" s="377"/>
    </row>
    <row r="399" spans="1:17" s="26" customFormat="1">
      <c r="A399" s="26" t="s">
        <v>561</v>
      </c>
      <c r="E399" s="377"/>
      <c r="L399" s="377"/>
    </row>
    <row r="400" spans="1:17">
      <c r="A400" s="26" t="s">
        <v>562</v>
      </c>
    </row>
    <row r="401" spans="1:1">
      <c r="A401" s="362" t="s">
        <v>563</v>
      </c>
    </row>
  </sheetData>
  <mergeCells count="3">
    <mergeCell ref="N8:Q8"/>
    <mergeCell ref="B1:L1"/>
    <mergeCell ref="B8:L8"/>
  </mergeCells>
  <pageMargins left="0.7" right="0.7" top="0.75" bottom="0.75" header="0.3" footer="0.3"/>
  <pageSetup scale="39" fitToHeight="6" orientation="landscape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14AA-1C9F-5148-9815-988055E59415}">
  <sheetPr codeName="Sheet12">
    <pageSetUpPr fitToPage="1"/>
  </sheetPr>
  <dimension ref="B1:K31"/>
  <sheetViews>
    <sheetView workbookViewId="0">
      <selection activeCell="B25" sqref="B25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335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 t="s">
        <v>48</v>
      </c>
    </row>
    <row r="7" spans="2:11">
      <c r="B7" s="26" t="s">
        <v>334</v>
      </c>
    </row>
    <row r="8" spans="2:11">
      <c r="B8" s="26"/>
    </row>
    <row r="9" spans="2:11">
      <c r="B9" s="11"/>
      <c r="C9" s="11"/>
      <c r="D9" s="11"/>
      <c r="E9" s="11"/>
      <c r="F9" s="275" t="s">
        <v>19</v>
      </c>
      <c r="G9" s="11"/>
      <c r="H9" s="275"/>
      <c r="I9" s="11"/>
      <c r="J9" s="275" t="s">
        <v>25</v>
      </c>
    </row>
    <row r="10" spans="2:11" ht="14" thickBot="1">
      <c r="B10" s="273" t="s">
        <v>18</v>
      </c>
      <c r="C10" s="275"/>
      <c r="D10" s="273" t="s">
        <v>17</v>
      </c>
      <c r="E10" s="275"/>
      <c r="F10" s="273" t="s">
        <v>65</v>
      </c>
      <c r="G10" s="275"/>
      <c r="H10" s="273" t="s">
        <v>20</v>
      </c>
      <c r="I10" s="275"/>
      <c r="J10" s="273" t="s">
        <v>26</v>
      </c>
    </row>
    <row r="11" spans="2:11">
      <c r="B11" s="275"/>
      <c r="C11" s="275"/>
      <c r="D11" s="11"/>
      <c r="E11" s="275"/>
      <c r="F11" s="275" t="s">
        <v>9</v>
      </c>
      <c r="G11" s="275"/>
      <c r="H11" s="275" t="s">
        <v>10</v>
      </c>
      <c r="I11" s="275"/>
      <c r="J11" s="5" t="s">
        <v>11</v>
      </c>
    </row>
    <row r="12" spans="2:11" ht="14" thickBot="1">
      <c r="B12" s="275"/>
      <c r="C12" s="275"/>
      <c r="D12" s="11"/>
      <c r="E12" s="275"/>
      <c r="F12" s="275"/>
      <c r="G12" s="275"/>
      <c r="H12" s="275"/>
      <c r="I12" s="275"/>
      <c r="J12" s="5"/>
    </row>
    <row r="13" spans="2:11" s="34" customFormat="1" ht="14" thickBot="1">
      <c r="B13" s="145">
        <v>1</v>
      </c>
      <c r="D13" s="26" t="s">
        <v>145</v>
      </c>
      <c r="E13" s="275"/>
      <c r="F13" s="312">
        <v>0</v>
      </c>
      <c r="G13" s="56"/>
      <c r="H13" s="190">
        <v>231059</v>
      </c>
      <c r="I13" s="56"/>
      <c r="J13" s="198">
        <f>+F13+H13</f>
        <v>231059</v>
      </c>
    </row>
    <row r="14" spans="2:11" s="34" customFormat="1">
      <c r="B14" s="145"/>
      <c r="F14" s="43"/>
      <c r="G14" s="43"/>
      <c r="H14" s="43"/>
      <c r="I14" s="43"/>
      <c r="J14" s="315"/>
    </row>
    <row r="15" spans="2:11">
      <c r="B15" s="145">
        <v>2</v>
      </c>
      <c r="D15" s="20" t="s">
        <v>149</v>
      </c>
      <c r="E15" s="20"/>
      <c r="F15" s="79">
        <f>+'Sch 1.2'!$J$18</f>
        <v>0.05</v>
      </c>
      <c r="G15" s="21"/>
      <c r="H15" s="21"/>
      <c r="I15" s="21"/>
      <c r="J15" s="316">
        <f>+'Sch 1.2'!$J$18</f>
        <v>0.05</v>
      </c>
      <c r="K15" s="4"/>
    </row>
    <row r="16" spans="2:11" ht="14" thickBot="1">
      <c r="B16" s="145">
        <v>3</v>
      </c>
      <c r="D16" s="20" t="s">
        <v>150</v>
      </c>
      <c r="E16" s="20"/>
      <c r="F16" s="313">
        <f>ROUND(F15*F13,0)</f>
        <v>0</v>
      </c>
      <c r="G16" s="4"/>
      <c r="H16" s="47">
        <f>+J16-F16</f>
        <v>11553</v>
      </c>
      <c r="I16" s="38"/>
      <c r="J16" s="193">
        <f>ROUND(J15*J13,0)</f>
        <v>11553</v>
      </c>
      <c r="K16" s="4"/>
    </row>
    <row r="17" spans="2:11" ht="14" thickTop="1">
      <c r="B17" s="145"/>
      <c r="D17" s="20"/>
      <c r="E17" s="20"/>
      <c r="F17" s="19"/>
      <c r="J17" s="304"/>
    </row>
    <row r="18" spans="2:11">
      <c r="B18" s="145">
        <v>4</v>
      </c>
      <c r="D18" s="20" t="s">
        <v>33</v>
      </c>
      <c r="E18" s="20"/>
      <c r="F18" s="314">
        <f>+F13-F16</f>
        <v>0</v>
      </c>
      <c r="J18" s="304">
        <f>+J13-J16</f>
        <v>219506</v>
      </c>
    </row>
    <row r="19" spans="2:11">
      <c r="B19" s="145">
        <v>5</v>
      </c>
      <c r="D19" s="20" t="s">
        <v>32</v>
      </c>
      <c r="E19" s="20"/>
      <c r="F19" s="48">
        <f>+'Sch 1.2'!$F$22</f>
        <v>0.21</v>
      </c>
      <c r="J19" s="317">
        <f>+'Sch 1.2'!$F$22</f>
        <v>0.21</v>
      </c>
    </row>
    <row r="20" spans="2:11" ht="14" thickBot="1">
      <c r="B20" s="145">
        <v>6</v>
      </c>
      <c r="D20" s="26" t="s">
        <v>151</v>
      </c>
      <c r="F20" s="313">
        <f>ROUND(F19*F18,0)</f>
        <v>0</v>
      </c>
      <c r="G20" s="4"/>
      <c r="H20" s="47">
        <f>+J20-F20</f>
        <v>46096</v>
      </c>
      <c r="I20" s="38"/>
      <c r="J20" s="193">
        <f>ROUND(J19*J18,0)</f>
        <v>46096</v>
      </c>
    </row>
    <row r="21" spans="2:11" ht="15" thickTop="1" thickBot="1">
      <c r="B21" s="145"/>
      <c r="D21" s="93"/>
      <c r="E21" s="137"/>
      <c r="F21" s="49"/>
      <c r="G21" s="4"/>
      <c r="H21" s="38"/>
      <c r="I21" s="38"/>
      <c r="J21" s="277"/>
    </row>
    <row r="22" spans="2:11" ht="14" thickBot="1">
      <c r="B22" s="145">
        <v>7</v>
      </c>
      <c r="D22" s="93" t="s">
        <v>152</v>
      </c>
      <c r="E22" s="137"/>
      <c r="F22" s="313">
        <f>+F16+F20</f>
        <v>0</v>
      </c>
      <c r="G22" s="4"/>
      <c r="H22" s="138">
        <f>+J22-F22</f>
        <v>57649</v>
      </c>
      <c r="I22" s="38"/>
      <c r="J22" s="193">
        <f>+J16+J20</f>
        <v>57649</v>
      </c>
      <c r="K22" s="139"/>
    </row>
    <row r="23" spans="2:11" ht="14" thickTop="1">
      <c r="B23" s="145"/>
      <c r="D23" s="137"/>
      <c r="E23" s="137"/>
      <c r="F23" s="50"/>
      <c r="G23" s="4"/>
      <c r="H23" s="38"/>
      <c r="I23" s="38"/>
      <c r="J23" s="279"/>
      <c r="K23" s="4"/>
    </row>
    <row r="24" spans="2:11" ht="14" thickBot="1">
      <c r="B24" s="145">
        <v>8</v>
      </c>
      <c r="D24" s="137" t="s">
        <v>2</v>
      </c>
      <c r="E24" s="137"/>
      <c r="F24" s="193">
        <f>F13-F22</f>
        <v>0</v>
      </c>
      <c r="G24" s="4"/>
      <c r="H24" s="193">
        <f>H13-H22</f>
        <v>173410</v>
      </c>
      <c r="I24" s="38"/>
      <c r="J24" s="193">
        <f>J13-J22</f>
        <v>173410</v>
      </c>
    </row>
    <row r="25" spans="2:11" ht="14" thickTop="1">
      <c r="B25" s="145"/>
      <c r="C25" s="275"/>
      <c r="D25" s="11"/>
      <c r="E25" s="275"/>
      <c r="F25" s="275"/>
      <c r="G25" s="275"/>
      <c r="H25" s="275"/>
      <c r="I25" s="275"/>
      <c r="J25" s="5"/>
      <c r="K25" s="4"/>
    </row>
    <row r="27" spans="2:11">
      <c r="B27" s="108" t="s">
        <v>79</v>
      </c>
      <c r="C27" s="69"/>
      <c r="D27" s="69"/>
      <c r="E27" s="69"/>
      <c r="F27" s="69"/>
      <c r="G27" s="69"/>
      <c r="H27" s="69"/>
      <c r="I27" s="69"/>
      <c r="J27" s="69"/>
    </row>
    <row r="28" spans="2:11" s="34" customFormat="1">
      <c r="B28" s="63" t="s">
        <v>186</v>
      </c>
      <c r="F28" s="43"/>
      <c r="G28" s="43"/>
      <c r="H28" s="43"/>
      <c r="I28" s="43"/>
      <c r="J28" s="43"/>
    </row>
    <row r="29" spans="2:11" s="34" customFormat="1">
      <c r="B29" s="63"/>
      <c r="F29" s="43"/>
      <c r="G29" s="43"/>
      <c r="H29" s="43"/>
      <c r="I29" s="43"/>
      <c r="J29" s="43"/>
    </row>
    <row r="30" spans="2:11" s="34" customFormat="1">
      <c r="B30" s="63"/>
      <c r="F30" s="43"/>
      <c r="G30" s="43"/>
      <c r="H30" s="43"/>
      <c r="I30" s="43"/>
      <c r="J30" s="43"/>
    </row>
    <row r="31" spans="2:11">
      <c r="B31" s="63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E0320-E073-4249-93EB-22400D537E0C}">
  <sheetPr codeName="Sheet16">
    <pageSetUpPr fitToPage="1"/>
  </sheetPr>
  <dimension ref="B1:K31"/>
  <sheetViews>
    <sheetView workbookViewId="0">
      <selection activeCell="B7" sqref="B7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336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 t="s">
        <v>50</v>
      </c>
    </row>
    <row r="7" spans="2:11">
      <c r="B7" s="26" t="s">
        <v>337</v>
      </c>
    </row>
    <row r="8" spans="2:11">
      <c r="B8" s="26"/>
    </row>
    <row r="9" spans="2:11">
      <c r="B9" s="11"/>
      <c r="C9" s="11"/>
      <c r="D9" s="11"/>
      <c r="E9" s="11"/>
      <c r="F9" s="264" t="s">
        <v>19</v>
      </c>
      <c r="G9" s="11"/>
      <c r="H9" s="264"/>
      <c r="I9" s="11"/>
      <c r="J9" s="264" t="s">
        <v>25</v>
      </c>
    </row>
    <row r="10" spans="2:11" ht="14" thickBot="1">
      <c r="B10" s="263" t="s">
        <v>18</v>
      </c>
      <c r="C10" s="264"/>
      <c r="D10" s="263" t="s">
        <v>17</v>
      </c>
      <c r="E10" s="264"/>
      <c r="F10" s="263" t="s">
        <v>65</v>
      </c>
      <c r="G10" s="264"/>
      <c r="H10" s="263" t="s">
        <v>20</v>
      </c>
      <c r="I10" s="264"/>
      <c r="J10" s="263" t="s">
        <v>26</v>
      </c>
    </row>
    <row r="11" spans="2:11">
      <c r="B11" s="264"/>
      <c r="C11" s="264"/>
      <c r="D11" s="11"/>
      <c r="E11" s="264"/>
      <c r="F11" s="264" t="s">
        <v>9</v>
      </c>
      <c r="G11" s="264"/>
      <c r="H11" s="264" t="s">
        <v>10</v>
      </c>
      <c r="I11" s="264"/>
      <c r="J11" s="5" t="s">
        <v>11</v>
      </c>
    </row>
    <row r="12" spans="2:11" ht="14" thickBot="1">
      <c r="B12" s="264"/>
      <c r="C12" s="264"/>
      <c r="D12" s="11"/>
      <c r="E12" s="264"/>
      <c r="F12" s="264"/>
      <c r="G12" s="264"/>
      <c r="H12" s="264"/>
      <c r="I12" s="264"/>
      <c r="J12" s="5"/>
    </row>
    <row r="13" spans="2:11" s="34" customFormat="1" ht="14" thickBot="1">
      <c r="B13" s="145">
        <v>1</v>
      </c>
      <c r="D13" s="44" t="s">
        <v>165</v>
      </c>
      <c r="E13" s="264"/>
      <c r="F13" s="198">
        <v>1369708</v>
      </c>
      <c r="G13" s="56"/>
      <c r="H13" s="190">
        <f>-F13</f>
        <v>-1369708</v>
      </c>
      <c r="I13" s="56"/>
      <c r="J13" s="198">
        <f>+F13+H13</f>
        <v>0</v>
      </c>
    </row>
    <row r="14" spans="2:11" s="34" customFormat="1">
      <c r="B14" s="145"/>
      <c r="F14" s="43"/>
      <c r="G14" s="43"/>
      <c r="H14" s="43"/>
      <c r="I14" s="43"/>
      <c r="J14" s="43"/>
    </row>
    <row r="15" spans="2:11">
      <c r="B15" s="145">
        <v>2</v>
      </c>
      <c r="D15" s="20" t="s">
        <v>149</v>
      </c>
      <c r="E15" s="20"/>
      <c r="F15" s="79">
        <f>+'Sch 1.2'!$F$18</f>
        <v>0.05</v>
      </c>
      <c r="G15" s="21"/>
      <c r="H15" s="21"/>
      <c r="I15" s="21"/>
      <c r="J15" s="79">
        <f>+'Sch 1.2'!$J$18</f>
        <v>0.05</v>
      </c>
      <c r="K15" s="4"/>
    </row>
    <row r="16" spans="2:11" ht="14" thickBot="1">
      <c r="B16" s="145">
        <v>3</v>
      </c>
      <c r="D16" s="20" t="s">
        <v>150</v>
      </c>
      <c r="E16" s="20"/>
      <c r="F16" s="47">
        <f>ROUND(-F15*F13,0)</f>
        <v>-68485</v>
      </c>
      <c r="G16" s="4"/>
      <c r="H16" s="47">
        <f>+J16-F16</f>
        <v>68485</v>
      </c>
      <c r="I16" s="38"/>
      <c r="J16" s="193">
        <f>ROUND(-J15*J13,0)</f>
        <v>0</v>
      </c>
      <c r="K16" s="4"/>
    </row>
    <row r="17" spans="2:11" ht="14" thickTop="1">
      <c r="B17" s="145"/>
      <c r="D17" s="20"/>
      <c r="E17" s="20"/>
      <c r="F17" s="19"/>
      <c r="J17" s="19"/>
    </row>
    <row r="18" spans="2:11" ht="14" thickBot="1">
      <c r="B18" s="145">
        <v>4</v>
      </c>
      <c r="D18" s="20" t="s">
        <v>33</v>
      </c>
      <c r="E18" s="20"/>
      <c r="F18" s="19">
        <f>+F13+F16</f>
        <v>1301223</v>
      </c>
      <c r="J18" s="193">
        <f>+J13+J16</f>
        <v>0</v>
      </c>
    </row>
    <row r="19" spans="2:11" ht="14" thickTop="1">
      <c r="B19" s="145">
        <v>5</v>
      </c>
      <c r="D19" s="20" t="s">
        <v>32</v>
      </c>
      <c r="E19" s="20"/>
      <c r="F19" s="48">
        <f>+'Sch 1.2'!$F$22</f>
        <v>0.21</v>
      </c>
      <c r="J19" s="48">
        <f>+'Sch 1.2'!$F$22</f>
        <v>0.21</v>
      </c>
    </row>
    <row r="20" spans="2:11" ht="14" thickBot="1">
      <c r="B20" s="145">
        <v>6</v>
      </c>
      <c r="D20" s="26" t="s">
        <v>151</v>
      </c>
      <c r="F20" s="47">
        <f>ROUND(-F19*F18,0)</f>
        <v>-273257</v>
      </c>
      <c r="G20" s="4"/>
      <c r="H20" s="47">
        <f>+J20-F20</f>
        <v>273257</v>
      </c>
      <c r="I20" s="38"/>
      <c r="J20" s="193">
        <f>ROUND(-J19*J18,0)</f>
        <v>0</v>
      </c>
    </row>
    <row r="21" spans="2:11" ht="15" thickTop="1" thickBot="1">
      <c r="B21" s="145"/>
      <c r="D21" s="93"/>
      <c r="E21" s="137"/>
      <c r="F21" s="49"/>
      <c r="G21" s="4"/>
      <c r="H21" s="38"/>
      <c r="I21" s="38"/>
      <c r="J21" s="49"/>
    </row>
    <row r="22" spans="2:11" ht="14" thickBot="1">
      <c r="B22" s="145">
        <v>7</v>
      </c>
      <c r="D22" s="93" t="s">
        <v>152</v>
      </c>
      <c r="E22" s="137"/>
      <c r="F22" s="47">
        <f>+F16+F20</f>
        <v>-341742</v>
      </c>
      <c r="G22" s="4"/>
      <c r="H22" s="138">
        <f>+J22-F22</f>
        <v>341742</v>
      </c>
      <c r="I22" s="38"/>
      <c r="J22" s="193">
        <f>+J16+J20</f>
        <v>0</v>
      </c>
      <c r="K22" s="139"/>
    </row>
    <row r="23" spans="2:11" ht="14" thickTop="1">
      <c r="B23" s="145"/>
      <c r="D23" s="137"/>
      <c r="E23" s="137"/>
      <c r="F23" s="50"/>
      <c r="G23" s="4"/>
      <c r="H23" s="38"/>
      <c r="I23" s="38"/>
      <c r="J23" s="50"/>
      <c r="K23" s="4"/>
    </row>
    <row r="24" spans="2:11" ht="14" thickBot="1">
      <c r="B24" s="145">
        <v>8</v>
      </c>
      <c r="D24" s="137" t="s">
        <v>2</v>
      </c>
      <c r="E24" s="137"/>
      <c r="F24" s="193">
        <f>-F13-F22</f>
        <v>-1027966</v>
      </c>
      <c r="G24" s="4"/>
      <c r="H24" s="47">
        <f>-H13-H22</f>
        <v>1027966</v>
      </c>
      <c r="I24" s="38"/>
      <c r="J24" s="193">
        <f>-J13-J22</f>
        <v>0</v>
      </c>
    </row>
    <row r="25" spans="2:11" ht="14" thickTop="1">
      <c r="B25" s="145"/>
      <c r="C25" s="264"/>
      <c r="D25" s="11"/>
      <c r="E25" s="264"/>
      <c r="F25" s="264"/>
      <c r="G25" s="264"/>
      <c r="H25" s="264"/>
      <c r="I25" s="264"/>
      <c r="J25" s="5"/>
      <c r="K25" s="4"/>
    </row>
    <row r="27" spans="2:11">
      <c r="B27" s="108" t="s">
        <v>79</v>
      </c>
      <c r="C27" s="69"/>
      <c r="D27" s="69"/>
      <c r="E27" s="69"/>
      <c r="F27" s="69"/>
      <c r="G27" s="69"/>
      <c r="H27" s="69"/>
      <c r="I27" s="69"/>
      <c r="J27" s="69"/>
    </row>
    <row r="28" spans="2:11" s="34" customFormat="1">
      <c r="B28" s="63" t="s">
        <v>166</v>
      </c>
      <c r="F28" s="43"/>
      <c r="G28" s="43"/>
      <c r="H28" s="43"/>
      <c r="I28" s="43"/>
      <c r="J28" s="43"/>
    </row>
    <row r="29" spans="2:11" s="34" customFormat="1">
      <c r="B29" s="63"/>
      <c r="F29" s="43"/>
      <c r="G29" s="43"/>
      <c r="H29" s="43"/>
      <c r="I29" s="43"/>
      <c r="J29" s="43"/>
    </row>
    <row r="30" spans="2:11" s="34" customFormat="1">
      <c r="B30" s="63"/>
      <c r="F30" s="43"/>
      <c r="G30" s="43"/>
      <c r="H30" s="43"/>
      <c r="I30" s="43"/>
      <c r="J30" s="43"/>
    </row>
    <row r="31" spans="2:11">
      <c r="B31" s="63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EA3C-3B7A-2D4B-8F9C-D2076A5042EC}">
  <sheetPr codeName="Sheet15">
    <pageSetUpPr fitToPage="1"/>
  </sheetPr>
  <dimension ref="B1:L39"/>
  <sheetViews>
    <sheetView workbookViewId="0">
      <selection activeCell="B7" sqref="B7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2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2" ht="16">
      <c r="B2" s="159"/>
    </row>
    <row r="3" spans="2:12">
      <c r="B3" s="11" t="str">
        <f>+'Sch 1.1'!B3</f>
        <v>Kentucky Public Service Commission</v>
      </c>
      <c r="J3" s="183" t="str">
        <f>+'Sch 1.1'!J3</f>
        <v>Case No. 2018-00295</v>
      </c>
    </row>
    <row r="4" spans="2:12">
      <c r="I4" s="44"/>
      <c r="J4" s="35" t="s">
        <v>338</v>
      </c>
    </row>
    <row r="5" spans="2:12">
      <c r="B5" s="84" t="str">
        <f>+'Sch 1.1'!B5</f>
        <v>Louisville Gas and Electric Company–Electric</v>
      </c>
      <c r="I5" s="26"/>
      <c r="J5" s="35" t="s">
        <v>35</v>
      </c>
    </row>
    <row r="6" spans="2:12">
      <c r="B6" s="11" t="s">
        <v>51</v>
      </c>
    </row>
    <row r="7" spans="2:12">
      <c r="B7" s="26" t="s">
        <v>339</v>
      </c>
    </row>
    <row r="8" spans="2:12">
      <c r="B8" s="26"/>
    </row>
    <row r="9" spans="2:12">
      <c r="B9" s="11"/>
      <c r="C9" s="11"/>
      <c r="D9" s="11"/>
      <c r="E9" s="11"/>
      <c r="F9" s="309" t="s">
        <v>19</v>
      </c>
      <c r="G9" s="11"/>
      <c r="H9" s="309"/>
      <c r="I9" s="11"/>
      <c r="J9" s="309" t="s">
        <v>25</v>
      </c>
    </row>
    <row r="10" spans="2:12" ht="14" thickBot="1">
      <c r="B10" s="307" t="s">
        <v>18</v>
      </c>
      <c r="C10" s="309"/>
      <c r="D10" s="307" t="s">
        <v>17</v>
      </c>
      <c r="E10" s="309"/>
      <c r="F10" s="307" t="s">
        <v>65</v>
      </c>
      <c r="G10" s="309"/>
      <c r="H10" s="307" t="s">
        <v>20</v>
      </c>
      <c r="I10" s="309"/>
      <c r="J10" s="307" t="s">
        <v>26</v>
      </c>
    </row>
    <row r="11" spans="2:12">
      <c r="B11" s="309"/>
      <c r="C11" s="309"/>
      <c r="D11" s="11"/>
      <c r="E11" s="309"/>
      <c r="F11" s="309" t="s">
        <v>9</v>
      </c>
      <c r="G11" s="309"/>
      <c r="H11" s="309" t="s">
        <v>10</v>
      </c>
      <c r="I11" s="309"/>
      <c r="J11" s="5" t="s">
        <v>11</v>
      </c>
    </row>
    <row r="12" spans="2:12">
      <c r="B12" s="145"/>
      <c r="C12" s="309"/>
      <c r="D12" s="11"/>
      <c r="E12" s="309"/>
      <c r="F12" s="309"/>
      <c r="G12" s="309"/>
      <c r="H12" s="309"/>
      <c r="I12" s="309"/>
      <c r="J12" s="5"/>
    </row>
    <row r="13" spans="2:12">
      <c r="B13" s="145">
        <v>1</v>
      </c>
      <c r="C13" s="309"/>
      <c r="D13" s="44" t="s">
        <v>188</v>
      </c>
      <c r="E13" s="309"/>
      <c r="F13" s="198">
        <v>240936</v>
      </c>
      <c r="G13" s="309"/>
      <c r="H13" s="309"/>
      <c r="I13" s="309"/>
      <c r="J13" s="5"/>
    </row>
    <row r="14" spans="2:12" ht="14" thickBot="1">
      <c r="B14" s="145">
        <v>2</v>
      </c>
      <c r="C14" s="309"/>
      <c r="D14" s="26" t="s">
        <v>210</v>
      </c>
      <c r="E14" s="309"/>
      <c r="F14" s="321">
        <f>+H35</f>
        <v>0.81529025983707004</v>
      </c>
      <c r="G14" s="309"/>
      <c r="H14" s="309"/>
      <c r="I14" s="309"/>
      <c r="J14" s="5"/>
      <c r="L14" s="26"/>
    </row>
    <row r="15" spans="2:12" s="34" customFormat="1" ht="14" thickBot="1">
      <c r="B15" s="145">
        <v>3</v>
      </c>
      <c r="D15" s="44" t="s">
        <v>189</v>
      </c>
      <c r="E15" s="309"/>
      <c r="F15" s="198">
        <f>+F13*F14</f>
        <v>196432.7740441043</v>
      </c>
      <c r="G15" s="56"/>
      <c r="H15" s="190">
        <f>-F15/2</f>
        <v>-98216.387022052149</v>
      </c>
      <c r="I15" s="56"/>
      <c r="J15" s="198">
        <f>+F15+H15</f>
        <v>98216.387022052149</v>
      </c>
    </row>
    <row r="16" spans="2:12" s="34" customFormat="1">
      <c r="B16" s="145"/>
      <c r="F16" s="43"/>
      <c r="G16" s="43"/>
      <c r="H16" s="43"/>
      <c r="I16" s="43"/>
      <c r="J16" s="43"/>
    </row>
    <row r="17" spans="2:11">
      <c r="B17" s="145">
        <v>4</v>
      </c>
      <c r="D17" s="20" t="s">
        <v>149</v>
      </c>
      <c r="E17" s="20"/>
      <c r="F17" s="79">
        <f>+'Sch 1.2'!$F$18</f>
        <v>0.05</v>
      </c>
      <c r="G17" s="21"/>
      <c r="H17" s="21"/>
      <c r="I17" s="21"/>
      <c r="J17" s="79">
        <f>+'Sch 1.2'!$J$18</f>
        <v>0.05</v>
      </c>
      <c r="K17" s="4"/>
    </row>
    <row r="18" spans="2:11" ht="14" thickBot="1">
      <c r="B18" s="145">
        <v>5</v>
      </c>
      <c r="D18" s="20" t="s">
        <v>150</v>
      </c>
      <c r="E18" s="20"/>
      <c r="F18" s="47">
        <f>ROUND(-F17*F15,0)</f>
        <v>-9822</v>
      </c>
      <c r="G18" s="4"/>
      <c r="H18" s="47">
        <f>+J18-F18</f>
        <v>4911</v>
      </c>
      <c r="I18" s="38"/>
      <c r="J18" s="47">
        <f>ROUND(-J17*J15,0)</f>
        <v>-4911</v>
      </c>
      <c r="K18" s="4"/>
    </row>
    <row r="19" spans="2:11" ht="14" thickTop="1">
      <c r="B19" s="145"/>
      <c r="D19" s="20"/>
      <c r="E19" s="20"/>
      <c r="F19" s="19"/>
      <c r="J19" s="19"/>
    </row>
    <row r="20" spans="2:11">
      <c r="B20" s="145">
        <v>6</v>
      </c>
      <c r="D20" s="20" t="s">
        <v>33</v>
      </c>
      <c r="E20" s="20"/>
      <c r="F20" s="19">
        <f>+F15+F18</f>
        <v>186610.7740441043</v>
      </c>
      <c r="J20" s="19">
        <f>+J15+J18</f>
        <v>93305.387022052149</v>
      </c>
    </row>
    <row r="21" spans="2:11">
      <c r="B21" s="145">
        <v>7</v>
      </c>
      <c r="D21" s="20" t="s">
        <v>32</v>
      </c>
      <c r="E21" s="20"/>
      <c r="F21" s="48">
        <f>+'Sch 1.2'!$F$22</f>
        <v>0.21</v>
      </c>
      <c r="J21" s="48">
        <f>+'Sch 1.2'!$F$22</f>
        <v>0.21</v>
      </c>
    </row>
    <row r="22" spans="2:11" ht="14" thickBot="1">
      <c r="B22" s="145">
        <v>8</v>
      </c>
      <c r="D22" s="26" t="s">
        <v>151</v>
      </c>
      <c r="F22" s="47">
        <f>ROUND(-F21*F20,0)</f>
        <v>-39188</v>
      </c>
      <c r="G22" s="4"/>
      <c r="H22" s="47">
        <f>+J22-F22</f>
        <v>19594</v>
      </c>
      <c r="I22" s="38"/>
      <c r="J22" s="47">
        <f>ROUND(-J21*J20,0)</f>
        <v>-19594</v>
      </c>
    </row>
    <row r="23" spans="2:11" ht="15" thickTop="1" thickBot="1">
      <c r="B23" s="145">
        <v>9</v>
      </c>
      <c r="D23" s="93"/>
      <c r="E23" s="137"/>
      <c r="F23" s="49"/>
      <c r="G23" s="4"/>
      <c r="H23" s="38"/>
      <c r="I23" s="38"/>
      <c r="J23" s="49"/>
    </row>
    <row r="24" spans="2:11" ht="14" thickBot="1">
      <c r="B24" s="145">
        <v>10</v>
      </c>
      <c r="D24" s="93" t="s">
        <v>152</v>
      </c>
      <c r="E24" s="137"/>
      <c r="F24" s="47">
        <f>+F18+F22</f>
        <v>-49010</v>
      </c>
      <c r="G24" s="4"/>
      <c r="H24" s="138">
        <f>+J24-F24</f>
        <v>24505</v>
      </c>
      <c r="I24" s="38"/>
      <c r="J24" s="47">
        <f>+J18+J22</f>
        <v>-24505</v>
      </c>
      <c r="K24" s="139"/>
    </row>
    <row r="25" spans="2:11" ht="14" thickTop="1">
      <c r="B25" s="145"/>
      <c r="D25" s="137"/>
      <c r="E25" s="137"/>
      <c r="F25" s="50"/>
      <c r="G25" s="4"/>
      <c r="H25" s="38"/>
      <c r="I25" s="38"/>
      <c r="J25" s="50"/>
      <c r="K25" s="4"/>
    </row>
    <row r="26" spans="2:11" ht="14" thickBot="1">
      <c r="B26" s="145">
        <v>11</v>
      </c>
      <c r="D26" s="137" t="s">
        <v>2</v>
      </c>
      <c r="E26" s="137"/>
      <c r="F26" s="193">
        <f>-F15-F24</f>
        <v>-147422.7740441043</v>
      </c>
      <c r="G26" s="4"/>
      <c r="H26" s="47">
        <f>-H15-H24</f>
        <v>73711.387022052149</v>
      </c>
      <c r="I26" s="38"/>
      <c r="J26" s="193">
        <f>-J15-J24</f>
        <v>-73711.387022052149</v>
      </c>
    </row>
    <row r="27" spans="2:11" ht="14" thickTop="1">
      <c r="B27" s="145"/>
      <c r="C27" s="309"/>
      <c r="D27" s="11"/>
      <c r="E27" s="309"/>
      <c r="F27" s="309"/>
      <c r="G27" s="309"/>
      <c r="H27" s="309"/>
      <c r="I27" s="309"/>
      <c r="J27" s="5"/>
      <c r="K27" s="4"/>
    </row>
    <row r="29" spans="2:11">
      <c r="B29" s="108" t="s">
        <v>79</v>
      </c>
      <c r="C29" s="69"/>
      <c r="D29" s="69"/>
      <c r="E29" s="69"/>
      <c r="F29" s="69"/>
      <c r="G29" s="69"/>
      <c r="H29" s="69"/>
      <c r="I29" s="69"/>
      <c r="J29" s="69"/>
    </row>
    <row r="30" spans="2:11" s="34" customFormat="1">
      <c r="B30" s="63" t="s">
        <v>207</v>
      </c>
      <c r="F30" s="43"/>
      <c r="G30" s="43"/>
      <c r="H30" s="43"/>
      <c r="I30" s="43"/>
      <c r="J30" s="43"/>
    </row>
    <row r="31" spans="2:11" s="34" customFormat="1">
      <c r="B31" s="63"/>
      <c r="F31" s="43"/>
      <c r="G31" s="43"/>
      <c r="H31" s="43"/>
      <c r="I31" s="43"/>
      <c r="J31" s="43"/>
    </row>
    <row r="32" spans="2:11" s="34" customFormat="1" ht="26" customHeight="1">
      <c r="B32" s="451" t="s">
        <v>208</v>
      </c>
      <c r="C32" s="451"/>
      <c r="D32" s="451"/>
      <c r="E32" s="451"/>
      <c r="F32" s="451"/>
      <c r="G32" s="451"/>
      <c r="H32" s="451"/>
      <c r="I32" s="451"/>
      <c r="J32" s="451"/>
    </row>
    <row r="33" spans="2:10" s="34" customFormat="1">
      <c r="B33" s="262"/>
      <c r="C33" s="262"/>
      <c r="D33" s="262"/>
      <c r="E33" s="262"/>
      <c r="F33" s="262"/>
      <c r="G33" s="262"/>
      <c r="H33" s="262"/>
      <c r="I33" s="262"/>
      <c r="J33" s="262"/>
    </row>
    <row r="34" spans="2:10">
      <c r="B34" s="63"/>
      <c r="D34" s="26" t="s">
        <v>225</v>
      </c>
    </row>
    <row r="35" spans="2:10">
      <c r="D35" s="26" t="s">
        <v>223</v>
      </c>
      <c r="F35" s="9">
        <v>5581939046</v>
      </c>
      <c r="H35" s="74">
        <f>+F35/F37</f>
        <v>0.81529025983707004</v>
      </c>
    </row>
    <row r="36" spans="2:10">
      <c r="D36" s="26" t="s">
        <v>224</v>
      </c>
      <c r="F36" s="9">
        <v>1264627534</v>
      </c>
      <c r="H36" s="74">
        <f>+F36/F37</f>
        <v>0.18470974016292996</v>
      </c>
    </row>
    <row r="37" spans="2:10" ht="14" thickBot="1">
      <c r="D37" s="26"/>
      <c r="F37" s="319">
        <f>SUM(F35:F36)</f>
        <v>6846566580</v>
      </c>
      <c r="H37" s="320">
        <f>SUM(H35:H36)</f>
        <v>1</v>
      </c>
    </row>
    <row r="38" spans="2:10" ht="14" thickTop="1"/>
    <row r="39" spans="2:10">
      <c r="B39" s="80" t="s">
        <v>209</v>
      </c>
    </row>
  </sheetData>
  <mergeCells count="2">
    <mergeCell ref="B1:J1"/>
    <mergeCell ref="B32:J32"/>
  </mergeCells>
  <pageMargins left="0.7" right="0.7" top="0.75" bottom="0.75" header="0.3" footer="0.3"/>
  <pageSetup scale="8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35"/>
  <sheetViews>
    <sheetView zoomScale="125" workbookViewId="0">
      <selection activeCell="H42" sqref="H42"/>
    </sheetView>
  </sheetViews>
  <sheetFormatPr baseColWidth="10" defaultColWidth="8.83203125" defaultRowHeight="13"/>
  <cols>
    <col min="1" max="1" width="1.83203125" style="32" customWidth="1"/>
    <col min="2" max="2" width="8.33203125" style="8" bestFit="1" customWidth="1"/>
    <col min="3" max="3" width="1.33203125" style="32" customWidth="1"/>
    <col min="4" max="4" width="18.33203125" style="32" hidden="1" customWidth="1"/>
    <col min="5" max="5" width="20" style="32" customWidth="1"/>
    <col min="6" max="6" width="1.33203125" style="32" customWidth="1"/>
    <col min="7" max="7" width="12.6640625" style="32" customWidth="1"/>
    <col min="8" max="8" width="39.6640625" style="32" customWidth="1"/>
    <col min="9" max="9" width="1.33203125" style="32" customWidth="1"/>
    <col min="10" max="10" width="20.6640625" style="32" customWidth="1"/>
    <col min="11" max="12" width="1.33203125" style="32" customWidth="1"/>
    <col min="13" max="13" width="24.5" style="32" bestFit="1" customWidth="1"/>
    <col min="14" max="14" width="1.33203125" style="32" customWidth="1"/>
    <col min="15" max="15" width="22.6640625" style="32" customWidth="1"/>
    <col min="16" max="16" width="2.83203125" style="32" customWidth="1"/>
    <col min="17" max="16384" width="8.83203125" style="32"/>
  </cols>
  <sheetData>
    <row r="1" spans="2:13" ht="20">
      <c r="B1" s="445" t="str">
        <f>+'Sch 1'!B1:J1</f>
        <v>-</v>
      </c>
      <c r="C1" s="445"/>
      <c r="D1" s="445"/>
      <c r="E1" s="445"/>
      <c r="F1" s="445"/>
      <c r="G1" s="445"/>
      <c r="H1" s="445"/>
      <c r="I1" s="445"/>
      <c r="J1" s="445"/>
    </row>
    <row r="2" spans="2:13" ht="16">
      <c r="B2" s="159"/>
    </row>
    <row r="3" spans="2:13">
      <c r="B3" s="11" t="str">
        <f>+'Sch 1.1'!B3</f>
        <v>Kentucky Public Service Commission</v>
      </c>
      <c r="J3" s="35" t="str">
        <f>+'Sch 1.1'!J3</f>
        <v>Case No. 2018-00295</v>
      </c>
    </row>
    <row r="4" spans="2:13">
      <c r="B4" s="26"/>
      <c r="J4" s="26"/>
    </row>
    <row r="5" spans="2:13">
      <c r="B5" s="84" t="str">
        <f>+'Sch 1.1'!B5</f>
        <v>Louisville Gas and Electric Company–Electric</v>
      </c>
      <c r="C5" s="26"/>
      <c r="D5" s="26"/>
      <c r="E5" s="26"/>
      <c r="I5" s="26"/>
    </row>
    <row r="6" spans="2:13">
      <c r="B6" s="26" t="s">
        <v>38</v>
      </c>
    </row>
    <row r="7" spans="2:13">
      <c r="D7" s="15"/>
      <c r="E7" s="15"/>
    </row>
    <row r="8" spans="2:13" ht="14" thickBot="1">
      <c r="B8" s="149" t="s">
        <v>34</v>
      </c>
      <c r="D8" s="446" t="s">
        <v>37</v>
      </c>
      <c r="E8" s="446"/>
      <c r="G8" s="446" t="s">
        <v>17</v>
      </c>
      <c r="H8" s="446"/>
      <c r="I8" s="446"/>
      <c r="J8" s="446"/>
    </row>
    <row r="9" spans="2:13">
      <c r="B9" s="71"/>
      <c r="D9" s="71"/>
      <c r="E9" s="71"/>
      <c r="G9" s="71"/>
      <c r="H9" s="71"/>
      <c r="I9" s="71"/>
      <c r="J9" s="71"/>
    </row>
    <row r="10" spans="2:13">
      <c r="B10" s="8">
        <v>1</v>
      </c>
      <c r="D10" s="32" t="str">
        <f>+'Sch 1.1'!J4</f>
        <v>LG&amp;E-E Schedule 1.1</v>
      </c>
      <c r="E10" s="32" t="str">
        <f>+'Sch 1'!J4</f>
        <v>LG&amp;E-E Schedule 1</v>
      </c>
      <c r="G10" s="32" t="str">
        <f>+'Sch 1'!B7</f>
        <v xml:space="preserve">Summary Comparison of Revenue Requirement </v>
      </c>
    </row>
    <row r="11" spans="2:13">
      <c r="B11" s="8">
        <v>2</v>
      </c>
      <c r="E11" s="32" t="str">
        <f>+'Sch 1.1'!J4</f>
        <v>LG&amp;E-E Schedule 1.1</v>
      </c>
      <c r="G11" s="32" t="str">
        <f>+'Sch 1.1'!B7</f>
        <v>Revenue Requirements with OAG's Recommended Adjustments</v>
      </c>
    </row>
    <row r="12" spans="2:13">
      <c r="B12" s="8">
        <v>3</v>
      </c>
      <c r="D12" s="32" t="e">
        <f>+#REF!</f>
        <v>#REF!</v>
      </c>
      <c r="E12" s="32" t="str">
        <f>+'Sch 1.2'!J4</f>
        <v>LG&amp;E-E Schedule 1.2</v>
      </c>
      <c r="G12" s="93" t="str">
        <f>+'Sch 1.2'!B7</f>
        <v>Computation of Gross- Up Conversion Factor</v>
      </c>
      <c r="H12" s="93"/>
      <c r="I12" s="4"/>
      <c r="J12" s="157"/>
      <c r="K12" s="4"/>
      <c r="L12" s="4"/>
      <c r="M12" s="4"/>
    </row>
    <row r="13" spans="2:13">
      <c r="B13" s="8">
        <v>4</v>
      </c>
      <c r="E13" s="32" t="str">
        <f>+'Sch 1.2.1'!J4</f>
        <v>LG&amp;E-E Schedule 1.2.1</v>
      </c>
      <c r="G13" s="93" t="str">
        <f>+'Sch 1.2.1'!B7</f>
        <v>Effect of Recommended Gross-Up Conversion Factor on Company's  Revenue Deficiency</v>
      </c>
      <c r="H13" s="93"/>
      <c r="I13" s="4"/>
      <c r="J13" s="157"/>
      <c r="K13" s="4"/>
      <c r="L13" s="4"/>
      <c r="M13" s="4"/>
    </row>
    <row r="14" spans="2:13">
      <c r="B14" s="8">
        <v>5</v>
      </c>
      <c r="D14" s="32" t="e">
        <f>+'Sch 2'!#REF!</f>
        <v>#REF!</v>
      </c>
      <c r="E14" s="32" t="str">
        <f>+'Sch 2'!L4</f>
        <v>LG&amp;E-E Schedule 2</v>
      </c>
      <c r="G14" s="93" t="str">
        <f>+'Sch 2'!B7</f>
        <v>Rate of Return Calculation</v>
      </c>
      <c r="H14" s="93"/>
      <c r="I14" s="4"/>
      <c r="J14" s="157"/>
      <c r="K14" s="4"/>
      <c r="L14" s="4"/>
      <c r="M14" s="4"/>
    </row>
    <row r="15" spans="2:13">
      <c r="B15" s="8">
        <v>6</v>
      </c>
      <c r="D15" s="32" t="e">
        <f>+'Sch 2.1'!#REF!</f>
        <v>#REF!</v>
      </c>
      <c r="E15" s="32" t="str">
        <f>+'Sch 2.1'!J4</f>
        <v>LG&amp;E-E Schedule 2.1</v>
      </c>
      <c r="G15" s="93" t="str">
        <f>+'Sch 2.1'!B7</f>
        <v>Effect of Proxy ROE on Company's  Revenue Deficiency</v>
      </c>
      <c r="H15" s="93"/>
      <c r="I15" s="4"/>
      <c r="J15" s="157"/>
      <c r="K15" s="4"/>
      <c r="L15" s="4"/>
      <c r="M15" s="4"/>
    </row>
    <row r="16" spans="2:13">
      <c r="B16" s="8">
        <v>7</v>
      </c>
      <c r="D16" s="32" t="e">
        <f>+#REF!</f>
        <v>#REF!</v>
      </c>
      <c r="E16" s="32" t="str">
        <f>+'Sch 3'!X4</f>
        <v>LG&amp;E-E Schedule 3</v>
      </c>
      <c r="G16" s="93" t="str">
        <f>+'Sch 3'!B7</f>
        <v>Ratemaking Adjustments</v>
      </c>
      <c r="H16" s="93"/>
      <c r="I16" s="4"/>
      <c r="J16" s="157"/>
      <c r="K16" s="4"/>
      <c r="L16" s="4"/>
      <c r="M16" s="4"/>
    </row>
    <row r="17" spans="2:13">
      <c r="B17" s="8">
        <v>8</v>
      </c>
      <c r="D17" s="32" t="str">
        <f>+'Template Exp'!J4</f>
        <v>Schedule 3.X</v>
      </c>
      <c r="E17" s="32" t="str">
        <f>+'3.1 Slippage'!J4</f>
        <v>LG&amp;E-E Schedule 3.1</v>
      </c>
      <c r="G17" s="32" t="str">
        <f>+'3.1 Slippage'!B6</f>
        <v>Adjustment 1</v>
      </c>
      <c r="H17" s="93" t="str">
        <f>+'3.1 Slippage'!B7</f>
        <v>Slippage</v>
      </c>
      <c r="I17" s="4"/>
      <c r="J17" s="157"/>
      <c r="K17" s="4"/>
      <c r="L17" s="4"/>
      <c r="M17" s="4"/>
    </row>
    <row r="18" spans="2:13">
      <c r="B18" s="8">
        <v>9</v>
      </c>
      <c r="E18" s="32" t="str">
        <f>+'3.2'!J4</f>
        <v>LG&amp;E-E Schedule 3.2</v>
      </c>
      <c r="G18" s="32" t="str">
        <f>+'3.2'!D8</f>
        <v xml:space="preserve">This schedule intentionally left blank to maintain numbering with other utilities. </v>
      </c>
      <c r="H18" s="93"/>
      <c r="I18" s="4"/>
      <c r="J18" s="157"/>
      <c r="K18" s="4"/>
      <c r="L18" s="4"/>
      <c r="M18" s="4"/>
    </row>
    <row r="19" spans="2:13">
      <c r="B19" s="8">
        <v>10</v>
      </c>
      <c r="D19" s="32" t="e">
        <f>+#REF!</f>
        <v>#REF!</v>
      </c>
      <c r="E19" s="32" t="str">
        <f>+'3.3'!J4</f>
        <v>LG&amp;E-E Schedule 3.3</v>
      </c>
      <c r="G19" s="32" t="str">
        <f>+'3.3'!D8</f>
        <v xml:space="preserve">This schedule intentionally left blank to maintain numbering with other utilities. </v>
      </c>
      <c r="H19" s="93"/>
      <c r="I19" s="4"/>
      <c r="J19" s="157"/>
      <c r="K19" s="4"/>
      <c r="L19" s="4"/>
      <c r="M19" s="4"/>
    </row>
    <row r="20" spans="2:13">
      <c r="B20" s="8">
        <v>11</v>
      </c>
      <c r="E20" s="32" t="str">
        <f>+'3.4'!J4</f>
        <v>LG&amp;E-E Schedule 3.4</v>
      </c>
      <c r="G20" s="32" t="str">
        <f>+'3.4'!D8</f>
        <v xml:space="preserve">This schedule intentionally left blank to maintain numbering with other utilities. </v>
      </c>
      <c r="H20" s="93"/>
      <c r="I20" s="4"/>
      <c r="J20" s="157"/>
      <c r="K20" s="4"/>
      <c r="L20" s="4"/>
      <c r="M20" s="4"/>
    </row>
    <row r="21" spans="2:13">
      <c r="B21" s="8">
        <v>12</v>
      </c>
      <c r="E21" s="32" t="str">
        <f>+'3.5 CWC'!P4</f>
        <v>LG&amp;E-E Schedule 3.5</v>
      </c>
      <c r="G21" s="32" t="str">
        <f>+'3.5 CWC'!B6</f>
        <v>Adjustment 5</v>
      </c>
      <c r="H21" s="158" t="str">
        <f>+'3.5 CWC'!B7</f>
        <v xml:space="preserve">Working Capital </v>
      </c>
      <c r="I21" s="4"/>
      <c r="J21" s="157"/>
      <c r="K21" s="4"/>
      <c r="L21" s="4"/>
      <c r="M21" s="4"/>
    </row>
    <row r="22" spans="2:13">
      <c r="B22" s="8">
        <v>13</v>
      </c>
      <c r="D22" s="32" t="e">
        <f>+#REF!</f>
        <v>#REF!</v>
      </c>
      <c r="E22" s="32" t="str">
        <f>+'3.5.1 CWC WP'!AL5</f>
        <v>LG&amp;E-E Schedule 3.5.1</v>
      </c>
      <c r="G22" s="32" t="str">
        <f>+'3.5.1 CWC WP'!B6</f>
        <v>Adjustment 5</v>
      </c>
      <c r="H22" s="32" t="str">
        <f>+'3.5.1 CWC WP'!B7</f>
        <v>Cash Working Capital Workpaper</v>
      </c>
      <c r="I22" s="4"/>
      <c r="J22" s="157"/>
      <c r="K22" s="4"/>
      <c r="L22" s="4"/>
      <c r="M22" s="4"/>
    </row>
    <row r="23" spans="2:13">
      <c r="B23" s="8">
        <v>14</v>
      </c>
      <c r="D23" s="32" t="e">
        <f>+#REF!</f>
        <v>#REF!</v>
      </c>
      <c r="E23" s="32" t="str">
        <f>+'3.6 Late Pymt'!J4</f>
        <v>LG&amp;E-E Schedule 3.6</v>
      </c>
      <c r="G23" s="32" t="str">
        <f>+'3.6 Late Pymt'!B6</f>
        <v>Adjustment 6</v>
      </c>
      <c r="H23" s="158" t="str">
        <f>+'3.6 Late Pymt'!B7</f>
        <v>Late Payment Credit</v>
      </c>
      <c r="I23" s="4"/>
      <c r="J23" s="157"/>
      <c r="K23" s="4"/>
      <c r="L23" s="4"/>
      <c r="M23" s="4"/>
    </row>
    <row r="24" spans="2:13">
      <c r="B24" s="8">
        <v>15</v>
      </c>
      <c r="D24" s="32" t="e">
        <f>+#REF!</f>
        <v>#REF!</v>
      </c>
      <c r="E24" s="32" t="str">
        <f>+'3.7 401(k)'!J4</f>
        <v>LG&amp;E-E Schedule 3.7</v>
      </c>
      <c r="G24" s="15" t="str">
        <f>+'3.7 401(k)'!B6</f>
        <v>Adjustment 7</v>
      </c>
      <c r="H24" s="32" t="str">
        <f>+'3.7 401(k)'!B7</f>
        <v>Employee Retirement Plans</v>
      </c>
    </row>
    <row r="25" spans="2:13">
      <c r="B25" s="8">
        <v>16</v>
      </c>
      <c r="E25" s="32" t="str">
        <f>+'3.8 D&amp;O'!J4</f>
        <v>LG&amp;E-E Schedule 3.8</v>
      </c>
      <c r="G25" s="15" t="str">
        <f>+'3.8 D&amp;O'!B6</f>
        <v>Adjustment 8</v>
      </c>
      <c r="H25" s="32" t="str">
        <f>+'3.8 D&amp;O'!B7</f>
        <v>Directors and Officers Liability Insurance</v>
      </c>
    </row>
    <row r="26" spans="2:13">
      <c r="B26" s="8">
        <v>17</v>
      </c>
      <c r="D26" s="32" t="e">
        <f>+#REF!</f>
        <v>#REF!</v>
      </c>
      <c r="E26" s="32" t="str">
        <f>+'3.9 Dues'!J4</f>
        <v>LG&amp;E-E Schedule 3.9</v>
      </c>
      <c r="G26" s="32" t="str">
        <f>+'3.9 Dues'!B6</f>
        <v>Adjustment 9</v>
      </c>
      <c r="H26" s="32" t="str">
        <f>+'3.9 Dues'!B7</f>
        <v>Dues for EEI and EPRI</v>
      </c>
    </row>
    <row r="27" spans="2:13">
      <c r="B27" s="8">
        <v>18</v>
      </c>
      <c r="E27" s="32" t="str">
        <f>+'3.10 Legal'!J4</f>
        <v>LG&amp;E-E Schedule 3.10</v>
      </c>
      <c r="G27" s="32" t="str">
        <f>+'3.10 Legal'!B6</f>
        <v>Adjustment 10</v>
      </c>
      <c r="H27" s="32" t="str">
        <f>+'3.10 Legal'!B7</f>
        <v>Outside Counsel Expense</v>
      </c>
    </row>
    <row r="28" spans="2:13">
      <c r="B28" s="8">
        <v>19</v>
      </c>
      <c r="D28" s="32" t="e">
        <f>+#REF!</f>
        <v>#REF!</v>
      </c>
      <c r="E28" s="32" t="str">
        <f>+'3.11 Rebate'!J4</f>
        <v>LG&amp;E-E Schedule 3.11</v>
      </c>
      <c r="G28" s="32" t="str">
        <f>+'3.11 Rebate'!B6</f>
        <v>Adjustment 11</v>
      </c>
      <c r="H28" s="32" t="str">
        <f>+'3.11 Rebate'!B7</f>
        <v>Credit Card Rebate</v>
      </c>
    </row>
    <row r="29" spans="2:13">
      <c r="B29" s="8">
        <v>20</v>
      </c>
      <c r="E29" s="32" t="str">
        <f>+'3.12 Econ Dev'!J4</f>
        <v>LG&amp;E-E Schedule 3.12</v>
      </c>
      <c r="G29" s="32" t="str">
        <f>+'3.12 Econ Dev'!B6</f>
        <v>Adjustment 12</v>
      </c>
      <c r="H29" s="32" t="str">
        <f>+'3.12 Econ Dev'!B7</f>
        <v>Economic Development</v>
      </c>
    </row>
    <row r="30" spans="2:13">
      <c r="B30" s="8">
        <v>21</v>
      </c>
      <c r="E30" s="32" t="str">
        <f>+'3.13 Ed'!J4</f>
        <v>LG&amp;E-E Schedule 3.13</v>
      </c>
      <c r="G30" s="32" t="str">
        <f>+'3.13 Ed'!B6</f>
        <v>Adjustment 13</v>
      </c>
      <c r="H30" s="32" t="str">
        <f>+'3.13 Ed'!B7</f>
        <v>Customer Education</v>
      </c>
    </row>
    <row r="31" spans="2:13">
      <c r="B31" s="8">
        <v>22</v>
      </c>
      <c r="E31" s="32" t="str">
        <f>+'3.14'!J4</f>
        <v>LG&amp;E-E Schedule 3.14</v>
      </c>
      <c r="G31" s="32" t="str">
        <f>+'3.14'!D8</f>
        <v xml:space="preserve">This schedule intentionally left blank to maintain numbering with other utilities. </v>
      </c>
    </row>
    <row r="32" spans="2:13">
      <c r="B32" s="8">
        <v>23</v>
      </c>
      <c r="E32" s="32" t="str">
        <f>+'3.15 MMD'!J4</f>
        <v>LG&amp;E-E Schedule 3.15</v>
      </c>
      <c r="G32" s="32" t="str">
        <f>+'3.15 MMD'!B6</f>
        <v>Adjustment 15</v>
      </c>
      <c r="H32" s="32" t="str">
        <f>+'3.15 MMD'!B7</f>
        <v xml:space="preserve">Merger Mitigation Depancaking </v>
      </c>
    </row>
    <row r="33" spans="2:8">
      <c r="B33" s="8">
        <v>24</v>
      </c>
      <c r="E33" s="32" t="str">
        <f>+'3.16 Storm'!J4</f>
        <v>LG&amp;E-E Schedule 3.16</v>
      </c>
      <c r="G33" s="32" t="str">
        <f>+'3.16 Storm'!B6</f>
        <v>Adjustment 16</v>
      </c>
      <c r="H33" s="32" t="str">
        <f>+'3.16 Storm'!B7</f>
        <v>Amortization of Storm Damage Regulatory Asset</v>
      </c>
    </row>
    <row r="34" spans="2:8">
      <c r="B34" s="8">
        <v>25</v>
      </c>
      <c r="E34" s="32" t="str">
        <f>+'3.17 EDIT'!J4</f>
        <v>LG&amp;E-E Schedule 3.17</v>
      </c>
      <c r="G34" s="32" t="str">
        <f>+'3.17 EDIT'!B6</f>
        <v>Adjustment 17</v>
      </c>
      <c r="H34" s="32" t="str">
        <f>+'3.17 EDIT'!B7</f>
        <v>Amortization of Tax Reform Regulatory Liability</v>
      </c>
    </row>
    <row r="35" spans="2:8">
      <c r="B35" s="8">
        <v>26</v>
      </c>
      <c r="E35" s="32" t="str">
        <f>+'3.18 Int Sychn'!J4</f>
        <v>LG&amp;E-E Schedule 3.18</v>
      </c>
      <c r="G35" s="32" t="str">
        <f>+'3.18 Int Sychn'!B6</f>
        <v>Adjustment 18</v>
      </c>
      <c r="H35" s="32" t="str">
        <f>+'3.18 Int Sychn'!B7</f>
        <v>Interest Synchronization</v>
      </c>
    </row>
  </sheetData>
  <mergeCells count="3">
    <mergeCell ref="B1:J1"/>
    <mergeCell ref="G8:J8"/>
    <mergeCell ref="D8:E8"/>
  </mergeCells>
  <phoneticPr fontId="17" type="noConversion"/>
  <printOptions horizontalCentered="1"/>
  <pageMargins left="0.7" right="0.7" top="0.75" bottom="0.75" header="0.3" footer="0.3"/>
  <pageSetup scale="7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E41BF-B619-8B47-A2BE-E0C096E3CB44}">
  <sheetPr>
    <pageSetUpPr fitToPage="1"/>
  </sheetPr>
  <dimension ref="B1:K44"/>
  <sheetViews>
    <sheetView workbookViewId="0">
      <selection activeCell="M22" sqref="M22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318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 t="s">
        <v>54</v>
      </c>
    </row>
    <row r="7" spans="2:11">
      <c r="B7" s="26" t="s">
        <v>319</v>
      </c>
    </row>
    <row r="8" spans="2:11">
      <c r="B8" s="26"/>
    </row>
    <row r="9" spans="2:11">
      <c r="B9" s="11"/>
      <c r="C9" s="11"/>
      <c r="D9" s="11"/>
      <c r="E9" s="11"/>
      <c r="F9" s="309" t="s">
        <v>19</v>
      </c>
      <c r="G9" s="11"/>
      <c r="H9" s="309"/>
      <c r="I9" s="11"/>
      <c r="J9" s="309" t="s">
        <v>25</v>
      </c>
    </row>
    <row r="10" spans="2:11" ht="14" thickBot="1">
      <c r="B10" s="307" t="s">
        <v>18</v>
      </c>
      <c r="C10" s="309"/>
      <c r="D10" s="307" t="s">
        <v>17</v>
      </c>
      <c r="E10" s="309"/>
      <c r="F10" s="307" t="s">
        <v>65</v>
      </c>
      <c r="G10" s="309"/>
      <c r="H10" s="307" t="s">
        <v>20</v>
      </c>
      <c r="I10" s="309"/>
      <c r="J10" s="307" t="s">
        <v>26</v>
      </c>
    </row>
    <row r="11" spans="2:11">
      <c r="B11" s="309"/>
      <c r="C11" s="309"/>
      <c r="D11" s="11"/>
      <c r="E11" s="309"/>
      <c r="F11" s="309" t="s">
        <v>9</v>
      </c>
      <c r="G11" s="309"/>
      <c r="H11" s="309" t="s">
        <v>10</v>
      </c>
      <c r="I11" s="309"/>
      <c r="J11" s="5" t="s">
        <v>11</v>
      </c>
    </row>
    <row r="12" spans="2:11">
      <c r="B12" s="309"/>
      <c r="C12" s="309"/>
      <c r="D12" s="11"/>
      <c r="E12" s="309"/>
      <c r="F12" s="309"/>
      <c r="G12" s="309"/>
      <c r="H12" s="309"/>
      <c r="I12" s="309"/>
      <c r="J12" s="5"/>
    </row>
    <row r="13" spans="2:11">
      <c r="B13" s="110">
        <v>1</v>
      </c>
      <c r="C13" s="309"/>
      <c r="D13" s="26" t="s">
        <v>248</v>
      </c>
      <c r="E13" s="309"/>
      <c r="F13" s="198">
        <v>306562.76</v>
      </c>
      <c r="G13" s="309"/>
      <c r="H13" s="198">
        <f>+J13-F13</f>
        <v>-143703.45446000001</v>
      </c>
      <c r="I13" s="309"/>
      <c r="J13" s="198">
        <f>+J44</f>
        <v>162859.30554</v>
      </c>
    </row>
    <row r="14" spans="2:11">
      <c r="B14" s="110">
        <v>2</v>
      </c>
      <c r="C14" s="309"/>
      <c r="D14" s="26" t="s">
        <v>249</v>
      </c>
      <c r="E14" s="309"/>
      <c r="F14" s="284">
        <v>1217304</v>
      </c>
      <c r="G14" s="308"/>
      <c r="H14" s="284">
        <f>+J14-F14</f>
        <v>-1217304</v>
      </c>
      <c r="I14" s="308"/>
      <c r="J14" s="284">
        <v>0</v>
      </c>
    </row>
    <row r="15" spans="2:11">
      <c r="B15" s="110">
        <v>3</v>
      </c>
      <c r="C15" s="309"/>
      <c r="D15" s="26" t="s">
        <v>593</v>
      </c>
      <c r="E15" s="309"/>
      <c r="F15" s="177">
        <v>24063</v>
      </c>
      <c r="G15" s="309"/>
      <c r="H15" s="284">
        <f t="shared" ref="H15:H19" si="0">+J15-F15</f>
        <v>-24063</v>
      </c>
      <c r="I15" s="309"/>
      <c r="J15" s="284">
        <v>0</v>
      </c>
    </row>
    <row r="16" spans="2:11">
      <c r="B16" s="110">
        <v>4</v>
      </c>
      <c r="C16" s="309"/>
      <c r="D16" s="26" t="s">
        <v>596</v>
      </c>
      <c r="E16" s="309"/>
      <c r="F16" s="177">
        <v>128800</v>
      </c>
      <c r="G16" s="309"/>
      <c r="H16" s="284">
        <f t="shared" si="0"/>
        <v>-128800</v>
      </c>
      <c r="I16" s="309"/>
      <c r="J16" s="284">
        <v>0</v>
      </c>
    </row>
    <row r="17" spans="2:11">
      <c r="B17" s="110">
        <v>5</v>
      </c>
      <c r="C17" s="309"/>
      <c r="D17" s="26" t="s">
        <v>597</v>
      </c>
      <c r="E17" s="309"/>
      <c r="F17" s="177">
        <v>52440</v>
      </c>
      <c r="G17" s="309"/>
      <c r="H17" s="284">
        <f t="shared" si="0"/>
        <v>-52440</v>
      </c>
      <c r="I17" s="309"/>
      <c r="J17" s="284">
        <v>0</v>
      </c>
    </row>
    <row r="18" spans="2:11">
      <c r="B18" s="110">
        <v>6</v>
      </c>
      <c r="C18" s="309"/>
      <c r="D18" s="26" t="s">
        <v>594</v>
      </c>
      <c r="E18" s="309"/>
      <c r="F18" s="177">
        <v>31625</v>
      </c>
      <c r="G18" s="309"/>
      <c r="H18" s="284">
        <f t="shared" si="0"/>
        <v>-31625</v>
      </c>
      <c r="I18" s="309"/>
      <c r="J18" s="284">
        <v>0</v>
      </c>
    </row>
    <row r="19" spans="2:11" ht="14" thickBot="1">
      <c r="B19" s="110">
        <v>7</v>
      </c>
      <c r="C19" s="309"/>
      <c r="D19" s="26" t="s">
        <v>598</v>
      </c>
      <c r="E19" s="309"/>
      <c r="F19" s="359">
        <v>31740</v>
      </c>
      <c r="G19" s="309"/>
      <c r="H19" s="284">
        <f t="shared" si="0"/>
        <v>-31740</v>
      </c>
      <c r="I19" s="309"/>
      <c r="J19" s="283">
        <v>0</v>
      </c>
    </row>
    <row r="20" spans="2:11" s="34" customFormat="1" ht="14" thickBot="1">
      <c r="B20" s="110">
        <v>8</v>
      </c>
      <c r="D20" s="26" t="s">
        <v>250</v>
      </c>
      <c r="E20" s="309"/>
      <c r="F20" s="305">
        <f>SUM(F13:F19)</f>
        <v>1792534.76</v>
      </c>
      <c r="G20" s="56"/>
      <c r="H20" s="190">
        <f>SUM(H13:H14)</f>
        <v>-1361007.4544599999</v>
      </c>
      <c r="I20" s="56"/>
      <c r="J20" s="305">
        <f>SUM(J13:J19)</f>
        <v>162859.30554</v>
      </c>
    </row>
    <row r="21" spans="2:11" s="34" customFormat="1">
      <c r="B21" s="145"/>
      <c r="F21" s="43"/>
      <c r="G21" s="43"/>
      <c r="H21" s="43"/>
      <c r="I21" s="43"/>
      <c r="J21" s="43"/>
    </row>
    <row r="22" spans="2:11">
      <c r="B22" s="145">
        <v>9</v>
      </c>
      <c r="D22" s="20" t="s">
        <v>149</v>
      </c>
      <c r="E22" s="20"/>
      <c r="F22" s="79">
        <f>+'Sch 1.2'!$F$18</f>
        <v>0.05</v>
      </c>
      <c r="G22" s="21"/>
      <c r="H22" s="21"/>
      <c r="I22" s="21"/>
      <c r="J22" s="79">
        <f>+'Sch 1.2'!$J$18</f>
        <v>0.05</v>
      </c>
      <c r="K22" s="4"/>
    </row>
    <row r="23" spans="2:11" ht="14" thickBot="1">
      <c r="B23" s="145">
        <v>10</v>
      </c>
      <c r="D23" s="20" t="s">
        <v>150</v>
      </c>
      <c r="E23" s="20"/>
      <c r="F23" s="47">
        <f>ROUND(-F22*F20,0)</f>
        <v>-89627</v>
      </c>
      <c r="G23" s="4"/>
      <c r="H23" s="47">
        <f>+J23-F23</f>
        <v>81484</v>
      </c>
      <c r="I23" s="38"/>
      <c r="J23" s="47">
        <f>ROUND(-J22*J20,0)</f>
        <v>-8143</v>
      </c>
      <c r="K23" s="4"/>
    </row>
    <row r="24" spans="2:11" ht="14" thickTop="1">
      <c r="B24" s="145"/>
      <c r="D24" s="20"/>
      <c r="E24" s="20"/>
      <c r="F24" s="19"/>
      <c r="J24" s="19"/>
    </row>
    <row r="25" spans="2:11">
      <c r="B25" s="145">
        <v>11</v>
      </c>
      <c r="D25" s="20" t="s">
        <v>33</v>
      </c>
      <c r="E25" s="20"/>
      <c r="F25" s="19">
        <f>+F20+F23</f>
        <v>1702907.76</v>
      </c>
      <c r="J25" s="19">
        <f>+J20+J23</f>
        <v>154716.30554</v>
      </c>
    </row>
    <row r="26" spans="2:11">
      <c r="B26" s="145">
        <v>12</v>
      </c>
      <c r="D26" s="20" t="s">
        <v>32</v>
      </c>
      <c r="E26" s="20"/>
      <c r="F26" s="48">
        <f>+'Sch 1.2'!$F$22</f>
        <v>0.21</v>
      </c>
      <c r="J26" s="48">
        <f>+'Sch 1.2'!$F$22</f>
        <v>0.21</v>
      </c>
    </row>
    <row r="27" spans="2:11" ht="14" thickBot="1">
      <c r="B27" s="145">
        <v>13</v>
      </c>
      <c r="D27" s="26" t="s">
        <v>151</v>
      </c>
      <c r="F27" s="47">
        <f>ROUND(-F26*F25,0)</f>
        <v>-357611</v>
      </c>
      <c r="G27" s="4"/>
      <c r="H27" s="47">
        <f>+J27-F27</f>
        <v>325121</v>
      </c>
      <c r="I27" s="38"/>
      <c r="J27" s="47">
        <f>ROUND(-J26*J25,0)</f>
        <v>-32490</v>
      </c>
    </row>
    <row r="28" spans="2:11" ht="15" thickTop="1" thickBot="1">
      <c r="B28" s="145"/>
      <c r="D28" s="93"/>
      <c r="E28" s="137"/>
      <c r="F28" s="49"/>
      <c r="G28" s="4"/>
      <c r="H28" s="38"/>
      <c r="I28" s="38"/>
      <c r="J28" s="49"/>
    </row>
    <row r="29" spans="2:11" ht="14" thickBot="1">
      <c r="B29" s="145">
        <v>14</v>
      </c>
      <c r="D29" s="93" t="s">
        <v>152</v>
      </c>
      <c r="E29" s="137"/>
      <c r="F29" s="47">
        <f>+F23+F27</f>
        <v>-447238</v>
      </c>
      <c r="G29" s="4"/>
      <c r="H29" s="138">
        <f>+J29-F29</f>
        <v>406605</v>
      </c>
      <c r="I29" s="38"/>
      <c r="J29" s="47">
        <f>+J23+J27</f>
        <v>-40633</v>
      </c>
      <c r="K29" s="139"/>
    </row>
    <row r="30" spans="2:11" ht="14" thickTop="1">
      <c r="B30" s="145"/>
      <c r="D30" s="137"/>
      <c r="E30" s="137"/>
      <c r="F30" s="50"/>
      <c r="G30" s="4"/>
      <c r="H30" s="38"/>
      <c r="I30" s="38"/>
      <c r="J30" s="50"/>
      <c r="K30" s="4"/>
    </row>
    <row r="31" spans="2:11" ht="14" thickBot="1">
      <c r="B31" s="145">
        <v>15</v>
      </c>
      <c r="D31" s="137" t="s">
        <v>2</v>
      </c>
      <c r="E31" s="137"/>
      <c r="F31" s="193">
        <f>-F20-F29</f>
        <v>-1345296.76</v>
      </c>
      <c r="G31" s="4"/>
      <c r="H31" s="47">
        <f>-H20-H29</f>
        <v>954402.45445999992</v>
      </c>
      <c r="I31" s="38"/>
      <c r="J31" s="193">
        <f>-J20-J29</f>
        <v>-122226.30554</v>
      </c>
    </row>
    <row r="32" spans="2:11" ht="14" thickTop="1">
      <c r="B32" s="145"/>
      <c r="C32" s="309"/>
      <c r="D32" s="11"/>
      <c r="E32" s="309"/>
      <c r="F32" s="309"/>
      <c r="G32" s="309"/>
      <c r="H32" s="309"/>
      <c r="I32" s="309"/>
      <c r="J32" s="5"/>
      <c r="K32" s="4"/>
    </row>
    <row r="34" spans="2:10">
      <c r="B34" s="108" t="s">
        <v>79</v>
      </c>
      <c r="C34" s="69"/>
      <c r="D34" s="69"/>
      <c r="E34" s="69"/>
      <c r="F34" s="69"/>
      <c r="G34" s="69"/>
      <c r="H34" s="69"/>
      <c r="I34" s="69"/>
      <c r="J34" s="69"/>
    </row>
    <row r="35" spans="2:10" s="34" customFormat="1">
      <c r="B35" s="63" t="s">
        <v>595</v>
      </c>
      <c r="F35" s="43"/>
      <c r="G35" s="43"/>
      <c r="H35" s="43"/>
      <c r="I35" s="43"/>
      <c r="J35" s="43"/>
    </row>
    <row r="36" spans="2:10" s="34" customFormat="1">
      <c r="B36" s="63"/>
      <c r="F36" s="43"/>
      <c r="G36" s="43"/>
      <c r="H36" s="43"/>
      <c r="I36" s="43"/>
      <c r="J36" s="43"/>
    </row>
    <row r="37" spans="2:10" s="34" customFormat="1">
      <c r="B37" s="63" t="s">
        <v>320</v>
      </c>
      <c r="F37" s="43"/>
      <c r="G37" s="43"/>
      <c r="H37" s="148"/>
      <c r="I37" s="43"/>
      <c r="J37" s="43"/>
    </row>
    <row r="38" spans="2:10">
      <c r="D38" s="63" t="s">
        <v>321</v>
      </c>
      <c r="J38" s="40">
        <v>306562.76</v>
      </c>
    </row>
    <row r="39" spans="2:10">
      <c r="D39" s="63" t="s">
        <v>322</v>
      </c>
      <c r="J39" s="6">
        <v>52553.68</v>
      </c>
    </row>
    <row r="40" spans="2:10">
      <c r="D40" s="65" t="s">
        <v>323</v>
      </c>
      <c r="J40" s="40">
        <f>SUM(J38:J39)</f>
        <v>359116.44</v>
      </c>
    </row>
    <row r="41" spans="2:10">
      <c r="D41" s="63" t="s">
        <v>327</v>
      </c>
      <c r="J41" s="109">
        <v>0.45350000000000001</v>
      </c>
    </row>
    <row r="42" spans="2:10">
      <c r="D42" s="65" t="s">
        <v>324</v>
      </c>
      <c r="J42" s="40">
        <f>+J40*J41</f>
        <v>162859.30554</v>
      </c>
    </row>
    <row r="43" spans="2:10" ht="14" thickBot="1">
      <c r="D43" s="63" t="s">
        <v>325</v>
      </c>
      <c r="J43" s="354">
        <v>1</v>
      </c>
    </row>
    <row r="44" spans="2:10" ht="14" thickBot="1">
      <c r="D44" s="65" t="s">
        <v>326</v>
      </c>
      <c r="J44" s="355">
        <f>+J42*J43</f>
        <v>162859.30554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20A0A-F367-DF47-A4E5-A5E31D48EF0D}">
  <sheetPr>
    <pageSetUpPr fitToPage="1"/>
  </sheetPr>
  <dimension ref="B1:L56"/>
  <sheetViews>
    <sheetView workbookViewId="0">
      <selection activeCell="B8" sqref="B8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3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2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2" ht="16">
      <c r="B2" s="159"/>
    </row>
    <row r="3" spans="2:12">
      <c r="B3" s="11" t="str">
        <f>+'Sch 1.1'!B3</f>
        <v>Kentucky Public Service Commission</v>
      </c>
      <c r="J3" s="183" t="str">
        <f>+'Sch 1.1'!J3</f>
        <v>Case No. 2018-00295</v>
      </c>
    </row>
    <row r="4" spans="2:12">
      <c r="I4" s="44"/>
      <c r="J4" s="35" t="s">
        <v>340</v>
      </c>
    </row>
    <row r="5" spans="2:12">
      <c r="B5" s="84" t="str">
        <f>+'Sch 1.1'!B5</f>
        <v>Louisville Gas and Electric Company–Electric</v>
      </c>
      <c r="I5" s="26"/>
      <c r="J5" s="35" t="s">
        <v>35</v>
      </c>
    </row>
    <row r="6" spans="2:12">
      <c r="B6" s="11" t="s">
        <v>55</v>
      </c>
    </row>
    <row r="7" spans="2:12">
      <c r="B7" s="26" t="s">
        <v>356</v>
      </c>
    </row>
    <row r="8" spans="2:12">
      <c r="B8" s="26"/>
    </row>
    <row r="9" spans="2:12">
      <c r="B9" s="11"/>
      <c r="C9" s="11"/>
      <c r="D9" s="11"/>
      <c r="E9" s="11"/>
      <c r="F9" s="309" t="s">
        <v>19</v>
      </c>
      <c r="G9" s="11"/>
      <c r="H9" s="309"/>
      <c r="I9" s="11"/>
      <c r="J9" s="309" t="s">
        <v>25</v>
      </c>
    </row>
    <row r="10" spans="2:12" ht="14" thickBot="1">
      <c r="B10" s="307" t="s">
        <v>18</v>
      </c>
      <c r="C10" s="309"/>
      <c r="D10" s="307" t="s">
        <v>17</v>
      </c>
      <c r="E10" s="309"/>
      <c r="F10" s="307" t="s">
        <v>65</v>
      </c>
      <c r="G10" s="309"/>
      <c r="H10" s="307" t="s">
        <v>20</v>
      </c>
      <c r="I10" s="309"/>
      <c r="J10" s="307" t="s">
        <v>26</v>
      </c>
    </row>
    <row r="11" spans="2:12">
      <c r="B11" s="309"/>
      <c r="C11" s="309"/>
      <c r="D11" s="11"/>
      <c r="E11" s="309"/>
      <c r="F11" s="309" t="s">
        <v>9</v>
      </c>
      <c r="G11" s="309"/>
      <c r="H11" s="309" t="s">
        <v>10</v>
      </c>
      <c r="I11" s="309"/>
      <c r="J11" s="5" t="s">
        <v>11</v>
      </c>
    </row>
    <row r="12" spans="2:12">
      <c r="B12" s="145"/>
      <c r="C12" s="309"/>
      <c r="D12" s="11"/>
      <c r="E12" s="309"/>
      <c r="F12" s="309"/>
      <c r="G12" s="309"/>
      <c r="H12" s="309"/>
      <c r="I12" s="309"/>
      <c r="J12" s="5"/>
    </row>
    <row r="13" spans="2:12">
      <c r="B13" s="145">
        <v>1</v>
      </c>
      <c r="C13" s="309"/>
      <c r="D13" s="26" t="s">
        <v>226</v>
      </c>
      <c r="E13" s="309"/>
      <c r="F13" s="198">
        <v>1560000</v>
      </c>
      <c r="G13" s="309"/>
      <c r="H13" s="309"/>
      <c r="I13" s="309"/>
      <c r="J13" s="5"/>
    </row>
    <row r="14" spans="2:12" ht="14" thickBot="1">
      <c r="B14" s="145">
        <v>2</v>
      </c>
      <c r="C14" s="309"/>
      <c r="D14" s="26" t="s">
        <v>227</v>
      </c>
      <c r="E14" s="309"/>
      <c r="F14" s="321">
        <f>+H36</f>
        <v>0.43329791002479634</v>
      </c>
      <c r="G14" s="309"/>
      <c r="H14" s="309"/>
      <c r="I14" s="309"/>
      <c r="J14" s="5"/>
      <c r="L14" s="26"/>
    </row>
    <row r="15" spans="2:12" s="34" customFormat="1" ht="14" thickBot="1">
      <c r="B15" s="145">
        <v>3</v>
      </c>
      <c r="D15" s="44" t="s">
        <v>189</v>
      </c>
      <c r="E15" s="309"/>
      <c r="F15" s="198">
        <f>+F13*F14</f>
        <v>675944.73963868234</v>
      </c>
      <c r="G15" s="56"/>
      <c r="H15" s="190">
        <f>-F15/2</f>
        <v>-337972.36981934117</v>
      </c>
      <c r="I15" s="56"/>
      <c r="J15" s="198">
        <f>+F15+H15</f>
        <v>337972.36981934117</v>
      </c>
    </row>
    <row r="16" spans="2:12" s="34" customFormat="1">
      <c r="B16" s="145"/>
      <c r="F16" s="43"/>
      <c r="G16" s="43"/>
      <c r="H16" s="43"/>
      <c r="I16" s="43"/>
      <c r="J16" s="43"/>
    </row>
    <row r="17" spans="2:11">
      <c r="B17" s="145">
        <v>4</v>
      </c>
      <c r="D17" s="20" t="s">
        <v>149</v>
      </c>
      <c r="E17" s="20"/>
      <c r="F17" s="79">
        <f>+'Sch 1.2'!$F$18</f>
        <v>0.05</v>
      </c>
      <c r="G17" s="21"/>
      <c r="H17" s="21"/>
      <c r="I17" s="21"/>
      <c r="J17" s="79">
        <f>+'Sch 1.2'!$J$18</f>
        <v>0.05</v>
      </c>
      <c r="K17" s="4"/>
    </row>
    <row r="18" spans="2:11" ht="14" thickBot="1">
      <c r="B18" s="145">
        <v>5</v>
      </c>
      <c r="D18" s="20" t="s">
        <v>150</v>
      </c>
      <c r="E18" s="20"/>
      <c r="F18" s="47">
        <f>ROUND(-F17*F15,0)</f>
        <v>-33797</v>
      </c>
      <c r="G18" s="4"/>
      <c r="H18" s="47">
        <f>+J18-F18</f>
        <v>16898</v>
      </c>
      <c r="I18" s="38"/>
      <c r="J18" s="47">
        <f>ROUND(-J17*J15,0)</f>
        <v>-16899</v>
      </c>
      <c r="K18" s="4"/>
    </row>
    <row r="19" spans="2:11" ht="14" thickTop="1">
      <c r="B19" s="145"/>
      <c r="D19" s="20"/>
      <c r="E19" s="20"/>
      <c r="F19" s="19"/>
      <c r="J19" s="19"/>
    </row>
    <row r="20" spans="2:11">
      <c r="B20" s="145">
        <v>6</v>
      </c>
      <c r="D20" s="20" t="s">
        <v>33</v>
      </c>
      <c r="E20" s="20"/>
      <c r="F20" s="19">
        <f>+F15+F18</f>
        <v>642147.73963868234</v>
      </c>
      <c r="J20" s="19">
        <f>+J15+J18</f>
        <v>321073.36981934117</v>
      </c>
    </row>
    <row r="21" spans="2:11">
      <c r="B21" s="145">
        <v>7</v>
      </c>
      <c r="D21" s="20" t="s">
        <v>32</v>
      </c>
      <c r="E21" s="20"/>
      <c r="F21" s="48">
        <f>+'Sch 1.2'!$F$22</f>
        <v>0.21</v>
      </c>
      <c r="J21" s="48">
        <f>+'Sch 1.2'!$F$22</f>
        <v>0.21</v>
      </c>
    </row>
    <row r="22" spans="2:11" ht="14" thickBot="1">
      <c r="B22" s="145">
        <v>8</v>
      </c>
      <c r="D22" s="26" t="s">
        <v>151</v>
      </c>
      <c r="F22" s="47">
        <f>ROUND(-F21*F20,0)</f>
        <v>-134851</v>
      </c>
      <c r="G22" s="4"/>
      <c r="H22" s="47">
        <f>+J22-F22</f>
        <v>67426</v>
      </c>
      <c r="I22" s="38"/>
      <c r="J22" s="47">
        <f>ROUND(-J21*J20,0)</f>
        <v>-67425</v>
      </c>
    </row>
    <row r="23" spans="2:11" ht="15" thickTop="1" thickBot="1">
      <c r="B23" s="145">
        <v>9</v>
      </c>
      <c r="D23" s="93"/>
      <c r="E23" s="137"/>
      <c r="F23" s="49"/>
      <c r="G23" s="4"/>
      <c r="H23" s="38"/>
      <c r="I23" s="38"/>
      <c r="J23" s="49"/>
    </row>
    <row r="24" spans="2:11" ht="14" thickBot="1">
      <c r="B24" s="145">
        <v>10</v>
      </c>
      <c r="D24" s="93" t="s">
        <v>152</v>
      </c>
      <c r="E24" s="137"/>
      <c r="F24" s="47">
        <f>+F18+F22</f>
        <v>-168648</v>
      </c>
      <c r="G24" s="4"/>
      <c r="H24" s="138">
        <f>+J24-F24</f>
        <v>84324</v>
      </c>
      <c r="I24" s="38"/>
      <c r="J24" s="47">
        <f>+J18+J22</f>
        <v>-84324</v>
      </c>
      <c r="K24" s="139"/>
    </row>
    <row r="25" spans="2:11" ht="14" thickTop="1">
      <c r="B25" s="145"/>
      <c r="D25" s="137"/>
      <c r="E25" s="137"/>
      <c r="F25" s="50"/>
      <c r="G25" s="4"/>
      <c r="H25" s="38"/>
      <c r="I25" s="38"/>
      <c r="J25" s="50"/>
      <c r="K25" s="4"/>
    </row>
    <row r="26" spans="2:11" ht="14" thickBot="1">
      <c r="B26" s="145">
        <v>11</v>
      </c>
      <c r="D26" s="137" t="s">
        <v>2</v>
      </c>
      <c r="E26" s="137"/>
      <c r="F26" s="193">
        <f>-F15-F24</f>
        <v>-507296.73963868234</v>
      </c>
      <c r="G26" s="4"/>
      <c r="H26" s="47">
        <f>-H15-H24</f>
        <v>253648.36981934117</v>
      </c>
      <c r="I26" s="38"/>
      <c r="J26" s="193">
        <f>-J15-J24</f>
        <v>-253648.36981934117</v>
      </c>
    </row>
    <row r="27" spans="2:11" ht="14" thickTop="1">
      <c r="B27" s="145"/>
      <c r="C27" s="309"/>
      <c r="D27" s="11"/>
      <c r="E27" s="309"/>
      <c r="F27" s="309"/>
      <c r="G27" s="309"/>
      <c r="H27" s="309"/>
      <c r="I27" s="309"/>
      <c r="J27" s="5"/>
      <c r="K27" s="4"/>
    </row>
    <row r="29" spans="2:11">
      <c r="B29" s="108" t="s">
        <v>79</v>
      </c>
      <c r="C29" s="69"/>
      <c r="D29" s="69"/>
      <c r="E29" s="69"/>
      <c r="F29" s="69"/>
      <c r="G29" s="69"/>
      <c r="H29" s="69"/>
      <c r="I29" s="69"/>
      <c r="J29" s="69"/>
    </row>
    <row r="30" spans="2:11" s="34" customFormat="1">
      <c r="B30" s="63" t="s">
        <v>247</v>
      </c>
      <c r="F30" s="43"/>
      <c r="G30" s="43"/>
      <c r="H30" s="43"/>
      <c r="I30" s="43"/>
      <c r="J30" s="43"/>
    </row>
    <row r="31" spans="2:11" s="34" customFormat="1">
      <c r="B31" s="63"/>
      <c r="F31" s="43"/>
      <c r="G31" s="43"/>
      <c r="H31" s="43"/>
      <c r="I31" s="43"/>
      <c r="J31" s="43"/>
    </row>
    <row r="32" spans="2:11" s="34" customFormat="1" ht="26" customHeight="1">
      <c r="B32" s="451" t="s">
        <v>228</v>
      </c>
      <c r="C32" s="451"/>
      <c r="D32" s="451"/>
      <c r="E32" s="451"/>
      <c r="F32" s="451"/>
      <c r="G32" s="451"/>
      <c r="H32" s="451"/>
      <c r="I32" s="451"/>
      <c r="J32" s="451"/>
    </row>
    <row r="33" spans="2:10" s="34" customFormat="1">
      <c r="B33" s="63"/>
      <c r="C33" s="32"/>
      <c r="D33" s="32"/>
      <c r="E33" s="32"/>
      <c r="F33" s="32"/>
      <c r="G33" s="32"/>
      <c r="H33" s="32"/>
      <c r="I33" s="32"/>
      <c r="J33" s="32"/>
    </row>
    <row r="34" spans="2:10">
      <c r="D34" s="26" t="s">
        <v>229</v>
      </c>
    </row>
    <row r="35" spans="2:10">
      <c r="D35" s="26" t="s">
        <v>230</v>
      </c>
      <c r="F35" s="9">
        <f>+F55</f>
        <v>15998</v>
      </c>
      <c r="H35" s="74">
        <f>+F35/F37</f>
        <v>0.56670208997520366</v>
      </c>
    </row>
    <row r="36" spans="2:10">
      <c r="D36" s="26" t="s">
        <v>231</v>
      </c>
      <c r="F36" s="9">
        <f>+H55</f>
        <v>12232</v>
      </c>
      <c r="H36" s="74">
        <f>+F36/F37</f>
        <v>0.43329791002479634</v>
      </c>
    </row>
    <row r="37" spans="2:10" ht="14" thickBot="1">
      <c r="D37" s="26"/>
      <c r="F37" s="319">
        <f>SUM(F35:F36)</f>
        <v>28230</v>
      </c>
      <c r="H37" s="320">
        <f>SUM(H35:H36)</f>
        <v>1</v>
      </c>
    </row>
    <row r="38" spans="2:10" ht="14" thickTop="1"/>
    <row r="40" spans="2:10" ht="14" thickBot="1">
      <c r="D40" s="307" t="s">
        <v>232</v>
      </c>
      <c r="F40" s="307" t="s">
        <v>230</v>
      </c>
      <c r="H40" s="307" t="s">
        <v>231</v>
      </c>
      <c r="J40" s="307" t="s">
        <v>15</v>
      </c>
    </row>
    <row r="41" spans="2:10">
      <c r="D41" s="26" t="s">
        <v>233</v>
      </c>
      <c r="F41" s="9">
        <v>320</v>
      </c>
      <c r="G41" s="9"/>
      <c r="H41" s="9">
        <v>0</v>
      </c>
      <c r="J41" s="200">
        <f>+F41+H41</f>
        <v>320</v>
      </c>
    </row>
    <row r="42" spans="2:10">
      <c r="D42" s="26" t="s">
        <v>234</v>
      </c>
      <c r="F42" s="9">
        <v>661</v>
      </c>
      <c r="G42" s="9"/>
      <c r="H42" s="9">
        <v>0</v>
      </c>
      <c r="J42" s="200">
        <f t="shared" ref="J42:J54" si="0">+F42+H42</f>
        <v>661</v>
      </c>
    </row>
    <row r="43" spans="2:10">
      <c r="D43" s="26" t="s">
        <v>235</v>
      </c>
      <c r="F43" s="9">
        <v>1260</v>
      </c>
      <c r="G43" s="9"/>
      <c r="H43" s="9">
        <v>0</v>
      </c>
      <c r="J43" s="200">
        <f t="shared" si="0"/>
        <v>1260</v>
      </c>
    </row>
    <row r="44" spans="2:10">
      <c r="D44" s="26" t="s">
        <v>236</v>
      </c>
      <c r="F44" s="9">
        <v>2898</v>
      </c>
      <c r="G44" s="9"/>
      <c r="H44" s="9">
        <v>0</v>
      </c>
      <c r="J44" s="200">
        <f t="shared" si="0"/>
        <v>2898</v>
      </c>
    </row>
    <row r="45" spans="2:10">
      <c r="D45" s="26" t="s">
        <v>237</v>
      </c>
      <c r="F45" s="9">
        <v>3241</v>
      </c>
      <c r="G45" s="9"/>
      <c r="H45" s="9">
        <v>0</v>
      </c>
      <c r="J45" s="200">
        <f t="shared" si="0"/>
        <v>3241</v>
      </c>
    </row>
    <row r="46" spans="2:10">
      <c r="D46" s="26" t="s">
        <v>238</v>
      </c>
      <c r="F46" s="9">
        <v>2276</v>
      </c>
      <c r="G46" s="9"/>
      <c r="H46" s="9">
        <v>0</v>
      </c>
      <c r="J46" s="200">
        <f t="shared" si="0"/>
        <v>2276</v>
      </c>
    </row>
    <row r="47" spans="2:10">
      <c r="D47" s="26" t="s">
        <v>239</v>
      </c>
      <c r="F47" s="9">
        <v>2714</v>
      </c>
      <c r="G47" s="9"/>
      <c r="H47" s="9">
        <v>0</v>
      </c>
      <c r="J47" s="200">
        <f t="shared" si="0"/>
        <v>2714</v>
      </c>
    </row>
    <row r="48" spans="2:10">
      <c r="D48" s="26" t="s">
        <v>240</v>
      </c>
      <c r="F48" s="9">
        <v>0</v>
      </c>
      <c r="G48" s="9"/>
      <c r="H48" s="9">
        <v>1990</v>
      </c>
      <c r="J48" s="200">
        <f t="shared" si="0"/>
        <v>1990</v>
      </c>
    </row>
    <row r="49" spans="4:10">
      <c r="D49" s="26" t="s">
        <v>241</v>
      </c>
      <c r="F49" s="9">
        <v>0</v>
      </c>
      <c r="G49" s="9"/>
      <c r="H49" s="9">
        <v>1490</v>
      </c>
      <c r="J49" s="200">
        <f t="shared" si="0"/>
        <v>1490</v>
      </c>
    </row>
    <row r="50" spans="4:10">
      <c r="D50" s="26" t="s">
        <v>242</v>
      </c>
      <c r="F50" s="9">
        <v>0</v>
      </c>
      <c r="G50" s="9"/>
      <c r="H50" s="9">
        <v>2476</v>
      </c>
      <c r="J50" s="200">
        <f t="shared" si="0"/>
        <v>2476</v>
      </c>
    </row>
    <row r="51" spans="4:10">
      <c r="D51" s="26" t="s">
        <v>243</v>
      </c>
      <c r="F51" s="9">
        <v>0</v>
      </c>
      <c r="G51" s="9"/>
      <c r="H51" s="9">
        <v>2641</v>
      </c>
      <c r="J51" s="200">
        <f t="shared" si="0"/>
        <v>2641</v>
      </c>
    </row>
    <row r="52" spans="4:10">
      <c r="D52" s="26" t="s">
        <v>244</v>
      </c>
      <c r="F52" s="9">
        <v>243</v>
      </c>
      <c r="G52" s="9"/>
      <c r="H52" s="9">
        <v>558</v>
      </c>
      <c r="J52" s="200">
        <f t="shared" si="0"/>
        <v>801</v>
      </c>
    </row>
    <row r="53" spans="4:10">
      <c r="D53" s="26" t="s">
        <v>245</v>
      </c>
      <c r="F53" s="9">
        <v>0</v>
      </c>
      <c r="G53" s="9"/>
      <c r="H53" s="9">
        <v>2518</v>
      </c>
      <c r="J53" s="200">
        <f t="shared" si="0"/>
        <v>2518</v>
      </c>
    </row>
    <row r="54" spans="4:10">
      <c r="D54" s="26" t="s">
        <v>246</v>
      </c>
      <c r="F54" s="9">
        <v>2385</v>
      </c>
      <c r="G54" s="9"/>
      <c r="H54" s="9">
        <v>559</v>
      </c>
      <c r="J54" s="200">
        <f t="shared" si="0"/>
        <v>2944</v>
      </c>
    </row>
    <row r="55" spans="4:10" ht="14" thickBot="1">
      <c r="F55" s="325">
        <f>SUM(F41:F54)</f>
        <v>15998</v>
      </c>
      <c r="G55" s="9"/>
      <c r="H55" s="325">
        <f>SUM(H41:H54)</f>
        <v>12232</v>
      </c>
      <c r="J55" s="325">
        <f>SUM(J41:J54)</f>
        <v>28230</v>
      </c>
    </row>
    <row r="56" spans="4:10" ht="14" thickTop="1"/>
  </sheetData>
  <mergeCells count="2">
    <mergeCell ref="B1:J1"/>
    <mergeCell ref="B32:J32"/>
  </mergeCells>
  <pageMargins left="0.7" right="0.7" top="0.75" bottom="0.75" header="0.3" footer="0.3"/>
  <pageSetup scale="90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D3CA-0FAF-354B-9EB3-8BDD0EB8C197}">
  <sheetPr codeName="Sheet17">
    <pageSetUpPr fitToPage="1"/>
  </sheetPr>
  <dimension ref="B1:K38"/>
  <sheetViews>
    <sheetView workbookViewId="0">
      <selection activeCell="D44" sqref="D44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341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 t="s">
        <v>56</v>
      </c>
    </row>
    <row r="7" spans="2:11">
      <c r="B7" s="34" t="s">
        <v>167</v>
      </c>
    </row>
    <row r="8" spans="2:11">
      <c r="B8" s="26"/>
    </row>
    <row r="9" spans="2:11">
      <c r="B9" s="11"/>
      <c r="C9" s="11"/>
      <c r="D9" s="11"/>
      <c r="E9" s="11"/>
      <c r="F9" s="264" t="s">
        <v>19</v>
      </c>
      <c r="G9" s="11"/>
      <c r="H9" s="264"/>
      <c r="I9" s="11"/>
      <c r="J9" s="264" t="s">
        <v>25</v>
      </c>
    </row>
    <row r="10" spans="2:11" ht="14" thickBot="1">
      <c r="B10" s="263" t="s">
        <v>18</v>
      </c>
      <c r="C10" s="264"/>
      <c r="D10" s="263" t="s">
        <v>17</v>
      </c>
      <c r="E10" s="264"/>
      <c r="F10" s="263" t="s">
        <v>65</v>
      </c>
      <c r="G10" s="264"/>
      <c r="H10" s="263" t="s">
        <v>20</v>
      </c>
      <c r="I10" s="264"/>
      <c r="J10" s="263" t="s">
        <v>26</v>
      </c>
    </row>
    <row r="11" spans="2:11">
      <c r="B11" s="264"/>
      <c r="C11" s="264"/>
      <c r="D11" s="11"/>
      <c r="E11" s="264"/>
      <c r="F11" s="264" t="s">
        <v>9</v>
      </c>
      <c r="G11" s="264"/>
      <c r="H11" s="264" t="s">
        <v>10</v>
      </c>
      <c r="I11" s="264"/>
      <c r="J11" s="5" t="s">
        <v>11</v>
      </c>
    </row>
    <row r="12" spans="2:11">
      <c r="B12" s="264"/>
      <c r="C12" s="264"/>
      <c r="D12" s="11"/>
      <c r="E12" s="264"/>
      <c r="F12" s="264"/>
      <c r="G12" s="264"/>
      <c r="H12" s="264"/>
      <c r="I12" s="264"/>
      <c r="J12" s="5"/>
    </row>
    <row r="13" spans="2:11">
      <c r="B13" s="110">
        <v>1</v>
      </c>
      <c r="C13" s="309"/>
      <c r="D13" s="26" t="s">
        <v>167</v>
      </c>
      <c r="E13" s="309"/>
      <c r="F13" s="198">
        <v>242837</v>
      </c>
      <c r="G13" s="309"/>
      <c r="H13" s="309"/>
      <c r="I13" s="309"/>
      <c r="J13" s="5"/>
    </row>
    <row r="14" spans="2:11" ht="14" thickBot="1">
      <c r="B14" s="110">
        <v>2</v>
      </c>
      <c r="C14" s="309"/>
      <c r="D14" s="26" t="s">
        <v>608</v>
      </c>
      <c r="E14" s="309"/>
      <c r="F14" s="224">
        <f>+F38</f>
        <v>0.9877813151484276</v>
      </c>
      <c r="G14" s="309"/>
      <c r="H14" s="309"/>
      <c r="I14" s="309"/>
      <c r="J14" s="439"/>
    </row>
    <row r="15" spans="2:11" s="34" customFormat="1" ht="14" thickBot="1">
      <c r="B15" s="110">
        <v>3</v>
      </c>
      <c r="D15" s="26" t="s">
        <v>612</v>
      </c>
      <c r="E15" s="264"/>
      <c r="F15" s="198">
        <f>+F13*F14</f>
        <v>239869.85122669872</v>
      </c>
      <c r="G15" s="56"/>
      <c r="H15" s="190">
        <f>-F15</f>
        <v>-239869.85122669872</v>
      </c>
      <c r="I15" s="56"/>
      <c r="J15" s="198">
        <f>+F15+H15</f>
        <v>0</v>
      </c>
    </row>
    <row r="16" spans="2:11" s="34" customFormat="1">
      <c r="B16" s="110"/>
      <c r="F16" s="43"/>
      <c r="G16" s="43"/>
      <c r="H16" s="43"/>
      <c r="I16" s="43"/>
      <c r="J16" s="43"/>
    </row>
    <row r="17" spans="2:11">
      <c r="B17" s="110">
        <v>4</v>
      </c>
      <c r="D17" s="20" t="s">
        <v>149</v>
      </c>
      <c r="E17" s="20"/>
      <c r="F17" s="79">
        <f>+'Sch 1.2'!$F$18</f>
        <v>0.05</v>
      </c>
      <c r="G17" s="21"/>
      <c r="H17" s="21"/>
      <c r="I17" s="21"/>
      <c r="J17" s="79">
        <f>+'Sch 1.2'!$J$18</f>
        <v>0.05</v>
      </c>
      <c r="K17" s="4"/>
    </row>
    <row r="18" spans="2:11" ht="14" thickBot="1">
      <c r="B18" s="110">
        <v>5</v>
      </c>
      <c r="D18" s="20" t="s">
        <v>150</v>
      </c>
      <c r="E18" s="20"/>
      <c r="F18" s="47">
        <f>ROUND(-F17*F15,0)</f>
        <v>-11993</v>
      </c>
      <c r="G18" s="4"/>
      <c r="H18" s="47">
        <f>+J18-F18</f>
        <v>11993</v>
      </c>
      <c r="I18" s="38"/>
      <c r="J18" s="47">
        <f>ROUND(-J17*J15,0)</f>
        <v>0</v>
      </c>
      <c r="K18" s="4"/>
    </row>
    <row r="19" spans="2:11" ht="14" thickTop="1">
      <c r="B19" s="110"/>
      <c r="D19" s="20"/>
      <c r="E19" s="20"/>
      <c r="F19" s="19"/>
      <c r="J19" s="19"/>
    </row>
    <row r="20" spans="2:11">
      <c r="B20" s="110">
        <v>6</v>
      </c>
      <c r="D20" s="20" t="s">
        <v>33</v>
      </c>
      <c r="E20" s="20"/>
      <c r="F20" s="19">
        <f>+F15+F18</f>
        <v>227876.85122669872</v>
      </c>
      <c r="J20" s="19">
        <f>+J15+J18</f>
        <v>0</v>
      </c>
    </row>
    <row r="21" spans="2:11">
      <c r="B21" s="110">
        <v>7</v>
      </c>
      <c r="D21" s="20" t="s">
        <v>32</v>
      </c>
      <c r="E21" s="20"/>
      <c r="F21" s="48">
        <f>+'Sch 1.2'!$F$22</f>
        <v>0.21</v>
      </c>
      <c r="J21" s="48">
        <f>+'Sch 1.2'!$F$22</f>
        <v>0.21</v>
      </c>
    </row>
    <row r="22" spans="2:11" ht="14" thickBot="1">
      <c r="B22" s="110">
        <v>8</v>
      </c>
      <c r="D22" s="26" t="s">
        <v>151</v>
      </c>
      <c r="F22" s="193">
        <f>ROUND(-F21*F20,0)</f>
        <v>-47854</v>
      </c>
      <c r="G22" s="22"/>
      <c r="H22" s="193">
        <f>+J22-F22</f>
        <v>47854</v>
      </c>
      <c r="I22" s="276"/>
      <c r="J22" s="193">
        <f>ROUND(-J21*J20,0)</f>
        <v>0</v>
      </c>
    </row>
    <row r="23" spans="2:11" ht="15" thickTop="1" thickBot="1">
      <c r="B23" s="110"/>
      <c r="D23" s="93"/>
      <c r="E23" s="137"/>
      <c r="F23" s="277"/>
      <c r="G23" s="22"/>
      <c r="H23" s="276"/>
      <c r="I23" s="276"/>
      <c r="J23" s="277"/>
    </row>
    <row r="24" spans="2:11" ht="14" thickBot="1">
      <c r="B24" s="110">
        <v>9</v>
      </c>
      <c r="D24" s="93" t="s">
        <v>152</v>
      </c>
      <c r="E24" s="137"/>
      <c r="F24" s="193">
        <f>+F18+F22</f>
        <v>-59847</v>
      </c>
      <c r="G24" s="22"/>
      <c r="H24" s="278">
        <f>+J24-F24</f>
        <v>59847</v>
      </c>
      <c r="I24" s="276"/>
      <c r="J24" s="193">
        <f>+J18+J22</f>
        <v>0</v>
      </c>
      <c r="K24" s="139"/>
    </row>
    <row r="25" spans="2:11" ht="14" thickTop="1">
      <c r="B25" s="110"/>
      <c r="D25" s="137"/>
      <c r="E25" s="137"/>
      <c r="F25" s="279"/>
      <c r="G25" s="22"/>
      <c r="H25" s="276"/>
      <c r="I25" s="276"/>
      <c r="J25" s="279"/>
      <c r="K25" s="4"/>
    </row>
    <row r="26" spans="2:11" ht="14" thickBot="1">
      <c r="B26" s="110">
        <v>10</v>
      </c>
      <c r="D26" s="137" t="s">
        <v>2</v>
      </c>
      <c r="E26" s="137"/>
      <c r="F26" s="193">
        <f>-F15-F24</f>
        <v>-180022.85122669872</v>
      </c>
      <c r="G26" s="22"/>
      <c r="H26" s="193">
        <f>-H15-H24</f>
        <v>180022.85122669872</v>
      </c>
      <c r="I26" s="276"/>
      <c r="J26" s="193">
        <f>-J15-J24</f>
        <v>0</v>
      </c>
    </row>
    <row r="27" spans="2:11" ht="14" thickTop="1">
      <c r="B27" s="110"/>
      <c r="C27" s="264"/>
      <c r="D27" s="11"/>
      <c r="E27" s="264"/>
      <c r="F27" s="264"/>
      <c r="G27" s="264"/>
      <c r="H27" s="264"/>
      <c r="I27" s="264"/>
      <c r="J27" s="5"/>
      <c r="K27" s="4"/>
    </row>
    <row r="29" spans="2:11">
      <c r="B29" s="108" t="s">
        <v>79</v>
      </c>
      <c r="C29" s="69"/>
      <c r="D29" s="69"/>
      <c r="E29" s="69"/>
      <c r="F29" s="69"/>
      <c r="G29" s="69"/>
      <c r="H29" s="69"/>
      <c r="I29" s="69"/>
      <c r="J29" s="69"/>
    </row>
    <row r="30" spans="2:11" s="34" customFormat="1">
      <c r="B30" s="63" t="s">
        <v>169</v>
      </c>
      <c r="F30" s="43"/>
      <c r="G30" s="43"/>
      <c r="H30" s="43"/>
      <c r="I30" s="43"/>
      <c r="J30" s="43"/>
    </row>
    <row r="31" spans="2:11" s="34" customFormat="1">
      <c r="B31" s="63" t="s">
        <v>168</v>
      </c>
      <c r="F31" s="43"/>
      <c r="G31" s="43"/>
      <c r="H31" s="43"/>
      <c r="I31" s="43"/>
      <c r="J31" s="43"/>
    </row>
    <row r="32" spans="2:11">
      <c r="B32" s="65" t="s">
        <v>170</v>
      </c>
    </row>
    <row r="33" spans="2:10">
      <c r="B33" s="65"/>
    </row>
    <row r="34" spans="2:10" ht="14" thickBot="1">
      <c r="D34" s="183"/>
      <c r="F34" s="311" t="s">
        <v>606</v>
      </c>
      <c r="G34" s="309"/>
      <c r="H34" s="311" t="s">
        <v>607</v>
      </c>
      <c r="J34" s="311" t="s">
        <v>611</v>
      </c>
    </row>
    <row r="35" spans="2:10">
      <c r="D35" s="183" t="s">
        <v>609</v>
      </c>
      <c r="F35" s="9">
        <v>35470297</v>
      </c>
      <c r="G35" s="9"/>
      <c r="H35" s="9">
        <v>10258</v>
      </c>
      <c r="J35" s="200">
        <f>+F35+H35</f>
        <v>35480555</v>
      </c>
    </row>
    <row r="36" spans="2:10">
      <c r="D36" s="183" t="s">
        <v>610</v>
      </c>
      <c r="F36" s="6">
        <v>7137329</v>
      </c>
      <c r="G36" s="9"/>
      <c r="H36" s="6">
        <v>516791</v>
      </c>
      <c r="J36" s="116">
        <f t="shared" ref="J36:J37" si="0">+F36+H36</f>
        <v>7654120</v>
      </c>
    </row>
    <row r="37" spans="2:10">
      <c r="F37" s="200">
        <f>+F35+F36</f>
        <v>42607626</v>
      </c>
      <c r="H37" s="200">
        <f>+H35+H36</f>
        <v>527049</v>
      </c>
      <c r="J37" s="200">
        <f t="shared" si="0"/>
        <v>43134675</v>
      </c>
    </row>
    <row r="38" spans="2:10">
      <c r="F38" s="92">
        <f>+F37/J37</f>
        <v>0.9877813151484276</v>
      </c>
      <c r="H38" s="92">
        <f>+H37/J37</f>
        <v>1.2218684851572429E-2</v>
      </c>
    </row>
  </sheetData>
  <mergeCells count="1">
    <mergeCell ref="B1:J1"/>
  </mergeCells>
  <pageMargins left="0.7" right="0.7" top="0.75" bottom="0.75" header="0.3" footer="0.3"/>
  <pageSetup scale="79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9E94-DF05-4C4B-9D4D-18651FBB486A}">
  <sheetPr>
    <pageSetUpPr fitToPage="1"/>
  </sheetPr>
  <dimension ref="B1:K38"/>
  <sheetViews>
    <sheetView workbookViewId="0">
      <selection activeCell="D45" sqref="D45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198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 t="s">
        <v>57</v>
      </c>
    </row>
    <row r="7" spans="2:11">
      <c r="B7" s="26" t="s">
        <v>252</v>
      </c>
    </row>
    <row r="8" spans="2:11">
      <c r="B8" s="26"/>
    </row>
    <row r="9" spans="2:11">
      <c r="B9" s="11"/>
      <c r="C9" s="11"/>
      <c r="D9" s="11"/>
      <c r="E9" s="11"/>
      <c r="F9" s="309" t="s">
        <v>19</v>
      </c>
      <c r="G9" s="11"/>
      <c r="H9" s="309"/>
      <c r="I9" s="11"/>
      <c r="J9" s="309" t="s">
        <v>25</v>
      </c>
    </row>
    <row r="10" spans="2:11" ht="14" thickBot="1">
      <c r="B10" s="307" t="s">
        <v>18</v>
      </c>
      <c r="C10" s="309"/>
      <c r="D10" s="307" t="s">
        <v>17</v>
      </c>
      <c r="E10" s="309"/>
      <c r="F10" s="307" t="s">
        <v>65</v>
      </c>
      <c r="G10" s="309"/>
      <c r="H10" s="307" t="s">
        <v>20</v>
      </c>
      <c r="I10" s="309"/>
      <c r="J10" s="307" t="s">
        <v>26</v>
      </c>
    </row>
    <row r="11" spans="2:11">
      <c r="B11" s="309"/>
      <c r="C11" s="309"/>
      <c r="D11" s="11"/>
      <c r="E11" s="309"/>
      <c r="F11" s="309" t="s">
        <v>9</v>
      </c>
      <c r="G11" s="309"/>
      <c r="H11" s="309" t="s">
        <v>10</v>
      </c>
      <c r="I11" s="309"/>
      <c r="J11" s="5" t="s">
        <v>11</v>
      </c>
    </row>
    <row r="12" spans="2:11">
      <c r="B12" s="309"/>
      <c r="C12" s="309"/>
      <c r="D12" s="11"/>
      <c r="E12" s="309"/>
      <c r="F12" s="309"/>
      <c r="G12" s="309"/>
      <c r="H12" s="309"/>
      <c r="I12" s="309"/>
      <c r="J12" s="5"/>
    </row>
    <row r="13" spans="2:11">
      <c r="B13" s="145">
        <v>1</v>
      </c>
      <c r="C13" s="309"/>
      <c r="D13" s="26" t="s">
        <v>252</v>
      </c>
      <c r="E13" s="309"/>
      <c r="F13" s="198">
        <v>990283</v>
      </c>
      <c r="G13" s="309"/>
      <c r="H13" s="309"/>
      <c r="I13" s="309"/>
      <c r="J13" s="5"/>
    </row>
    <row r="14" spans="2:11" ht="14" thickBot="1">
      <c r="B14" s="145">
        <v>2</v>
      </c>
      <c r="C14" s="309"/>
      <c r="D14" s="26" t="s">
        <v>221</v>
      </c>
      <c r="E14" s="309"/>
      <c r="F14" s="321">
        <f>+H35</f>
        <v>0.55739888839297225</v>
      </c>
      <c r="G14" s="309"/>
      <c r="H14" s="309"/>
      <c r="I14" s="309"/>
      <c r="J14" s="439"/>
    </row>
    <row r="15" spans="2:11" s="34" customFormat="1" ht="14" thickBot="1">
      <c r="B15" s="145">
        <v>3</v>
      </c>
      <c r="D15" s="26" t="s">
        <v>253</v>
      </c>
      <c r="E15" s="309"/>
      <c r="F15" s="198">
        <f>+F13*F14</f>
        <v>551982.64339445776</v>
      </c>
      <c r="G15" s="56"/>
      <c r="H15" s="190">
        <f>-F15</f>
        <v>-551982.64339445776</v>
      </c>
      <c r="I15" s="56"/>
      <c r="J15" s="198">
        <f>+F15+H15</f>
        <v>0</v>
      </c>
    </row>
    <row r="16" spans="2:11" s="34" customFormat="1">
      <c r="B16" s="145"/>
      <c r="F16" s="43"/>
      <c r="G16" s="43"/>
      <c r="H16" s="43"/>
      <c r="I16" s="43"/>
      <c r="J16" s="43"/>
    </row>
    <row r="17" spans="2:11">
      <c r="B17" s="145">
        <v>4</v>
      </c>
      <c r="D17" s="20" t="s">
        <v>149</v>
      </c>
      <c r="E17" s="20"/>
      <c r="F17" s="79">
        <f>+'Sch 1.2'!$F$18</f>
        <v>0.05</v>
      </c>
      <c r="G17" s="21"/>
      <c r="H17" s="21"/>
      <c r="I17" s="21"/>
      <c r="J17" s="79">
        <f>+'Sch 1.2'!$J$18</f>
        <v>0.05</v>
      </c>
      <c r="K17" s="4"/>
    </row>
    <row r="18" spans="2:11" ht="14" thickBot="1">
      <c r="B18" s="145">
        <v>5</v>
      </c>
      <c r="D18" s="20" t="s">
        <v>150</v>
      </c>
      <c r="E18" s="20"/>
      <c r="F18" s="47">
        <f>ROUND(-F17*F15,0)</f>
        <v>-27599</v>
      </c>
      <c r="G18" s="4"/>
      <c r="H18" s="47">
        <f>+J18-F18</f>
        <v>27599</v>
      </c>
      <c r="I18" s="38"/>
      <c r="J18" s="47">
        <f>ROUND(-J17*J15,0)</f>
        <v>0</v>
      </c>
      <c r="K18" s="4"/>
    </row>
    <row r="19" spans="2:11" ht="14" thickTop="1">
      <c r="B19" s="145"/>
      <c r="D19" s="20"/>
      <c r="E19" s="20"/>
      <c r="F19" s="19"/>
      <c r="J19" s="19"/>
    </row>
    <row r="20" spans="2:11">
      <c r="B20" s="145">
        <v>6</v>
      </c>
      <c r="D20" s="20" t="s">
        <v>33</v>
      </c>
      <c r="E20" s="20"/>
      <c r="F20" s="19">
        <f>+F15+F18</f>
        <v>524383.64339445776</v>
      </c>
      <c r="J20" s="19">
        <f>+J15+J18</f>
        <v>0</v>
      </c>
    </row>
    <row r="21" spans="2:11">
      <c r="B21" s="145">
        <v>7</v>
      </c>
      <c r="D21" s="20" t="s">
        <v>32</v>
      </c>
      <c r="E21" s="20"/>
      <c r="F21" s="48">
        <f>+'Sch 1.2'!$F$22</f>
        <v>0.21</v>
      </c>
      <c r="J21" s="48">
        <f>+'Sch 1.2'!$F$22</f>
        <v>0.21</v>
      </c>
    </row>
    <row r="22" spans="2:11" ht="14" thickBot="1">
      <c r="B22" s="145">
        <v>8</v>
      </c>
      <c r="D22" s="26" t="s">
        <v>151</v>
      </c>
      <c r="F22" s="47">
        <f>ROUND(-F21*F20,0)</f>
        <v>-110121</v>
      </c>
      <c r="G22" s="4"/>
      <c r="H22" s="47">
        <f>+J22-F22</f>
        <v>110121</v>
      </c>
      <c r="I22" s="38"/>
      <c r="J22" s="47">
        <f>ROUND(-J21*J20,0)</f>
        <v>0</v>
      </c>
    </row>
    <row r="23" spans="2:11" ht="15" thickTop="1" thickBot="1">
      <c r="B23" s="145"/>
      <c r="D23" s="93"/>
      <c r="E23" s="137"/>
      <c r="F23" s="49"/>
      <c r="G23" s="4"/>
      <c r="H23" s="38"/>
      <c r="I23" s="38"/>
      <c r="J23" s="49"/>
    </row>
    <row r="24" spans="2:11" ht="14" thickBot="1">
      <c r="B24" s="145">
        <v>9</v>
      </c>
      <c r="D24" s="93" t="s">
        <v>152</v>
      </c>
      <c r="E24" s="137"/>
      <c r="F24" s="47">
        <f>+F18+F22</f>
        <v>-137720</v>
      </c>
      <c r="G24" s="4"/>
      <c r="H24" s="138">
        <f>+J24-F24</f>
        <v>137720</v>
      </c>
      <c r="I24" s="38"/>
      <c r="J24" s="47">
        <f>+J18+J22</f>
        <v>0</v>
      </c>
      <c r="K24" s="139"/>
    </row>
    <row r="25" spans="2:11" ht="14" thickTop="1">
      <c r="B25" s="145"/>
      <c r="D25" s="137"/>
      <c r="E25" s="137"/>
      <c r="F25" s="50"/>
      <c r="G25" s="4"/>
      <c r="H25" s="38"/>
      <c r="I25" s="38"/>
      <c r="J25" s="50"/>
      <c r="K25" s="4"/>
    </row>
    <row r="26" spans="2:11" ht="14" thickBot="1">
      <c r="B26" s="145">
        <v>10</v>
      </c>
      <c r="D26" s="137" t="s">
        <v>2</v>
      </c>
      <c r="E26" s="137"/>
      <c r="F26" s="193">
        <f>-F15-F24</f>
        <v>-414262.64339445776</v>
      </c>
      <c r="G26" s="4"/>
      <c r="H26" s="47">
        <f>-H15-H24</f>
        <v>414262.64339445776</v>
      </c>
      <c r="I26" s="38"/>
      <c r="J26" s="193">
        <f>-J15-J24</f>
        <v>0</v>
      </c>
    </row>
    <row r="27" spans="2:11" ht="14" thickTop="1">
      <c r="B27" s="145"/>
      <c r="C27" s="309"/>
      <c r="D27" s="11"/>
      <c r="E27" s="309"/>
      <c r="F27" s="309"/>
      <c r="G27" s="309"/>
      <c r="H27" s="309"/>
      <c r="I27" s="309"/>
      <c r="J27" s="5"/>
      <c r="K27" s="4"/>
    </row>
    <row r="29" spans="2:11">
      <c r="B29" s="108" t="s">
        <v>79</v>
      </c>
      <c r="C29" s="69"/>
      <c r="D29" s="69"/>
      <c r="E29" s="69"/>
      <c r="F29" s="69"/>
      <c r="G29" s="69"/>
      <c r="H29" s="69"/>
      <c r="I29" s="69"/>
      <c r="J29" s="69"/>
    </row>
    <row r="30" spans="2:11" s="34" customFormat="1">
      <c r="B30" s="63" t="s">
        <v>251</v>
      </c>
      <c r="F30" s="43"/>
      <c r="G30" s="43"/>
      <c r="H30" s="43"/>
      <c r="I30" s="43"/>
      <c r="J30" s="43"/>
    </row>
    <row r="31" spans="2:11" s="34" customFormat="1">
      <c r="B31" s="63"/>
      <c r="F31" s="43"/>
      <c r="G31" s="43"/>
      <c r="H31" s="43"/>
      <c r="I31" s="43"/>
      <c r="J31" s="43"/>
    </row>
    <row r="32" spans="2:11" s="34" customFormat="1" ht="26" customHeight="1">
      <c r="B32" s="451" t="s">
        <v>254</v>
      </c>
      <c r="C32" s="451"/>
      <c r="D32" s="451"/>
      <c r="E32" s="451"/>
      <c r="F32" s="451"/>
      <c r="G32" s="451"/>
      <c r="H32" s="451"/>
      <c r="I32" s="451"/>
      <c r="J32" s="451"/>
    </row>
    <row r="33" spans="2:10" s="34" customFormat="1">
      <c r="B33" s="262"/>
      <c r="C33" s="262"/>
      <c r="D33" s="262"/>
      <c r="E33" s="262"/>
      <c r="F33" s="262"/>
      <c r="G33" s="262"/>
      <c r="H33" s="262"/>
      <c r="I33" s="262"/>
      <c r="J33" s="262"/>
    </row>
    <row r="34" spans="2:10">
      <c r="B34" s="63"/>
      <c r="D34" s="26" t="s">
        <v>220</v>
      </c>
    </row>
    <row r="35" spans="2:10">
      <c r="D35" s="26" t="s">
        <v>218</v>
      </c>
      <c r="F35" s="9">
        <v>410876</v>
      </c>
      <c r="H35" s="74">
        <f>+F35/F37</f>
        <v>0.55739888839297225</v>
      </c>
    </row>
    <row r="36" spans="2:10">
      <c r="D36" s="26" t="s">
        <v>219</v>
      </c>
      <c r="F36" s="9">
        <v>326255</v>
      </c>
      <c r="H36" s="74">
        <f>+F36/F37</f>
        <v>0.44260111160702781</v>
      </c>
    </row>
    <row r="37" spans="2:10" ht="14" thickBot="1">
      <c r="D37" s="26"/>
      <c r="F37" s="319">
        <f>SUM(F35:F36)</f>
        <v>737131</v>
      </c>
      <c r="H37" s="320">
        <f>SUM(H35:H36)</f>
        <v>1</v>
      </c>
    </row>
    <row r="38" spans="2:10" ht="14" thickTop="1"/>
  </sheetData>
  <mergeCells count="2">
    <mergeCell ref="B1:J1"/>
    <mergeCell ref="B32:J32"/>
  </mergeCells>
  <pageMargins left="0.7" right="0.7" top="0.75" bottom="0.75" header="0.3" footer="0.3"/>
  <pageSetup scale="89"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50EFD-4795-6B42-BFA2-A2F1F1900C92}">
  <sheetPr>
    <pageSetUpPr fitToPage="1"/>
  </sheetPr>
  <dimension ref="B1:L39"/>
  <sheetViews>
    <sheetView workbookViewId="0">
      <selection activeCell="P20" sqref="P20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2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2" ht="16">
      <c r="B2" s="159"/>
    </row>
    <row r="3" spans="2:12">
      <c r="B3" s="11" t="str">
        <f>+'Sch 1.1'!B3</f>
        <v>Kentucky Public Service Commission</v>
      </c>
      <c r="J3" s="183" t="str">
        <f>+'Sch 1.1'!J3</f>
        <v>Case No. 2018-00295</v>
      </c>
    </row>
    <row r="4" spans="2:12">
      <c r="I4" s="44"/>
      <c r="J4" s="35" t="s">
        <v>342</v>
      </c>
    </row>
    <row r="5" spans="2:12">
      <c r="B5" s="84" t="str">
        <f>+'Sch 1.1'!B5</f>
        <v>Louisville Gas and Electric Company–Electric</v>
      </c>
      <c r="I5" s="26"/>
      <c r="J5" s="35" t="s">
        <v>35</v>
      </c>
    </row>
    <row r="6" spans="2:12">
      <c r="B6" s="11" t="s">
        <v>58</v>
      </c>
    </row>
    <row r="7" spans="2:12">
      <c r="B7" s="26" t="s">
        <v>343</v>
      </c>
    </row>
    <row r="8" spans="2:12">
      <c r="B8" s="26"/>
    </row>
    <row r="9" spans="2:12">
      <c r="B9" s="11"/>
      <c r="C9" s="11"/>
      <c r="D9" s="11"/>
      <c r="E9" s="11"/>
      <c r="F9" s="309" t="s">
        <v>19</v>
      </c>
      <c r="G9" s="11"/>
      <c r="H9" s="309"/>
      <c r="I9" s="11"/>
      <c r="J9" s="309" t="s">
        <v>25</v>
      </c>
    </row>
    <row r="10" spans="2:12" ht="14" thickBot="1">
      <c r="B10" s="307" t="s">
        <v>18</v>
      </c>
      <c r="C10" s="309"/>
      <c r="D10" s="307" t="s">
        <v>17</v>
      </c>
      <c r="E10" s="309"/>
      <c r="F10" s="307" t="s">
        <v>65</v>
      </c>
      <c r="G10" s="309"/>
      <c r="H10" s="307" t="s">
        <v>20</v>
      </c>
      <c r="I10" s="309"/>
      <c r="J10" s="307" t="s">
        <v>26</v>
      </c>
    </row>
    <row r="11" spans="2:12">
      <c r="B11" s="309"/>
      <c r="C11" s="309"/>
      <c r="D11" s="11"/>
      <c r="E11" s="309"/>
      <c r="F11" s="309" t="s">
        <v>9</v>
      </c>
      <c r="G11" s="309"/>
      <c r="H11" s="309" t="s">
        <v>10</v>
      </c>
      <c r="I11" s="309"/>
      <c r="J11" s="5" t="s">
        <v>11</v>
      </c>
    </row>
    <row r="12" spans="2:12">
      <c r="B12" s="145"/>
      <c r="C12" s="309"/>
      <c r="D12" s="11"/>
      <c r="E12" s="309"/>
      <c r="F12" s="309"/>
      <c r="G12" s="309"/>
      <c r="H12" s="309"/>
      <c r="I12" s="309"/>
      <c r="J12" s="5"/>
    </row>
    <row r="13" spans="2:12">
      <c r="B13" s="145">
        <v>1</v>
      </c>
      <c r="C13" s="309"/>
      <c r="D13" s="26" t="s">
        <v>343</v>
      </c>
      <c r="E13" s="309"/>
      <c r="F13" s="198">
        <v>1040000</v>
      </c>
      <c r="G13" s="309"/>
      <c r="H13" s="309"/>
      <c r="I13" s="309"/>
      <c r="J13" s="5"/>
    </row>
    <row r="14" spans="2:12" ht="14" thickBot="1">
      <c r="B14" s="145">
        <v>2</v>
      </c>
      <c r="C14" s="309"/>
      <c r="D14" s="26" t="s">
        <v>221</v>
      </c>
      <c r="E14" s="309"/>
      <c r="F14" s="321">
        <f>+H35</f>
        <v>0.55739888839297225</v>
      </c>
      <c r="G14" s="309"/>
      <c r="H14" s="309"/>
      <c r="I14" s="309"/>
      <c r="J14" s="439"/>
      <c r="L14" s="26"/>
    </row>
    <row r="15" spans="2:12" s="34" customFormat="1" ht="14" thickBot="1">
      <c r="B15" s="145">
        <v>3</v>
      </c>
      <c r="D15" s="44" t="s">
        <v>222</v>
      </c>
      <c r="E15" s="309"/>
      <c r="F15" s="198">
        <f>+F13*F14</f>
        <v>579694.84392869112</v>
      </c>
      <c r="G15" s="56"/>
      <c r="H15" s="190">
        <f>-F15</f>
        <v>-579694.84392869112</v>
      </c>
      <c r="I15" s="56"/>
      <c r="J15" s="198">
        <f>+F15+H15</f>
        <v>0</v>
      </c>
    </row>
    <row r="16" spans="2:12" s="34" customFormat="1">
      <c r="B16" s="145"/>
      <c r="F16" s="43"/>
      <c r="G16" s="43"/>
      <c r="H16" s="43"/>
      <c r="I16" s="43"/>
      <c r="J16" s="43"/>
    </row>
    <row r="17" spans="2:11">
      <c r="B17" s="145">
        <v>4</v>
      </c>
      <c r="D17" s="20" t="s">
        <v>149</v>
      </c>
      <c r="E17" s="20"/>
      <c r="F17" s="79">
        <f>+'Sch 1.2'!$F$18</f>
        <v>0.05</v>
      </c>
      <c r="G17" s="21"/>
      <c r="H17" s="21"/>
      <c r="I17" s="21"/>
      <c r="J17" s="79">
        <f>+'Sch 1.2'!$J$18</f>
        <v>0.05</v>
      </c>
      <c r="K17" s="4"/>
    </row>
    <row r="18" spans="2:11" ht="14" thickBot="1">
      <c r="B18" s="145">
        <v>5</v>
      </c>
      <c r="D18" s="20" t="s">
        <v>150</v>
      </c>
      <c r="E18" s="20"/>
      <c r="F18" s="47">
        <f>ROUND(-F17*F15,0)</f>
        <v>-28985</v>
      </c>
      <c r="G18" s="4"/>
      <c r="H18" s="47">
        <f>+J18-F18</f>
        <v>28985</v>
      </c>
      <c r="I18" s="38"/>
      <c r="J18" s="47">
        <f>ROUND(-J17*J15,0)</f>
        <v>0</v>
      </c>
      <c r="K18" s="4"/>
    </row>
    <row r="19" spans="2:11" ht="14" thickTop="1">
      <c r="B19" s="145"/>
      <c r="D19" s="20"/>
      <c r="E19" s="20"/>
      <c r="F19" s="19"/>
      <c r="J19" s="19"/>
    </row>
    <row r="20" spans="2:11">
      <c r="B20" s="145">
        <v>6</v>
      </c>
      <c r="D20" s="20" t="s">
        <v>33</v>
      </c>
      <c r="E20" s="20"/>
      <c r="F20" s="19">
        <f>+F15+F18</f>
        <v>550709.84392869112</v>
      </c>
      <c r="J20" s="19">
        <f>+J15+J18</f>
        <v>0</v>
      </c>
    </row>
    <row r="21" spans="2:11">
      <c r="B21" s="145">
        <v>7</v>
      </c>
      <c r="D21" s="20" t="s">
        <v>32</v>
      </c>
      <c r="E21" s="20"/>
      <c r="F21" s="48">
        <f>+'Sch 1.2'!$F$22</f>
        <v>0.21</v>
      </c>
      <c r="J21" s="48">
        <f>+'Sch 1.2'!$F$22</f>
        <v>0.21</v>
      </c>
    </row>
    <row r="22" spans="2:11" ht="14" thickBot="1">
      <c r="B22" s="145">
        <v>8</v>
      </c>
      <c r="D22" s="26" t="s">
        <v>151</v>
      </c>
      <c r="F22" s="47">
        <f>ROUND(-F21*F20,0)</f>
        <v>-115649</v>
      </c>
      <c r="G22" s="4"/>
      <c r="H22" s="47">
        <f>+J22-F22</f>
        <v>115649</v>
      </c>
      <c r="I22" s="38"/>
      <c r="J22" s="47">
        <f>ROUND(-J21*J20,0)</f>
        <v>0</v>
      </c>
    </row>
    <row r="23" spans="2:11" ht="15" thickTop="1" thickBot="1">
      <c r="B23" s="145">
        <v>9</v>
      </c>
      <c r="D23" s="93"/>
      <c r="E23" s="137"/>
      <c r="F23" s="49"/>
      <c r="G23" s="4"/>
      <c r="H23" s="38"/>
      <c r="I23" s="38"/>
      <c r="J23" s="49"/>
    </row>
    <row r="24" spans="2:11" ht="14" thickBot="1">
      <c r="B24" s="145">
        <v>10</v>
      </c>
      <c r="D24" s="93" t="s">
        <v>152</v>
      </c>
      <c r="E24" s="137"/>
      <c r="F24" s="47">
        <f>+F18+F22</f>
        <v>-144634</v>
      </c>
      <c r="G24" s="4"/>
      <c r="H24" s="138">
        <f>+J24-F24</f>
        <v>144634</v>
      </c>
      <c r="I24" s="38"/>
      <c r="J24" s="47">
        <f>+J18+J22</f>
        <v>0</v>
      </c>
      <c r="K24" s="139"/>
    </row>
    <row r="25" spans="2:11" ht="14" thickTop="1">
      <c r="B25" s="145"/>
      <c r="D25" s="137"/>
      <c r="E25" s="137"/>
      <c r="F25" s="50"/>
      <c r="G25" s="4"/>
      <c r="H25" s="38"/>
      <c r="I25" s="38"/>
      <c r="J25" s="50"/>
      <c r="K25" s="4"/>
    </row>
    <row r="26" spans="2:11" ht="14" thickBot="1">
      <c r="B26" s="145">
        <v>11</v>
      </c>
      <c r="D26" s="137" t="s">
        <v>2</v>
      </c>
      <c r="E26" s="137"/>
      <c r="F26" s="193">
        <f>-F15-F24</f>
        <v>-435060.84392869112</v>
      </c>
      <c r="G26" s="4"/>
      <c r="H26" s="47">
        <f>-H15-H24</f>
        <v>435060.84392869112</v>
      </c>
      <c r="I26" s="38"/>
      <c r="J26" s="193">
        <f>-J15-J24</f>
        <v>0</v>
      </c>
    </row>
    <row r="27" spans="2:11" ht="14" thickTop="1">
      <c r="B27" s="145"/>
      <c r="C27" s="309"/>
      <c r="D27" s="11"/>
      <c r="E27" s="309"/>
      <c r="F27" s="309"/>
      <c r="G27" s="309"/>
      <c r="H27" s="309"/>
      <c r="I27" s="309"/>
      <c r="J27" s="5"/>
      <c r="K27" s="4"/>
    </row>
    <row r="29" spans="2:11">
      <c r="B29" s="108" t="s">
        <v>79</v>
      </c>
      <c r="C29" s="69"/>
      <c r="D29" s="69"/>
      <c r="E29" s="69"/>
      <c r="F29" s="69"/>
      <c r="G29" s="69"/>
      <c r="H29" s="69"/>
      <c r="I29" s="69"/>
      <c r="J29" s="69"/>
    </row>
    <row r="30" spans="2:11" s="34" customFormat="1">
      <c r="B30" s="63" t="s">
        <v>216</v>
      </c>
      <c r="F30" s="43"/>
      <c r="G30" s="43"/>
      <c r="H30" s="43"/>
      <c r="I30" s="43"/>
      <c r="J30" s="43"/>
    </row>
    <row r="31" spans="2:11" s="34" customFormat="1">
      <c r="B31" s="63"/>
      <c r="F31" s="43"/>
      <c r="G31" s="43"/>
      <c r="H31" s="43"/>
      <c r="I31" s="43"/>
      <c r="J31" s="43"/>
    </row>
    <row r="32" spans="2:11" s="34" customFormat="1" ht="26" customHeight="1">
      <c r="B32" s="451" t="s">
        <v>217</v>
      </c>
      <c r="C32" s="451"/>
      <c r="D32" s="451"/>
      <c r="E32" s="451"/>
      <c r="F32" s="451"/>
      <c r="G32" s="451"/>
      <c r="H32" s="451"/>
      <c r="I32" s="451"/>
      <c r="J32" s="451"/>
    </row>
    <row r="33" spans="2:10" s="34" customFormat="1">
      <c r="B33" s="262"/>
      <c r="C33" s="262"/>
      <c r="D33" s="262"/>
      <c r="E33" s="262"/>
      <c r="F33" s="262"/>
      <c r="G33" s="262"/>
      <c r="H33" s="262"/>
      <c r="I33" s="262"/>
      <c r="J33" s="262"/>
    </row>
    <row r="34" spans="2:10">
      <c r="B34" s="63"/>
      <c r="D34" s="26" t="s">
        <v>220</v>
      </c>
    </row>
    <row r="35" spans="2:10">
      <c r="D35" s="26" t="s">
        <v>218</v>
      </c>
      <c r="F35" s="9">
        <v>410876</v>
      </c>
      <c r="H35" s="74">
        <f>+F35/F37</f>
        <v>0.55739888839297225</v>
      </c>
    </row>
    <row r="36" spans="2:10">
      <c r="D36" s="26" t="s">
        <v>219</v>
      </c>
      <c r="F36" s="9">
        <v>326255</v>
      </c>
      <c r="H36" s="74">
        <f>+F36/F37</f>
        <v>0.44260111160702781</v>
      </c>
    </row>
    <row r="37" spans="2:10" ht="14" thickBot="1">
      <c r="D37" s="26"/>
      <c r="F37" s="319">
        <f>SUM(F35:F36)</f>
        <v>737131</v>
      </c>
      <c r="H37" s="320">
        <f>SUM(H35:H36)</f>
        <v>1</v>
      </c>
    </row>
    <row r="38" spans="2:10" ht="14" thickTop="1"/>
    <row r="39" spans="2:10">
      <c r="B39" s="80"/>
    </row>
  </sheetData>
  <mergeCells count="2">
    <mergeCell ref="B1:J1"/>
    <mergeCell ref="B32:J32"/>
  </mergeCells>
  <pageMargins left="0.7" right="0.7" top="0.75" bottom="0.75" header="0.3" footer="0.3"/>
  <pageSetup scale="89"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19F3-ECF0-A549-AC2B-CE7E826E4AD9}">
  <sheetPr>
    <pageSetUpPr fitToPage="1"/>
  </sheetPr>
  <dimension ref="B1:K8"/>
  <sheetViews>
    <sheetView workbookViewId="0">
      <selection activeCell="J5" sqref="J5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344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/>
    </row>
    <row r="7" spans="2:11">
      <c r="B7" s="26"/>
    </row>
    <row r="8" spans="2:11" ht="14">
      <c r="D8" s="23" t="s">
        <v>330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AA9F2-598A-A241-9898-794698BEF786}">
  <sheetPr codeName="Sheet13">
    <pageSetUpPr fitToPage="1"/>
  </sheetPr>
  <dimension ref="B1:K31"/>
  <sheetViews>
    <sheetView workbookViewId="0">
      <selection activeCell="J5" sqref="J5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346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 t="s">
        <v>60</v>
      </c>
    </row>
    <row r="7" spans="2:11">
      <c r="B7" s="26" t="s">
        <v>345</v>
      </c>
    </row>
    <row r="8" spans="2:11">
      <c r="B8" s="26"/>
    </row>
    <row r="9" spans="2:11">
      <c r="B9" s="11"/>
      <c r="C9" s="11"/>
      <c r="D9" s="11"/>
      <c r="E9" s="11"/>
      <c r="F9" s="309" t="s">
        <v>19</v>
      </c>
      <c r="G9" s="11"/>
      <c r="H9" s="309"/>
      <c r="I9" s="11"/>
      <c r="J9" s="309" t="s">
        <v>25</v>
      </c>
    </row>
    <row r="10" spans="2:11" ht="14" thickBot="1">
      <c r="B10" s="307" t="s">
        <v>18</v>
      </c>
      <c r="C10" s="309"/>
      <c r="D10" s="307" t="s">
        <v>17</v>
      </c>
      <c r="E10" s="309"/>
      <c r="F10" s="307" t="s">
        <v>65</v>
      </c>
      <c r="G10" s="309"/>
      <c r="H10" s="307" t="s">
        <v>20</v>
      </c>
      <c r="I10" s="309"/>
      <c r="J10" s="307" t="s">
        <v>26</v>
      </c>
    </row>
    <row r="11" spans="2:11">
      <c r="B11" s="309"/>
      <c r="C11" s="309"/>
      <c r="D11" s="11"/>
      <c r="E11" s="309"/>
      <c r="F11" s="309" t="s">
        <v>9</v>
      </c>
      <c r="G11" s="309"/>
      <c r="H11" s="309" t="s">
        <v>10</v>
      </c>
      <c r="I11" s="309"/>
      <c r="J11" s="5" t="s">
        <v>11</v>
      </c>
    </row>
    <row r="12" spans="2:11" ht="14" thickBot="1">
      <c r="B12" s="309"/>
      <c r="C12" s="309"/>
      <c r="D12" s="11"/>
      <c r="E12" s="309"/>
      <c r="F12" s="309"/>
      <c r="G12" s="309"/>
      <c r="H12" s="309"/>
      <c r="I12" s="309"/>
      <c r="J12" s="5"/>
    </row>
    <row r="13" spans="2:11" s="34" customFormat="1" ht="14" thickBot="1">
      <c r="B13" s="145">
        <v>1</v>
      </c>
      <c r="D13" s="26" t="s">
        <v>211</v>
      </c>
      <c r="E13" s="309"/>
      <c r="F13" s="198">
        <v>8977509</v>
      </c>
      <c r="G13" s="56"/>
      <c r="H13" s="190">
        <f>-F13</f>
        <v>-8977509</v>
      </c>
      <c r="I13" s="56"/>
      <c r="J13" s="198">
        <f>+F13+H13</f>
        <v>0</v>
      </c>
    </row>
    <row r="14" spans="2:11" s="34" customFormat="1">
      <c r="B14" s="145"/>
      <c r="F14" s="43"/>
      <c r="G14" s="43"/>
      <c r="H14" s="43"/>
      <c r="I14" s="43"/>
      <c r="J14" s="43"/>
    </row>
    <row r="15" spans="2:11">
      <c r="B15" s="145">
        <v>2</v>
      </c>
      <c r="D15" s="20" t="s">
        <v>149</v>
      </c>
      <c r="E15" s="20"/>
      <c r="F15" s="79">
        <f>+'Sch 1.2'!$F$18</f>
        <v>0.05</v>
      </c>
      <c r="G15" s="21"/>
      <c r="H15" s="21"/>
      <c r="I15" s="21"/>
      <c r="J15" s="79">
        <f>+'Sch 1.2'!$J$18</f>
        <v>0.05</v>
      </c>
      <c r="K15" s="4"/>
    </row>
    <row r="16" spans="2:11" ht="14" thickBot="1">
      <c r="B16" s="145">
        <v>3</v>
      </c>
      <c r="D16" s="20" t="s">
        <v>150</v>
      </c>
      <c r="E16" s="20"/>
      <c r="F16" s="47">
        <f>ROUND(-F15*F13,0)</f>
        <v>-448875</v>
      </c>
      <c r="G16" s="4"/>
      <c r="H16" s="47">
        <f>+J16-F16</f>
        <v>448875</v>
      </c>
      <c r="I16" s="38"/>
      <c r="J16" s="47">
        <f>ROUND(-J15*J13,0)</f>
        <v>0</v>
      </c>
      <c r="K16" s="4"/>
    </row>
    <row r="17" spans="2:11" ht="14" thickTop="1">
      <c r="B17" s="145"/>
      <c r="D17" s="20"/>
      <c r="E17" s="20"/>
      <c r="F17" s="19"/>
      <c r="J17" s="19"/>
    </row>
    <row r="18" spans="2:11">
      <c r="B18" s="145">
        <v>4</v>
      </c>
      <c r="D18" s="20" t="s">
        <v>33</v>
      </c>
      <c r="E18" s="20"/>
      <c r="F18" s="19">
        <f>+F13+F16</f>
        <v>8528634</v>
      </c>
      <c r="J18" s="19">
        <f>+J13+J16</f>
        <v>0</v>
      </c>
    </row>
    <row r="19" spans="2:11">
      <c r="B19" s="145">
        <v>5</v>
      </c>
      <c r="D19" s="20" t="s">
        <v>32</v>
      </c>
      <c r="E19" s="20"/>
      <c r="F19" s="48">
        <f>+'Sch 1.2'!$F$22</f>
        <v>0.21</v>
      </c>
      <c r="J19" s="48">
        <f>+'Sch 1.2'!$F$22</f>
        <v>0.21</v>
      </c>
    </row>
    <row r="20" spans="2:11" ht="14" thickBot="1">
      <c r="B20" s="145">
        <v>6</v>
      </c>
      <c r="D20" s="26" t="s">
        <v>151</v>
      </c>
      <c r="F20" s="47">
        <f>ROUND(-F19*F18,0)</f>
        <v>-1791013</v>
      </c>
      <c r="G20" s="4"/>
      <c r="H20" s="47">
        <f>+J20-F20</f>
        <v>1791013</v>
      </c>
      <c r="I20" s="38"/>
      <c r="J20" s="47">
        <f>ROUND(-J19*J18,0)</f>
        <v>0</v>
      </c>
    </row>
    <row r="21" spans="2:11" ht="15" thickTop="1" thickBot="1">
      <c r="B21" s="145"/>
      <c r="D21" s="93"/>
      <c r="E21" s="137"/>
      <c r="F21" s="49"/>
      <c r="G21" s="4"/>
      <c r="H21" s="38"/>
      <c r="I21" s="38"/>
      <c r="J21" s="49"/>
    </row>
    <row r="22" spans="2:11" ht="14" thickBot="1">
      <c r="B22" s="145">
        <v>7</v>
      </c>
      <c r="D22" s="93" t="s">
        <v>152</v>
      </c>
      <c r="E22" s="137"/>
      <c r="F22" s="47">
        <f>+F16+F20</f>
        <v>-2239888</v>
      </c>
      <c r="G22" s="4"/>
      <c r="H22" s="138">
        <f>+J22-F22</f>
        <v>2239888</v>
      </c>
      <c r="I22" s="38"/>
      <c r="J22" s="47">
        <f>+J16+J20</f>
        <v>0</v>
      </c>
      <c r="K22" s="139"/>
    </row>
    <row r="23" spans="2:11" ht="14" thickTop="1">
      <c r="B23" s="145"/>
      <c r="D23" s="137"/>
      <c r="E23" s="137"/>
      <c r="F23" s="50"/>
      <c r="G23" s="4"/>
      <c r="H23" s="38"/>
      <c r="I23" s="38"/>
      <c r="J23" s="50"/>
      <c r="K23" s="4"/>
    </row>
    <row r="24" spans="2:11" ht="14" thickBot="1">
      <c r="B24" s="145">
        <v>8</v>
      </c>
      <c r="D24" s="137" t="s">
        <v>2</v>
      </c>
      <c r="E24" s="137"/>
      <c r="F24" s="193">
        <f>-F13-F22</f>
        <v>-6737621</v>
      </c>
      <c r="G24" s="4"/>
      <c r="H24" s="47">
        <f>-H13-H22</f>
        <v>6737621</v>
      </c>
      <c r="I24" s="38"/>
      <c r="J24" s="193">
        <f>-J13-J22</f>
        <v>0</v>
      </c>
    </row>
    <row r="25" spans="2:11" ht="14" thickTop="1">
      <c r="B25" s="145"/>
      <c r="C25" s="309"/>
      <c r="D25" s="11"/>
      <c r="E25" s="309"/>
      <c r="F25" s="309"/>
      <c r="G25" s="309"/>
      <c r="H25" s="309"/>
      <c r="I25" s="309"/>
      <c r="J25" s="5"/>
      <c r="K25" s="4"/>
    </row>
    <row r="27" spans="2:11">
      <c r="B27" s="108" t="s">
        <v>79</v>
      </c>
      <c r="C27" s="69"/>
      <c r="D27" s="69"/>
      <c r="E27" s="69"/>
      <c r="F27" s="69"/>
      <c r="G27" s="69"/>
      <c r="H27" s="69"/>
      <c r="I27" s="69"/>
      <c r="J27" s="69"/>
    </row>
    <row r="28" spans="2:11" s="34" customFormat="1">
      <c r="B28" s="63" t="s">
        <v>213</v>
      </c>
      <c r="F28" s="43"/>
      <c r="G28" s="43"/>
      <c r="H28" s="43"/>
      <c r="I28" s="43"/>
      <c r="J28" s="43"/>
    </row>
    <row r="29" spans="2:11" s="34" customFormat="1">
      <c r="B29" s="63" t="s">
        <v>212</v>
      </c>
      <c r="F29" s="43"/>
      <c r="G29" s="43"/>
      <c r="H29" s="43"/>
      <c r="I29" s="43"/>
      <c r="J29" s="43"/>
    </row>
    <row r="30" spans="2:11" s="34" customFormat="1">
      <c r="B30" s="63"/>
      <c r="F30" s="43"/>
      <c r="G30" s="43"/>
      <c r="H30" s="43"/>
      <c r="I30" s="43"/>
      <c r="J30" s="43"/>
    </row>
    <row r="31" spans="2:11">
      <c r="B31" s="63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C23A5-3F1E-D84F-86E3-3DC046056FBD}">
  <sheetPr>
    <pageSetUpPr fitToPage="1"/>
  </sheetPr>
  <dimension ref="B1:K38"/>
  <sheetViews>
    <sheetView workbookViewId="0">
      <selection activeCell="D20" sqref="D20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348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 t="s">
        <v>347</v>
      </c>
    </row>
    <row r="7" spans="2:11">
      <c r="B7" s="26" t="s">
        <v>350</v>
      </c>
    </row>
    <row r="8" spans="2:11">
      <c r="B8" s="26"/>
    </row>
    <row r="9" spans="2:11">
      <c r="B9" s="11"/>
      <c r="C9" s="11"/>
      <c r="D9" s="11"/>
      <c r="E9" s="11"/>
      <c r="F9" s="309" t="s">
        <v>19</v>
      </c>
      <c r="G9" s="11"/>
      <c r="H9" s="309"/>
      <c r="I9" s="11"/>
      <c r="J9" s="309" t="s">
        <v>25</v>
      </c>
    </row>
    <row r="10" spans="2:11" ht="14" thickBot="1">
      <c r="B10" s="307" t="s">
        <v>18</v>
      </c>
      <c r="C10" s="309"/>
      <c r="D10" s="307" t="s">
        <v>17</v>
      </c>
      <c r="E10" s="309"/>
      <c r="F10" s="307" t="s">
        <v>65</v>
      </c>
      <c r="G10" s="309"/>
      <c r="H10" s="307" t="s">
        <v>20</v>
      </c>
      <c r="I10" s="309"/>
      <c r="J10" s="307" t="s">
        <v>26</v>
      </c>
    </row>
    <row r="11" spans="2:11">
      <c r="B11" s="309"/>
      <c r="C11" s="309"/>
      <c r="D11" s="11"/>
      <c r="E11" s="309"/>
      <c r="F11" s="309" t="s">
        <v>9</v>
      </c>
      <c r="G11" s="309"/>
      <c r="H11" s="309" t="s">
        <v>10</v>
      </c>
      <c r="I11" s="309"/>
      <c r="J11" s="5" t="s">
        <v>11</v>
      </c>
    </row>
    <row r="12" spans="2:11">
      <c r="B12" s="309"/>
      <c r="C12" s="309"/>
      <c r="D12" s="11"/>
      <c r="E12" s="309"/>
      <c r="F12" s="309"/>
      <c r="G12" s="309"/>
      <c r="H12" s="309"/>
      <c r="I12" s="309"/>
      <c r="J12" s="5"/>
    </row>
    <row r="13" spans="2:11">
      <c r="B13" s="110">
        <v>1</v>
      </c>
      <c r="C13" s="309"/>
      <c r="D13" s="26" t="s">
        <v>310</v>
      </c>
      <c r="E13" s="309"/>
      <c r="F13" s="146">
        <v>511604</v>
      </c>
      <c r="G13" s="309"/>
      <c r="H13" s="146">
        <f>+J13-F13</f>
        <v>943</v>
      </c>
      <c r="I13" s="309"/>
      <c r="J13" s="146">
        <v>512547</v>
      </c>
    </row>
    <row r="14" spans="2:11">
      <c r="B14" s="110">
        <v>2</v>
      </c>
      <c r="C14" s="309"/>
      <c r="D14" s="26" t="s">
        <v>311</v>
      </c>
      <c r="E14" s="309"/>
      <c r="F14" s="318">
        <v>1636449</v>
      </c>
      <c r="G14" s="309"/>
      <c r="H14" s="318">
        <f t="shared" ref="H14:H17" si="0">+J14-F14</f>
        <v>143852</v>
      </c>
      <c r="I14" s="309"/>
      <c r="J14" s="318">
        <v>1780301</v>
      </c>
    </row>
    <row r="15" spans="2:11">
      <c r="B15" s="110">
        <v>3</v>
      </c>
      <c r="C15" s="309"/>
      <c r="D15" s="26" t="s">
        <v>312</v>
      </c>
      <c r="E15" s="309"/>
      <c r="F15" s="318">
        <v>142334</v>
      </c>
      <c r="G15" s="309"/>
      <c r="H15" s="318">
        <f t="shared" si="0"/>
        <v>-109210</v>
      </c>
      <c r="I15" s="309"/>
      <c r="J15" s="318">
        <v>33124</v>
      </c>
    </row>
    <row r="16" spans="2:11">
      <c r="B16" s="110">
        <v>4</v>
      </c>
      <c r="C16" s="309"/>
      <c r="D16" s="26" t="s">
        <v>313</v>
      </c>
      <c r="E16" s="309"/>
      <c r="F16" s="318">
        <v>46900</v>
      </c>
      <c r="G16" s="309"/>
      <c r="H16" s="318">
        <f t="shared" si="0"/>
        <v>32750</v>
      </c>
      <c r="I16" s="309"/>
      <c r="J16" s="318">
        <v>79650</v>
      </c>
    </row>
    <row r="17" spans="2:11">
      <c r="B17" s="110">
        <v>5</v>
      </c>
      <c r="C17" s="309"/>
      <c r="D17" s="26" t="s">
        <v>314</v>
      </c>
      <c r="E17" s="309"/>
      <c r="F17" s="192">
        <v>53186</v>
      </c>
      <c r="G17" s="309"/>
      <c r="H17" s="192">
        <f t="shared" si="0"/>
        <v>413</v>
      </c>
      <c r="I17" s="309"/>
      <c r="J17" s="192">
        <v>53599</v>
      </c>
    </row>
    <row r="18" spans="2:11">
      <c r="B18" s="110">
        <v>6</v>
      </c>
      <c r="C18" s="309"/>
      <c r="D18" s="63" t="s">
        <v>315</v>
      </c>
      <c r="E18" s="309"/>
      <c r="F18" s="146">
        <f>SUM(F13:F17)-1</f>
        <v>2390472</v>
      </c>
      <c r="G18" s="309"/>
      <c r="H18" s="146">
        <f>SUM(H13:H17)-1</f>
        <v>68747</v>
      </c>
      <c r="I18" s="309"/>
      <c r="J18" s="146">
        <f>SUM(J13:J17)-1</f>
        <v>2459220</v>
      </c>
    </row>
    <row r="19" spans="2:11" ht="14" thickBot="1">
      <c r="B19" s="110">
        <v>7</v>
      </c>
      <c r="C19" s="309"/>
      <c r="D19" s="26" t="s">
        <v>316</v>
      </c>
      <c r="E19" s="309"/>
      <c r="F19" s="352">
        <v>5</v>
      </c>
      <c r="G19" s="353"/>
      <c r="H19" s="352">
        <v>5</v>
      </c>
      <c r="I19" s="353"/>
      <c r="J19" s="352">
        <f t="shared" ref="J19" si="1">+F19+H19</f>
        <v>10</v>
      </c>
    </row>
    <row r="20" spans="2:11" s="34" customFormat="1" ht="14" thickBot="1">
      <c r="B20" s="145">
        <v>8</v>
      </c>
      <c r="D20" s="26" t="s">
        <v>317</v>
      </c>
      <c r="E20" s="309"/>
      <c r="F20" s="198">
        <f>+F18/F19</f>
        <v>478094.4</v>
      </c>
      <c r="G20" s="56"/>
      <c r="H20" s="190">
        <f>+J20-F20</f>
        <v>-232172.40000000002</v>
      </c>
      <c r="I20" s="56"/>
      <c r="J20" s="198">
        <f>+J18/J19</f>
        <v>245922</v>
      </c>
    </row>
    <row r="21" spans="2:11" s="34" customFormat="1">
      <c r="B21" s="145"/>
      <c r="F21" s="43"/>
      <c r="G21" s="43"/>
      <c r="H21" s="43"/>
      <c r="I21" s="43"/>
      <c r="J21" s="43"/>
    </row>
    <row r="22" spans="2:11">
      <c r="B22" s="145">
        <v>9</v>
      </c>
      <c r="D22" s="20" t="s">
        <v>149</v>
      </c>
      <c r="E22" s="20"/>
      <c r="F22" s="79">
        <f>+'Sch 1.2'!$F$18</f>
        <v>0.05</v>
      </c>
      <c r="G22" s="21"/>
      <c r="H22" s="21"/>
      <c r="I22" s="21"/>
      <c r="J22" s="79">
        <f>+'Sch 1.2'!$J$18</f>
        <v>0.05</v>
      </c>
      <c r="K22" s="4"/>
    </row>
    <row r="23" spans="2:11" ht="14" thickBot="1">
      <c r="B23" s="145">
        <v>10</v>
      </c>
      <c r="D23" s="20" t="s">
        <v>150</v>
      </c>
      <c r="E23" s="20"/>
      <c r="F23" s="47">
        <f>ROUND(-F22*F20,0)</f>
        <v>-23905</v>
      </c>
      <c r="G23" s="4"/>
      <c r="H23" s="47">
        <f>+J23-F23</f>
        <v>11609</v>
      </c>
      <c r="I23" s="38"/>
      <c r="J23" s="47">
        <f>ROUND(-J22*J20,0)</f>
        <v>-12296</v>
      </c>
      <c r="K23" s="4"/>
    </row>
    <row r="24" spans="2:11" ht="14" thickTop="1">
      <c r="B24" s="145"/>
      <c r="D24" s="20"/>
      <c r="E24" s="20"/>
      <c r="F24" s="19"/>
      <c r="J24" s="19"/>
    </row>
    <row r="25" spans="2:11">
      <c r="B25" s="145">
        <v>11</v>
      </c>
      <c r="D25" s="20" t="s">
        <v>33</v>
      </c>
      <c r="E25" s="20"/>
      <c r="F25" s="19">
        <f>+F20+F23</f>
        <v>454189.4</v>
      </c>
      <c r="J25" s="19">
        <f>+J20+J23</f>
        <v>233626</v>
      </c>
    </row>
    <row r="26" spans="2:11">
      <c r="B26" s="145">
        <v>12</v>
      </c>
      <c r="D26" s="20" t="s">
        <v>32</v>
      </c>
      <c r="E26" s="20"/>
      <c r="F26" s="48">
        <f>+'Sch 1.2'!$F$22</f>
        <v>0.21</v>
      </c>
      <c r="J26" s="48">
        <f>+'Sch 1.2'!$F$22</f>
        <v>0.21</v>
      </c>
    </row>
    <row r="27" spans="2:11" ht="14" thickBot="1">
      <c r="B27" s="145">
        <v>13</v>
      </c>
      <c r="D27" s="26" t="s">
        <v>151</v>
      </c>
      <c r="F27" s="47">
        <f>ROUND(-F26*F25,0)</f>
        <v>-95380</v>
      </c>
      <c r="G27" s="4"/>
      <c r="H27" s="47">
        <f>+J27-F27</f>
        <v>46319</v>
      </c>
      <c r="I27" s="38"/>
      <c r="J27" s="47">
        <f>ROUND(-J26*J25,0)</f>
        <v>-49061</v>
      </c>
    </row>
    <row r="28" spans="2:11" ht="15" thickTop="1" thickBot="1">
      <c r="B28" s="145"/>
      <c r="D28" s="93"/>
      <c r="E28" s="137"/>
      <c r="F28" s="49"/>
      <c r="G28" s="4"/>
      <c r="H28" s="38"/>
      <c r="I28" s="38"/>
      <c r="J28" s="49"/>
    </row>
    <row r="29" spans="2:11" ht="14" thickBot="1">
      <c r="B29" s="145">
        <v>14</v>
      </c>
      <c r="D29" s="93" t="s">
        <v>152</v>
      </c>
      <c r="E29" s="137"/>
      <c r="F29" s="47">
        <f>+F23+F27</f>
        <v>-119285</v>
      </c>
      <c r="G29" s="4"/>
      <c r="H29" s="138">
        <f>+J29-F29</f>
        <v>57928</v>
      </c>
      <c r="I29" s="38"/>
      <c r="J29" s="47">
        <f>+J23+J27</f>
        <v>-61357</v>
      </c>
      <c r="K29" s="139"/>
    </row>
    <row r="30" spans="2:11" ht="14" thickTop="1">
      <c r="B30" s="145"/>
      <c r="D30" s="137"/>
      <c r="E30" s="137"/>
      <c r="F30" s="50"/>
      <c r="G30" s="4"/>
      <c r="H30" s="38"/>
      <c r="I30" s="38"/>
      <c r="J30" s="50"/>
      <c r="K30" s="4"/>
    </row>
    <row r="31" spans="2:11" ht="14" thickBot="1">
      <c r="B31" s="145">
        <v>18</v>
      </c>
      <c r="D31" s="137" t="s">
        <v>2</v>
      </c>
      <c r="E31" s="137"/>
      <c r="F31" s="193">
        <f>-F20-F29</f>
        <v>-358809.4</v>
      </c>
      <c r="G31" s="4"/>
      <c r="H31" s="47">
        <f>-H20-H29</f>
        <v>174244.40000000002</v>
      </c>
      <c r="I31" s="38"/>
      <c r="J31" s="193">
        <f>-J20-J29</f>
        <v>-184565</v>
      </c>
    </row>
    <row r="32" spans="2:11" ht="14" thickTop="1">
      <c r="B32" s="145"/>
      <c r="C32" s="309"/>
      <c r="D32" s="11"/>
      <c r="E32" s="309"/>
      <c r="F32" s="309"/>
      <c r="G32" s="309"/>
      <c r="H32" s="309"/>
      <c r="I32" s="309"/>
      <c r="J32" s="5"/>
      <c r="K32" s="4"/>
    </row>
    <row r="34" spans="2:10">
      <c r="B34" s="108" t="s">
        <v>79</v>
      </c>
      <c r="C34" s="69"/>
      <c r="D34" s="69"/>
      <c r="E34" s="69"/>
      <c r="F34" s="69"/>
      <c r="G34" s="69"/>
      <c r="H34" s="69"/>
      <c r="I34" s="69"/>
      <c r="J34" s="69"/>
    </row>
    <row r="35" spans="2:10" s="34" customFormat="1">
      <c r="B35" s="63" t="s">
        <v>358</v>
      </c>
      <c r="F35" s="43"/>
      <c r="G35" s="43"/>
      <c r="H35" s="43"/>
      <c r="I35" s="43"/>
      <c r="J35" s="43"/>
    </row>
    <row r="36" spans="2:10" s="34" customFormat="1">
      <c r="B36" s="63" t="s">
        <v>359</v>
      </c>
      <c r="F36" s="43"/>
      <c r="G36" s="43"/>
      <c r="H36" s="43"/>
      <c r="I36" s="43"/>
      <c r="J36" s="43"/>
    </row>
    <row r="37" spans="2:10" s="34" customFormat="1">
      <c r="B37" s="63" t="s">
        <v>361</v>
      </c>
      <c r="F37" s="43"/>
      <c r="G37" s="43"/>
      <c r="H37" s="43"/>
      <c r="I37" s="43"/>
      <c r="J37" s="43"/>
    </row>
    <row r="38" spans="2:10">
      <c r="B38" s="63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D5C1B-8194-CC44-8D81-5D8870D09BB3}">
  <sheetPr>
    <pageSetUpPr fitToPage="1"/>
  </sheetPr>
  <dimension ref="B1:K53"/>
  <sheetViews>
    <sheetView workbookViewId="0">
      <selection activeCell="N40" sqref="N40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5.1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</row>
    <row r="2" spans="2:11" ht="16">
      <c r="B2" s="159"/>
    </row>
    <row r="3" spans="2:11">
      <c r="B3" s="11" t="str">
        <f>+'Sch 1.1'!B3</f>
        <v>Kentucky Public Service Commission</v>
      </c>
      <c r="J3" s="183" t="str">
        <f>+'Sch 1.1'!J3</f>
        <v>Case No. 2018-00295</v>
      </c>
    </row>
    <row r="4" spans="2:11">
      <c r="I4" s="44"/>
      <c r="J4" s="35" t="s">
        <v>351</v>
      </c>
    </row>
    <row r="5" spans="2:11">
      <c r="B5" s="84" t="str">
        <f>+'Sch 1.1'!B5</f>
        <v>Louisville Gas and Electric Company–Electric</v>
      </c>
      <c r="I5" s="26"/>
      <c r="J5" s="35" t="s">
        <v>35</v>
      </c>
    </row>
    <row r="6" spans="2:11">
      <c r="B6" s="11" t="s">
        <v>349</v>
      </c>
    </row>
    <row r="7" spans="2:11">
      <c r="B7" s="26" t="s">
        <v>569</v>
      </c>
    </row>
    <row r="8" spans="2:11">
      <c r="B8" s="26"/>
    </row>
    <row r="9" spans="2:11">
      <c r="B9" s="11"/>
      <c r="C9" s="11"/>
      <c r="D9" s="11"/>
      <c r="E9" s="11"/>
      <c r="F9" s="309" t="s">
        <v>19</v>
      </c>
      <c r="G9" s="11"/>
      <c r="H9" s="309"/>
      <c r="I9" s="11"/>
      <c r="J9" s="309" t="s">
        <v>25</v>
      </c>
    </row>
    <row r="10" spans="2:11" ht="14" thickBot="1">
      <c r="B10" s="307" t="s">
        <v>18</v>
      </c>
      <c r="C10" s="309"/>
      <c r="D10" s="307" t="s">
        <v>17</v>
      </c>
      <c r="E10" s="309"/>
      <c r="F10" s="307" t="s">
        <v>65</v>
      </c>
      <c r="G10" s="309"/>
      <c r="H10" s="307" t="s">
        <v>20</v>
      </c>
      <c r="I10" s="309"/>
      <c r="J10" s="307" t="s">
        <v>26</v>
      </c>
    </row>
    <row r="11" spans="2:11">
      <c r="B11" s="309"/>
      <c r="C11" s="309"/>
      <c r="D11" s="11"/>
      <c r="E11" s="309"/>
      <c r="F11" s="309" t="s">
        <v>9</v>
      </c>
      <c r="G11" s="309"/>
      <c r="H11" s="309" t="s">
        <v>10</v>
      </c>
      <c r="I11" s="309"/>
      <c r="J11" s="5" t="s">
        <v>11</v>
      </c>
    </row>
    <row r="12" spans="2:11">
      <c r="B12" s="309"/>
      <c r="C12" s="309"/>
      <c r="D12" s="11"/>
      <c r="E12" s="309"/>
      <c r="F12" s="309"/>
      <c r="G12" s="309"/>
      <c r="H12" s="309"/>
      <c r="I12" s="309"/>
      <c r="J12" s="5"/>
    </row>
    <row r="13" spans="2:11">
      <c r="B13" s="309">
        <v>1</v>
      </c>
      <c r="C13" s="309"/>
      <c r="D13" s="11" t="s">
        <v>570</v>
      </c>
      <c r="E13" s="309"/>
      <c r="F13" s="309"/>
      <c r="G13" s="309"/>
      <c r="H13" s="309"/>
      <c r="I13" s="309"/>
      <c r="J13" s="5"/>
    </row>
    <row r="14" spans="2:11">
      <c r="B14" s="110">
        <v>2</v>
      </c>
      <c r="C14" s="309"/>
      <c r="D14" s="34" t="s">
        <v>360</v>
      </c>
      <c r="E14" s="309"/>
      <c r="F14" s="146">
        <v>-1121030</v>
      </c>
      <c r="G14" s="309"/>
      <c r="H14" s="309"/>
      <c r="I14" s="309"/>
      <c r="J14" s="146">
        <f>+F14+H14</f>
        <v>-1121030</v>
      </c>
    </row>
    <row r="15" spans="2:11">
      <c r="B15" s="110">
        <v>3</v>
      </c>
      <c r="C15" s="309"/>
      <c r="D15" s="26" t="s">
        <v>316</v>
      </c>
      <c r="E15" s="309"/>
      <c r="F15" s="352">
        <v>15</v>
      </c>
      <c r="G15" s="309"/>
      <c r="H15" s="352">
        <v>-9</v>
      </c>
      <c r="I15" s="353"/>
      <c r="J15" s="352">
        <f t="shared" ref="J15" si="0">+F15+H15</f>
        <v>6</v>
      </c>
    </row>
    <row r="16" spans="2:11" s="34" customFormat="1">
      <c r="B16" s="110">
        <v>4</v>
      </c>
      <c r="D16" s="26" t="s">
        <v>317</v>
      </c>
      <c r="E16" s="309"/>
      <c r="F16" s="198">
        <f>+F14/F15</f>
        <v>-74735.333333333328</v>
      </c>
      <c r="G16" s="56"/>
      <c r="H16" s="440">
        <f>+J16-F16</f>
        <v>-112103.00000000001</v>
      </c>
      <c r="I16" s="56"/>
      <c r="J16" s="198">
        <f>+J14/J15</f>
        <v>-186838.33333333334</v>
      </c>
    </row>
    <row r="17" spans="2:11" s="34" customFormat="1">
      <c r="B17" s="110"/>
      <c r="F17" s="43"/>
      <c r="G17" s="43"/>
      <c r="H17" s="43"/>
      <c r="I17" s="43"/>
      <c r="J17" s="43"/>
    </row>
    <row r="18" spans="2:11">
      <c r="B18" s="110">
        <v>5</v>
      </c>
      <c r="D18" s="20" t="s">
        <v>149</v>
      </c>
      <c r="E18" s="20"/>
      <c r="F18" s="79"/>
      <c r="G18" s="21"/>
      <c r="H18" s="21"/>
      <c r="I18" s="21"/>
      <c r="J18" s="79"/>
      <c r="K18" s="4"/>
    </row>
    <row r="19" spans="2:11" ht="14" thickBot="1">
      <c r="B19" s="110">
        <v>6</v>
      </c>
      <c r="D19" s="20" t="s">
        <v>150</v>
      </c>
      <c r="E19" s="20"/>
      <c r="F19" s="47">
        <f>ROUND(-F18*F16,0)</f>
        <v>0</v>
      </c>
      <c r="G19" s="4"/>
      <c r="H19" s="47">
        <f>+J19-F19</f>
        <v>0</v>
      </c>
      <c r="I19" s="38"/>
      <c r="J19" s="47">
        <f>ROUND(-J18*J16,0)</f>
        <v>0</v>
      </c>
      <c r="K19" s="4"/>
    </row>
    <row r="20" spans="2:11" ht="14" thickTop="1">
      <c r="B20" s="110"/>
      <c r="D20" s="20"/>
      <c r="E20" s="20"/>
      <c r="F20" s="19"/>
      <c r="J20" s="19"/>
    </row>
    <row r="21" spans="2:11">
      <c r="B21" s="110">
        <v>7</v>
      </c>
      <c r="D21" s="20" t="s">
        <v>33</v>
      </c>
      <c r="E21" s="20"/>
      <c r="F21" s="19">
        <f>+F16+F19</f>
        <v>-74735.333333333328</v>
      </c>
      <c r="J21" s="19">
        <f>+J16+J19</f>
        <v>-186838.33333333334</v>
      </c>
    </row>
    <row r="22" spans="2:11">
      <c r="B22" s="110">
        <v>8</v>
      </c>
      <c r="D22" s="20" t="s">
        <v>32</v>
      </c>
      <c r="E22" s="20"/>
      <c r="F22" s="48">
        <f>+'Sch 1.2'!$F$22</f>
        <v>0.21</v>
      </c>
      <c r="J22" s="48">
        <f>+'Sch 1.2'!$F$22</f>
        <v>0.21</v>
      </c>
    </row>
    <row r="23" spans="2:11" ht="14" thickBot="1">
      <c r="B23" s="110">
        <v>9</v>
      </c>
      <c r="D23" s="26" t="s">
        <v>151</v>
      </c>
      <c r="F23" s="47">
        <f>ROUND(-F22*F21,0)</f>
        <v>15694</v>
      </c>
      <c r="G23" s="4"/>
      <c r="H23" s="47">
        <f>+J23-F23</f>
        <v>23542</v>
      </c>
      <c r="I23" s="38"/>
      <c r="J23" s="47">
        <f>ROUND(-J22*J21,0)</f>
        <v>39236</v>
      </c>
    </row>
    <row r="24" spans="2:11" ht="14" thickTop="1">
      <c r="B24" s="110"/>
      <c r="D24" s="93"/>
      <c r="E24" s="137"/>
      <c r="F24" s="49"/>
      <c r="G24" s="4"/>
      <c r="H24" s="38"/>
      <c r="I24" s="38"/>
      <c r="J24" s="49"/>
    </row>
    <row r="25" spans="2:11" ht="14" thickBot="1">
      <c r="B25" s="110">
        <v>10</v>
      </c>
      <c r="D25" s="93" t="s">
        <v>152</v>
      </c>
      <c r="E25" s="137"/>
      <c r="F25" s="47">
        <f>+F19+F23</f>
        <v>15694</v>
      </c>
      <c r="G25" s="4"/>
      <c r="H25" s="440">
        <f>+J25-F25</f>
        <v>23542</v>
      </c>
      <c r="I25" s="38"/>
      <c r="J25" s="47">
        <f>+J19+J23</f>
        <v>39236</v>
      </c>
      <c r="K25" s="139"/>
    </row>
    <row r="26" spans="2:11" ht="14" thickTop="1">
      <c r="B26" s="110"/>
      <c r="D26" s="137"/>
      <c r="E26" s="137"/>
      <c r="F26" s="50"/>
      <c r="G26" s="4"/>
      <c r="H26" s="38"/>
      <c r="I26" s="38"/>
      <c r="J26" s="50"/>
      <c r="K26" s="4"/>
    </row>
    <row r="27" spans="2:11">
      <c r="B27" s="145">
        <v>11</v>
      </c>
      <c r="C27" s="309"/>
      <c r="D27" s="11" t="s">
        <v>571</v>
      </c>
      <c r="E27" s="309"/>
      <c r="F27" s="309"/>
      <c r="G27" s="309"/>
      <c r="H27" s="309"/>
      <c r="I27" s="309"/>
      <c r="J27" s="5"/>
    </row>
    <row r="28" spans="2:11">
      <c r="B28" s="145">
        <v>12</v>
      </c>
      <c r="C28" s="309"/>
      <c r="D28" s="405" t="s">
        <v>360</v>
      </c>
      <c r="E28" s="406"/>
      <c r="F28" s="407">
        <v>-16593150</v>
      </c>
      <c r="G28" s="406"/>
      <c r="H28" s="406"/>
      <c r="I28" s="406"/>
      <c r="J28" s="407">
        <f>+F28+H28</f>
        <v>-16593150</v>
      </c>
      <c r="K28" s="4"/>
    </row>
    <row r="29" spans="2:11">
      <c r="B29" s="145">
        <v>13</v>
      </c>
      <c r="C29" s="309"/>
      <c r="D29" s="408" t="s">
        <v>316</v>
      </c>
      <c r="E29" s="406"/>
      <c r="F29" s="409">
        <f>(180-16)/12</f>
        <v>13.666666666666666</v>
      </c>
      <c r="G29" s="406"/>
      <c r="H29" s="410">
        <v>-9</v>
      </c>
      <c r="I29" s="411"/>
      <c r="J29" s="409">
        <f t="shared" ref="J29" si="1">+F29+H29</f>
        <v>4.6666666666666661</v>
      </c>
      <c r="K29" s="4"/>
    </row>
    <row r="30" spans="2:11">
      <c r="B30" s="145">
        <v>14</v>
      </c>
      <c r="C30" s="309"/>
      <c r="D30" s="408" t="s">
        <v>317</v>
      </c>
      <c r="E30" s="406"/>
      <c r="F30" s="412">
        <f>+F28/F29</f>
        <v>-1214132.9268292685</v>
      </c>
      <c r="G30" s="413"/>
      <c r="H30" s="414">
        <f>+J30-F30</f>
        <v>-2341542.0731707318</v>
      </c>
      <c r="I30" s="413"/>
      <c r="J30" s="412">
        <f>+J28/J29</f>
        <v>-3555675.0000000005</v>
      </c>
      <c r="K30" s="4"/>
    </row>
    <row r="31" spans="2:11">
      <c r="B31" s="145"/>
      <c r="C31" s="309"/>
      <c r="D31" s="405"/>
      <c r="E31" s="405"/>
      <c r="F31" s="415"/>
      <c r="G31" s="415"/>
      <c r="H31" s="415"/>
      <c r="I31" s="415"/>
      <c r="J31" s="415"/>
      <c r="K31" s="4"/>
    </row>
    <row r="32" spans="2:11" ht="15">
      <c r="B32" s="145">
        <v>15</v>
      </c>
      <c r="C32" s="309"/>
      <c r="D32" s="416" t="s">
        <v>149</v>
      </c>
      <c r="E32" s="416"/>
      <c r="F32" s="417"/>
      <c r="G32" s="418"/>
      <c r="H32" s="418"/>
      <c r="I32" s="418"/>
      <c r="J32" s="417"/>
      <c r="K32" s="4"/>
    </row>
    <row r="33" spans="2:11" ht="16" thickBot="1">
      <c r="B33" s="145">
        <v>16</v>
      </c>
      <c r="C33" s="309"/>
      <c r="D33" s="416" t="s">
        <v>150</v>
      </c>
      <c r="E33" s="416"/>
      <c r="F33" s="419">
        <f>ROUND(-F32*F30,0)</f>
        <v>0</v>
      </c>
      <c r="G33" s="420"/>
      <c r="H33" s="419">
        <f>+J33-F33</f>
        <v>0</v>
      </c>
      <c r="I33" s="421"/>
      <c r="J33" s="419">
        <f>ROUND(-J32*J30,0)</f>
        <v>0</v>
      </c>
      <c r="K33" s="4"/>
    </row>
    <row r="34" spans="2:11" ht="16" thickTop="1">
      <c r="B34" s="145"/>
      <c r="C34" s="309"/>
      <c r="D34" s="416"/>
      <c r="E34" s="416"/>
      <c r="F34" s="422"/>
      <c r="G34" s="423"/>
      <c r="H34" s="423"/>
      <c r="I34" s="423"/>
      <c r="J34" s="422"/>
      <c r="K34" s="4"/>
    </row>
    <row r="35" spans="2:11" ht="15">
      <c r="B35" s="145">
        <v>17</v>
      </c>
      <c r="C35" s="309"/>
      <c r="D35" s="416" t="s">
        <v>33</v>
      </c>
      <c r="E35" s="416"/>
      <c r="F35" s="422"/>
      <c r="G35" s="423"/>
      <c r="H35" s="423"/>
      <c r="I35" s="423"/>
      <c r="J35" s="422"/>
      <c r="K35" s="4"/>
    </row>
    <row r="36" spans="2:11" ht="15">
      <c r="B36" s="145">
        <v>18</v>
      </c>
      <c r="C36" s="309"/>
      <c r="D36" s="416" t="s">
        <v>32</v>
      </c>
      <c r="E36" s="416"/>
      <c r="F36" s="424"/>
      <c r="G36" s="423"/>
      <c r="H36" s="423"/>
      <c r="I36" s="423"/>
      <c r="J36" s="424"/>
      <c r="K36" s="4"/>
    </row>
    <row r="37" spans="2:11" ht="16" thickBot="1">
      <c r="B37" s="145">
        <v>19</v>
      </c>
      <c r="C37" s="309"/>
      <c r="D37" s="408" t="s">
        <v>151</v>
      </c>
      <c r="E37" s="423"/>
      <c r="F37" s="419">
        <f>ROUND(-F36*F35,0)</f>
        <v>0</v>
      </c>
      <c r="G37" s="420"/>
      <c r="H37" s="419">
        <f>+J37-F37</f>
        <v>0</v>
      </c>
      <c r="I37" s="421"/>
      <c r="J37" s="419">
        <f>ROUND(-J36*J35,0)</f>
        <v>0</v>
      </c>
      <c r="K37" s="4"/>
    </row>
    <row r="38" spans="2:11" ht="16" thickTop="1">
      <c r="B38" s="145"/>
      <c r="C38" s="309"/>
      <c r="D38" s="425"/>
      <c r="E38" s="426"/>
      <c r="F38" s="427"/>
      <c r="G38" s="420"/>
      <c r="H38" s="421"/>
      <c r="I38" s="421"/>
      <c r="J38" s="427"/>
      <c r="K38" s="4"/>
    </row>
    <row r="39" spans="2:11" ht="16" thickBot="1">
      <c r="B39" s="145">
        <v>20</v>
      </c>
      <c r="C39" s="309"/>
      <c r="D39" s="425" t="s">
        <v>152</v>
      </c>
      <c r="E39" s="426"/>
      <c r="F39" s="419">
        <f>+F33+F37</f>
        <v>0</v>
      </c>
      <c r="G39" s="420"/>
      <c r="H39" s="428">
        <f>+J39-F39</f>
        <v>0</v>
      </c>
      <c r="I39" s="421"/>
      <c r="J39" s="419">
        <f>+J33+J37</f>
        <v>0</v>
      </c>
      <c r="K39" s="4"/>
    </row>
    <row r="40" spans="2:11" ht="17" thickTop="1" thickBot="1">
      <c r="B40" s="145"/>
      <c r="C40" s="309"/>
      <c r="D40" s="426"/>
      <c r="E40" s="426"/>
      <c r="F40" s="429"/>
      <c r="G40" s="420"/>
      <c r="H40" s="421"/>
      <c r="I40" s="421"/>
      <c r="J40" s="429"/>
      <c r="K40" s="4"/>
    </row>
    <row r="41" spans="2:11" ht="14" thickBot="1">
      <c r="B41" s="145">
        <v>21</v>
      </c>
      <c r="C41" s="309"/>
      <c r="D41" s="11" t="s">
        <v>572</v>
      </c>
      <c r="E41" s="309"/>
      <c r="F41" s="407">
        <f>+F16+F30</f>
        <v>-1288868.2601626017</v>
      </c>
      <c r="G41" s="309"/>
      <c r="H41" s="430">
        <f>+H16+H30</f>
        <v>-2453645.0731707318</v>
      </c>
      <c r="I41" s="309"/>
      <c r="J41" s="407">
        <f>+J16+J30</f>
        <v>-3742513.333333334</v>
      </c>
      <c r="K41" s="4"/>
    </row>
    <row r="42" spans="2:11" ht="14" thickBot="1">
      <c r="B42" s="145"/>
      <c r="C42" s="309"/>
      <c r="D42" s="11"/>
      <c r="E42" s="309"/>
      <c r="F42" s="309"/>
      <c r="G42" s="309"/>
      <c r="H42" s="309"/>
      <c r="I42" s="309"/>
      <c r="J42" s="309"/>
      <c r="K42" s="4"/>
    </row>
    <row r="43" spans="2:11" ht="14" thickBot="1">
      <c r="B43" s="145">
        <v>22</v>
      </c>
      <c r="C43" s="309"/>
      <c r="D43" s="11" t="s">
        <v>573</v>
      </c>
      <c r="E43" s="309"/>
      <c r="F43" s="407">
        <f>+F25+F39</f>
        <v>15694</v>
      </c>
      <c r="G43" s="309"/>
      <c r="H43" s="431">
        <f>+H25+H39</f>
        <v>23542</v>
      </c>
      <c r="I43" s="309"/>
      <c r="J43" s="407">
        <f>+J25+J39</f>
        <v>39236</v>
      </c>
      <c r="K43" s="4"/>
    </row>
    <row r="44" spans="2:11">
      <c r="B44" s="145"/>
      <c r="C44" s="309"/>
      <c r="D44" s="11"/>
      <c r="E44" s="309"/>
      <c r="F44" s="309"/>
      <c r="G44" s="309"/>
      <c r="H44" s="309"/>
      <c r="I44" s="309"/>
      <c r="J44" s="5"/>
      <c r="K44" s="4"/>
    </row>
    <row r="45" spans="2:11" ht="14" thickBot="1">
      <c r="B45" s="145">
        <v>23</v>
      </c>
      <c r="C45" s="309"/>
      <c r="D45" s="137" t="s">
        <v>2</v>
      </c>
      <c r="E45" s="137"/>
      <c r="F45" s="193">
        <f>-F41-F43</f>
        <v>1273174.2601626017</v>
      </c>
      <c r="G45" s="4"/>
      <c r="H45" s="193">
        <f>-H41-H43</f>
        <v>2430103.0731707318</v>
      </c>
      <c r="I45" s="38"/>
      <c r="J45" s="193">
        <f>-J41-J43</f>
        <v>3703277.333333334</v>
      </c>
      <c r="K45" s="4"/>
    </row>
    <row r="46" spans="2:11" ht="14" thickTop="1">
      <c r="B46" s="145"/>
      <c r="C46" s="309"/>
      <c r="D46" s="11"/>
      <c r="E46" s="309"/>
      <c r="F46" s="309"/>
      <c r="G46" s="309"/>
      <c r="H46" s="309"/>
      <c r="I46" s="309"/>
      <c r="J46" s="5"/>
      <c r="K46" s="4"/>
    </row>
    <row r="47" spans="2:11">
      <c r="B47" s="145"/>
      <c r="C47" s="309"/>
      <c r="D47" s="11"/>
      <c r="E47" s="309"/>
      <c r="F47" s="309"/>
      <c r="G47" s="309"/>
      <c r="H47" s="309"/>
      <c r="I47" s="309"/>
      <c r="J47" s="5"/>
      <c r="K47" s="4"/>
    </row>
    <row r="48" spans="2:11">
      <c r="B48" s="108" t="s">
        <v>79</v>
      </c>
      <c r="C48" s="69"/>
      <c r="D48" s="69"/>
      <c r="E48" s="69"/>
      <c r="F48" s="69"/>
      <c r="G48" s="69"/>
      <c r="H48" s="69"/>
      <c r="I48" s="69"/>
      <c r="J48" s="69"/>
      <c r="K48" s="4"/>
    </row>
    <row r="49" spans="2:11">
      <c r="B49" s="63" t="s">
        <v>574</v>
      </c>
      <c r="C49" s="34"/>
      <c r="D49" s="34"/>
      <c r="E49" s="34"/>
      <c r="F49" s="43"/>
      <c r="G49" s="43"/>
      <c r="H49" s="43"/>
      <c r="I49" s="43"/>
      <c r="J49" s="43"/>
      <c r="K49" s="4"/>
    </row>
    <row r="50" spans="2:11">
      <c r="B50" s="63" t="s">
        <v>575</v>
      </c>
      <c r="C50" s="34"/>
      <c r="D50" s="34"/>
      <c r="E50" s="34"/>
      <c r="F50" s="43"/>
      <c r="G50" s="43"/>
      <c r="H50" s="43"/>
      <c r="I50" s="43"/>
      <c r="J50" s="43"/>
      <c r="K50" s="4"/>
    </row>
    <row r="51" spans="2:11">
      <c r="B51" s="63" t="s">
        <v>576</v>
      </c>
      <c r="C51" s="34"/>
      <c r="D51" s="34"/>
      <c r="E51" s="34"/>
      <c r="F51" s="43"/>
      <c r="G51" s="43"/>
      <c r="H51" s="43"/>
      <c r="I51" s="43"/>
      <c r="J51" s="43"/>
      <c r="K51" s="4"/>
    </row>
    <row r="52" spans="2:11">
      <c r="B52" s="63"/>
      <c r="K52" s="4"/>
    </row>
    <row r="53" spans="2:11">
      <c r="B53" s="145"/>
      <c r="C53" s="309"/>
      <c r="D53" s="11"/>
      <c r="E53" s="309"/>
      <c r="F53" s="309"/>
      <c r="G53" s="309"/>
      <c r="H53" s="309"/>
      <c r="I53" s="309"/>
      <c r="J53" s="5"/>
      <c r="K53" s="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8">
    <pageSetUpPr fitToPage="1"/>
  </sheetPr>
  <dimension ref="B1:P41"/>
  <sheetViews>
    <sheetView zoomScale="125" zoomScaleNormal="125" zoomScalePageLayoutView="125" workbookViewId="0">
      <selection activeCell="D30" sqref="D30"/>
    </sheetView>
  </sheetViews>
  <sheetFormatPr baseColWidth="10" defaultColWidth="8.83203125" defaultRowHeight="13"/>
  <cols>
    <col min="1" max="1" width="2.83203125" style="32" customWidth="1"/>
    <col min="2" max="2" width="5.6640625" style="32" customWidth="1"/>
    <col min="3" max="3" width="1.33203125" style="32" customWidth="1"/>
    <col min="4" max="4" width="34.1640625" style="32" customWidth="1"/>
    <col min="5" max="5" width="1.33203125" style="32" customWidth="1"/>
    <col min="6" max="6" width="14.5" style="32" customWidth="1"/>
    <col min="7" max="7" width="1.33203125" style="32" customWidth="1"/>
    <col min="8" max="8" width="11.83203125" style="32" bestFit="1" customWidth="1"/>
    <col min="9" max="9" width="1.33203125" style="32" customWidth="1"/>
    <col min="10" max="10" width="13.5" style="32" customWidth="1"/>
    <col min="11" max="11" width="2.83203125" style="32" customWidth="1"/>
    <col min="12" max="16384" width="8.83203125" style="32"/>
  </cols>
  <sheetData>
    <row r="1" spans="2:16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"/>
      <c r="L1" s="23"/>
    </row>
    <row r="2" spans="2:16" ht="16">
      <c r="B2" s="159"/>
    </row>
    <row r="3" spans="2:16">
      <c r="B3" s="11" t="str">
        <f>+'Sch 1.1'!B3</f>
        <v>Kentucky Public Service Commission</v>
      </c>
      <c r="D3" s="129"/>
      <c r="H3" s="129"/>
      <c r="J3" s="183" t="str">
        <f>+'Sch 1'!J3</f>
        <v>Case No. 2018-00295</v>
      </c>
    </row>
    <row r="4" spans="2:16">
      <c r="D4" s="129"/>
      <c r="H4" s="129"/>
      <c r="J4" s="35" t="s">
        <v>353</v>
      </c>
      <c r="N4" s="15"/>
    </row>
    <row r="5" spans="2:16">
      <c r="B5" s="84" t="str">
        <f>+'Sch 1.1'!B5</f>
        <v>Louisville Gas and Electric Company–Electric</v>
      </c>
      <c r="D5" s="61"/>
      <c r="H5" s="61"/>
      <c r="J5" s="183" t="s">
        <v>35</v>
      </c>
    </row>
    <row r="6" spans="2:16">
      <c r="B6" s="11" t="s">
        <v>352</v>
      </c>
      <c r="D6" s="61"/>
      <c r="H6" s="61"/>
    </row>
    <row r="7" spans="2:16">
      <c r="B7" s="32" t="s">
        <v>91</v>
      </c>
      <c r="D7" s="61"/>
      <c r="H7" s="61"/>
    </row>
    <row r="8" spans="2:16">
      <c r="D8" s="61"/>
      <c r="H8" s="61"/>
    </row>
    <row r="9" spans="2:16">
      <c r="B9" s="11"/>
      <c r="C9" s="11"/>
      <c r="D9" s="11"/>
      <c r="E9" s="11"/>
      <c r="F9" s="12" t="s">
        <v>19</v>
      </c>
      <c r="G9" s="11"/>
      <c r="H9" s="12"/>
      <c r="I9" s="11"/>
      <c r="J9" s="12" t="s">
        <v>25</v>
      </c>
    </row>
    <row r="10" spans="2:16" ht="14" thickBot="1">
      <c r="B10" s="45" t="s">
        <v>18</v>
      </c>
      <c r="C10" s="12"/>
      <c r="D10" s="45" t="s">
        <v>17</v>
      </c>
      <c r="E10" s="12"/>
      <c r="F10" s="175" t="s">
        <v>65</v>
      </c>
      <c r="G10" s="12"/>
      <c r="H10" s="45" t="s">
        <v>20</v>
      </c>
      <c r="I10" s="12"/>
      <c r="J10" s="45" t="s">
        <v>26</v>
      </c>
    </row>
    <row r="11" spans="2:16">
      <c r="B11" s="11"/>
      <c r="C11" s="12"/>
      <c r="D11" s="11"/>
      <c r="E11" s="12"/>
      <c r="F11" s="12" t="s">
        <v>9</v>
      </c>
      <c r="G11" s="12"/>
      <c r="H11" s="12" t="s">
        <v>10</v>
      </c>
      <c r="I11" s="12"/>
      <c r="J11" s="5" t="s">
        <v>11</v>
      </c>
    </row>
    <row r="12" spans="2:16">
      <c r="B12" s="8"/>
    </row>
    <row r="13" spans="2:16" ht="14">
      <c r="B13" s="130">
        <v>1</v>
      </c>
      <c r="D13" s="131" t="s">
        <v>164</v>
      </c>
      <c r="F13" s="132">
        <f>+'Sch 1.1'!F30</f>
        <v>2593434547</v>
      </c>
      <c r="H13" s="133">
        <f>+J13-F13</f>
        <v>-53995411.140640736</v>
      </c>
      <c r="J13" s="133">
        <f>+'Sch 1.1'!J30</f>
        <v>2539439135.8593593</v>
      </c>
    </row>
    <row r="14" spans="2:16">
      <c r="B14" s="8">
        <v>2</v>
      </c>
      <c r="D14" s="238" t="s">
        <v>119</v>
      </c>
      <c r="F14" s="109">
        <f>+F40</f>
        <v>2.1122439564091204E-2</v>
      </c>
      <c r="H14" s="134"/>
      <c r="J14" s="109">
        <f>+J40</f>
        <v>2.1122439564091204E-2</v>
      </c>
      <c r="L14" s="135"/>
      <c r="M14" s="136"/>
      <c r="N14" s="135"/>
      <c r="O14" s="135"/>
      <c r="P14" s="135"/>
    </row>
    <row r="15" spans="2:16">
      <c r="B15" s="8">
        <v>3</v>
      </c>
      <c r="D15" s="238" t="s">
        <v>91</v>
      </c>
      <c r="F15" s="40">
        <f>+F13*F14</f>
        <v>54779664.482433751</v>
      </c>
      <c r="H15" s="134"/>
      <c r="J15" s="40">
        <f>+J13*J14</f>
        <v>53639149.673877306</v>
      </c>
      <c r="L15" s="135"/>
      <c r="M15" s="136"/>
      <c r="N15" s="135"/>
      <c r="O15" s="135"/>
      <c r="P15" s="135"/>
    </row>
    <row r="16" spans="2:16">
      <c r="B16" s="8"/>
      <c r="D16" s="238"/>
      <c r="F16" s="354"/>
      <c r="H16" s="134"/>
      <c r="J16" s="354"/>
      <c r="L16" s="135"/>
      <c r="M16" s="136"/>
      <c r="N16" s="135"/>
      <c r="O16" s="135"/>
      <c r="P16" s="135"/>
    </row>
    <row r="17" spans="2:16">
      <c r="B17" s="8">
        <v>4</v>
      </c>
      <c r="D17" s="238" t="s">
        <v>367</v>
      </c>
      <c r="F17" s="359">
        <v>79720142</v>
      </c>
      <c r="H17" s="134"/>
      <c r="J17" s="359">
        <f>+F17+H17</f>
        <v>79720142</v>
      </c>
      <c r="L17" s="135"/>
      <c r="M17" s="136"/>
      <c r="N17" s="135"/>
      <c r="O17" s="135"/>
      <c r="P17" s="135"/>
    </row>
    <row r="18" spans="2:16">
      <c r="B18" s="8"/>
      <c r="D18" s="238"/>
      <c r="F18" s="354"/>
      <c r="H18" s="134"/>
      <c r="J18" s="354"/>
      <c r="L18" s="135"/>
      <c r="M18" s="136"/>
      <c r="N18" s="135"/>
      <c r="O18" s="135"/>
      <c r="P18" s="135"/>
    </row>
    <row r="19" spans="2:16">
      <c r="B19" s="8">
        <v>5</v>
      </c>
      <c r="D19" s="238" t="s">
        <v>368</v>
      </c>
      <c r="F19" s="358">
        <f>+F15-F17</f>
        <v>-24940477.517566249</v>
      </c>
      <c r="H19" s="134"/>
      <c r="J19" s="358">
        <f>+J15-J17</f>
        <v>-26080992.326122694</v>
      </c>
    </row>
    <row r="20" spans="2:16">
      <c r="B20" s="8"/>
      <c r="F20" s="177"/>
    </row>
    <row r="21" spans="2:16">
      <c r="B21" s="8">
        <v>6</v>
      </c>
      <c r="D21" s="20" t="s">
        <v>149</v>
      </c>
      <c r="E21" s="20"/>
      <c r="F21" s="79">
        <f>+'Sch 1.2'!$F$18</f>
        <v>0.05</v>
      </c>
      <c r="G21" s="21"/>
      <c r="H21" s="21"/>
      <c r="I21" s="21"/>
      <c r="J21" s="79">
        <f>+'Sch 1.2'!$J$18</f>
        <v>0.05</v>
      </c>
    </row>
    <row r="22" spans="2:16" ht="14" thickBot="1">
      <c r="B22" s="8">
        <v>7</v>
      </c>
      <c r="D22" s="20" t="s">
        <v>150</v>
      </c>
      <c r="E22" s="20"/>
      <c r="F22" s="47">
        <f>ROUND(-F21*F19,0)</f>
        <v>1247024</v>
      </c>
      <c r="G22" s="4"/>
      <c r="H22" s="47">
        <f>+J22-F22</f>
        <v>57026</v>
      </c>
      <c r="I22" s="38"/>
      <c r="J22" s="47">
        <f>ROUND(-J21*J19,0)</f>
        <v>1304050</v>
      </c>
    </row>
    <row r="23" spans="2:16" ht="14" thickTop="1">
      <c r="B23" s="8"/>
      <c r="D23" s="20"/>
      <c r="E23" s="20"/>
      <c r="F23" s="19"/>
      <c r="J23" s="19"/>
    </row>
    <row r="24" spans="2:16">
      <c r="B24" s="8">
        <v>8</v>
      </c>
      <c r="D24" s="20" t="s">
        <v>33</v>
      </c>
      <c r="E24" s="20"/>
      <c r="F24" s="19">
        <f>+F19+F22</f>
        <v>-23693453.517566249</v>
      </c>
      <c r="J24" s="19">
        <f>+J19+J22</f>
        <v>-24776942.326122694</v>
      </c>
    </row>
    <row r="25" spans="2:16">
      <c r="B25" s="8">
        <v>9</v>
      </c>
      <c r="D25" s="20" t="s">
        <v>32</v>
      </c>
      <c r="E25" s="20"/>
      <c r="F25" s="48">
        <f>+'Sch 1.2'!$F$22</f>
        <v>0.21</v>
      </c>
      <c r="J25" s="48">
        <f>+'Sch 1.2'!$F$22</f>
        <v>0.21</v>
      </c>
    </row>
    <row r="26" spans="2:16" ht="14" thickBot="1">
      <c r="B26" s="8">
        <v>10</v>
      </c>
      <c r="D26" s="26" t="s">
        <v>151</v>
      </c>
      <c r="F26" s="47">
        <f>ROUND(-F25*F24,0)</f>
        <v>4975625</v>
      </c>
      <c r="G26" s="4"/>
      <c r="H26" s="47">
        <f>+J26-F26</f>
        <v>227533</v>
      </c>
      <c r="I26" s="38"/>
      <c r="J26" s="47">
        <f>ROUND(-J25*J24,0)</f>
        <v>5203158</v>
      </c>
    </row>
    <row r="27" spans="2:16" ht="15" thickTop="1" thickBot="1">
      <c r="B27" s="8"/>
      <c r="D27" s="93"/>
      <c r="E27" s="137"/>
      <c r="F27" s="49"/>
      <c r="G27" s="4"/>
      <c r="H27" s="38"/>
      <c r="I27" s="38"/>
      <c r="J27" s="49"/>
    </row>
    <row r="28" spans="2:16" ht="14" thickBot="1">
      <c r="B28" s="8">
        <v>11</v>
      </c>
      <c r="D28" s="93" t="s">
        <v>152</v>
      </c>
      <c r="E28" s="137"/>
      <c r="F28" s="47">
        <f>+F22+F26</f>
        <v>6222649</v>
      </c>
      <c r="G28" s="4"/>
      <c r="H28" s="138">
        <f>+J28-F28</f>
        <v>284559</v>
      </c>
      <c r="I28" s="38"/>
      <c r="J28" s="47">
        <f>+J22+J26</f>
        <v>6507208</v>
      </c>
      <c r="K28" s="140"/>
    </row>
    <row r="29" spans="2:16" ht="14" thickTop="1">
      <c r="B29" s="8"/>
      <c r="D29" s="137"/>
      <c r="E29" s="137"/>
      <c r="F29" s="50"/>
      <c r="G29" s="4"/>
      <c r="H29" s="38"/>
      <c r="I29" s="38"/>
      <c r="J29" s="50"/>
    </row>
    <row r="30" spans="2:16" ht="14" thickBot="1">
      <c r="B30" s="8">
        <v>12</v>
      </c>
      <c r="D30" s="137" t="s">
        <v>2</v>
      </c>
      <c r="E30" s="137"/>
      <c r="F30" s="193">
        <f>+F28</f>
        <v>6222649</v>
      </c>
      <c r="G30" s="4"/>
      <c r="H30" s="47">
        <f>-H19-H28</f>
        <v>-284559</v>
      </c>
      <c r="I30" s="38"/>
      <c r="J30" s="193">
        <f>+J28</f>
        <v>6507208</v>
      </c>
    </row>
    <row r="31" spans="2:16" ht="14" thickTop="1">
      <c r="B31" s="8"/>
      <c r="D31" s="11"/>
      <c r="E31" s="240"/>
      <c r="F31" s="240"/>
      <c r="G31" s="240"/>
      <c r="H31" s="240"/>
      <c r="I31" s="240"/>
      <c r="J31" s="5"/>
    </row>
    <row r="33" spans="2:10">
      <c r="B33" s="108" t="s">
        <v>79</v>
      </c>
      <c r="C33" s="69"/>
      <c r="D33" s="69"/>
      <c r="E33" s="69"/>
      <c r="F33" s="69"/>
      <c r="G33" s="69"/>
      <c r="H33" s="69"/>
      <c r="I33" s="69"/>
      <c r="J33" s="69"/>
    </row>
    <row r="34" spans="2:10">
      <c r="B34" s="187" t="s">
        <v>369</v>
      </c>
      <c r="C34" s="4"/>
      <c r="D34" s="4"/>
      <c r="E34" s="4"/>
      <c r="F34" s="4"/>
      <c r="G34" s="4"/>
      <c r="H34" s="4"/>
      <c r="I34" s="4"/>
      <c r="J34" s="4"/>
    </row>
    <row r="35" spans="2:10">
      <c r="B35" s="187" t="s">
        <v>117</v>
      </c>
    </row>
    <row r="36" spans="2:10">
      <c r="B36" s="63" t="s">
        <v>90</v>
      </c>
    </row>
    <row r="37" spans="2:10">
      <c r="D37" s="238" t="s">
        <v>136</v>
      </c>
    </row>
    <row r="38" spans="2:10">
      <c r="D38" s="199" t="s">
        <v>135</v>
      </c>
      <c r="F38" s="21">
        <f>+'Sch 2'!L14</f>
        <v>6.1517922210350734E-4</v>
      </c>
      <c r="J38" s="21">
        <f>+'Sch 2'!L21</f>
        <v>6.1517922210350734E-4</v>
      </c>
    </row>
    <row r="39" spans="2:10">
      <c r="D39" s="199" t="s">
        <v>30</v>
      </c>
      <c r="F39" s="21">
        <f>+'Sch 2'!L15</f>
        <v>2.0507260341987698E-2</v>
      </c>
      <c r="J39" s="21">
        <f>+'Sch 2'!L22</f>
        <v>2.0507260341987698E-2</v>
      </c>
    </row>
    <row r="40" spans="2:10" ht="14" thickBot="1">
      <c r="F40" s="248">
        <f>+F38+F39</f>
        <v>2.1122439564091204E-2</v>
      </c>
      <c r="J40" s="248">
        <f>+J38+J39</f>
        <v>2.1122439564091204E-2</v>
      </c>
    </row>
    <row r="41" spans="2:10" ht="14" thickTop="1"/>
  </sheetData>
  <mergeCells count="1">
    <mergeCell ref="B1:J1"/>
  </mergeCells>
  <phoneticPr fontId="4" type="noConversion"/>
  <printOptions horizontalCentered="1"/>
  <pageMargins left="0.75" right="0.75" top="1" bottom="1" header="0.5" footer="0.5"/>
  <pageSetup scale="9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L35"/>
  <sheetViews>
    <sheetView showGridLines="0" zoomScale="125" zoomScaleNormal="125" zoomScalePageLayoutView="125" workbookViewId="0">
      <selection activeCell="B2" sqref="B2"/>
    </sheetView>
  </sheetViews>
  <sheetFormatPr baseColWidth="10" defaultColWidth="8.83203125" defaultRowHeight="13"/>
  <cols>
    <col min="1" max="1" width="2.83203125" style="32" customWidth="1"/>
    <col min="2" max="2" width="5.6640625" style="32" customWidth="1"/>
    <col min="3" max="3" width="1.33203125" style="32" customWidth="1"/>
    <col min="4" max="4" width="35.33203125" style="32" customWidth="1"/>
    <col min="5" max="5" width="1.33203125" style="32" customWidth="1"/>
    <col min="6" max="6" width="14.5" style="32" customWidth="1"/>
    <col min="7" max="7" width="1.33203125" style="32" customWidth="1"/>
    <col min="8" max="8" width="14.33203125" style="32" customWidth="1"/>
    <col min="9" max="9" width="1.33203125" style="32" customWidth="1"/>
    <col min="10" max="10" width="12.6640625" style="32" customWidth="1"/>
    <col min="11" max="11" width="3.5" style="32" customWidth="1"/>
    <col min="12" max="16384" width="8.83203125" style="32"/>
  </cols>
  <sheetData>
    <row r="1" spans="2:12" ht="20">
      <c r="B1" s="444" t="s">
        <v>617</v>
      </c>
      <c r="C1" s="444"/>
      <c r="D1" s="444"/>
      <c r="E1" s="444"/>
      <c r="F1" s="444"/>
      <c r="G1" s="444"/>
      <c r="H1" s="444"/>
      <c r="I1" s="444"/>
      <c r="J1" s="444"/>
    </row>
    <row r="2" spans="2:12" ht="16">
      <c r="B2" s="81"/>
    </row>
    <row r="3" spans="2:12">
      <c r="B3" s="11" t="str">
        <f>+'Sch 1.1'!B3</f>
        <v>Kentucky Public Service Commission</v>
      </c>
      <c r="J3" s="32" t="str">
        <f>+'Sch 1.1'!J3</f>
        <v>Case No. 2018-00295</v>
      </c>
    </row>
    <row r="4" spans="2:12">
      <c r="J4" s="44" t="s">
        <v>190</v>
      </c>
    </row>
    <row r="5" spans="2:12">
      <c r="B5" s="84" t="str">
        <f>+'Sch 1.1'!B5</f>
        <v>Louisville Gas and Electric Company–Electric</v>
      </c>
      <c r="J5" s="26"/>
    </row>
    <row r="6" spans="2:12">
      <c r="B6" s="11" t="str">
        <f>+'Sch 1.1'!B6</f>
        <v>Base Period ending December 31, 2018; Fully Forecasted Test Period ending April 30, 2020</v>
      </c>
    </row>
    <row r="7" spans="2:12">
      <c r="B7" s="26" t="s">
        <v>118</v>
      </c>
    </row>
    <row r="8" spans="2:12">
      <c r="B8" s="44"/>
    </row>
    <row r="9" spans="2:12">
      <c r="B9" s="44"/>
      <c r="F9" s="71"/>
    </row>
    <row r="10" spans="2:12">
      <c r="F10" s="447"/>
      <c r="G10" s="447"/>
      <c r="H10" s="71"/>
      <c r="I10" s="4"/>
      <c r="J10" s="71"/>
    </row>
    <row r="11" spans="2:12" ht="14" thickBot="1">
      <c r="B11" s="45" t="s">
        <v>18</v>
      </c>
      <c r="C11" s="12"/>
      <c r="D11" s="45" t="s">
        <v>17</v>
      </c>
      <c r="E11" s="12"/>
      <c r="F11" s="176" t="s">
        <v>19</v>
      </c>
      <c r="G11" s="71"/>
      <c r="H11" s="176" t="s">
        <v>114</v>
      </c>
      <c r="I11" s="12"/>
      <c r="J11" s="176" t="s">
        <v>69</v>
      </c>
    </row>
    <row r="12" spans="2:12">
      <c r="B12" s="12"/>
      <c r="C12" s="12"/>
      <c r="D12" s="11"/>
      <c r="E12" s="12"/>
      <c r="F12" s="12" t="s">
        <v>9</v>
      </c>
      <c r="G12" s="162"/>
      <c r="H12" s="5" t="s">
        <v>10</v>
      </c>
      <c r="I12" s="12"/>
      <c r="J12" s="309" t="s">
        <v>11</v>
      </c>
    </row>
    <row r="13" spans="2:12" s="34" customFormat="1"/>
    <row r="14" spans="2:12" s="34" customFormat="1" ht="20" customHeight="1">
      <c r="B14" s="110">
        <v>1</v>
      </c>
      <c r="D14" s="34" t="s">
        <v>158</v>
      </c>
      <c r="F14" s="56">
        <f>+'Sch 1.1'!F30</f>
        <v>2593434547</v>
      </c>
      <c r="G14" s="56"/>
      <c r="H14" s="56">
        <f>+'Sch 1.1'!J30</f>
        <v>2539439135.8593593</v>
      </c>
      <c r="I14" s="72"/>
      <c r="J14" s="56">
        <f t="shared" ref="J14:J22" si="0">+H14-F14</f>
        <v>-53995411.140640736</v>
      </c>
      <c r="L14" s="141" t="s">
        <v>95</v>
      </c>
    </row>
    <row r="15" spans="2:12" s="34" customFormat="1" ht="20" customHeight="1">
      <c r="B15" s="110">
        <v>2</v>
      </c>
      <c r="D15" s="34" t="s">
        <v>22</v>
      </c>
      <c r="F15" s="142">
        <f>+'Sch 1.1'!F32</f>
        <v>7.6178470192420772E-2</v>
      </c>
      <c r="G15" s="164"/>
      <c r="H15" s="142">
        <f>+'Sch 1.1'!J32</f>
        <v>7.2374214717142712E-2</v>
      </c>
      <c r="I15" s="72"/>
      <c r="J15" s="142">
        <f t="shared" si="0"/>
        <v>-3.8042554752780594E-3</v>
      </c>
    </row>
    <row r="16" spans="2:12" s="34" customFormat="1" ht="20" customHeight="1">
      <c r="B16" s="110">
        <v>3</v>
      </c>
      <c r="D16" s="34" t="s">
        <v>29</v>
      </c>
      <c r="F16" s="43">
        <f>+F14*F15</f>
        <v>197563876.33463377</v>
      </c>
      <c r="G16" s="43"/>
      <c r="H16" s="43">
        <f>+H14*H15</f>
        <v>183789913.27980062</v>
      </c>
      <c r="I16" s="72"/>
      <c r="J16" s="43">
        <f t="shared" si="0"/>
        <v>-13773963.054833144</v>
      </c>
    </row>
    <row r="17" spans="2:11" s="34" customFormat="1" ht="20" customHeight="1">
      <c r="B17" s="110">
        <v>4</v>
      </c>
      <c r="D17" s="53" t="s">
        <v>86</v>
      </c>
      <c r="F17" s="143">
        <f>+'Sch 1.1'!F49</f>
        <v>171415400</v>
      </c>
      <c r="G17" s="148"/>
      <c r="H17" s="143">
        <f>+'Sch 1.1'!J49</f>
        <v>184228468.02302194</v>
      </c>
      <c r="I17" s="72"/>
      <c r="J17" s="143">
        <f t="shared" si="0"/>
        <v>12813068.023021936</v>
      </c>
    </row>
    <row r="18" spans="2:11" s="34" customFormat="1" ht="20" customHeight="1">
      <c r="B18" s="110">
        <v>5</v>
      </c>
      <c r="D18" s="53" t="s">
        <v>87</v>
      </c>
      <c r="F18" s="43">
        <f>+F16-F17</f>
        <v>26148476.334633768</v>
      </c>
      <c r="G18" s="43"/>
      <c r="H18" s="43">
        <f>+H16-H17</f>
        <v>-438554.74322131276</v>
      </c>
      <c r="I18" s="72"/>
      <c r="J18" s="43">
        <f t="shared" si="0"/>
        <v>-26587031.07785508</v>
      </c>
    </row>
    <row r="19" spans="2:11" s="34" customFormat="1" ht="20" customHeight="1">
      <c r="B19" s="110">
        <v>6</v>
      </c>
      <c r="D19" s="34" t="s">
        <v>163</v>
      </c>
      <c r="F19" s="143">
        <f>(F18*'Sch 1.1'!F52)-+F18</f>
        <v>8826535.7192518786</v>
      </c>
      <c r="G19" s="43"/>
      <c r="H19" s="271">
        <f>(H18*+'Sch 1.1'!J52)-H18</f>
        <v>-148189.26322614239</v>
      </c>
      <c r="I19" s="72"/>
      <c r="J19" s="143">
        <f t="shared" si="0"/>
        <v>-8974724.9824780207</v>
      </c>
    </row>
    <row r="20" spans="2:11" s="34" customFormat="1" ht="20" customHeight="1">
      <c r="B20" s="110">
        <v>7</v>
      </c>
      <c r="D20" s="34" t="s">
        <v>120</v>
      </c>
      <c r="F20" s="43">
        <f>+F18+F19</f>
        <v>34975012.053885646</v>
      </c>
      <c r="G20" s="43"/>
      <c r="H20" s="43">
        <f>+H18+H19</f>
        <v>-586744.00644745515</v>
      </c>
      <c r="I20" s="72"/>
      <c r="J20" s="43">
        <f t="shared" si="0"/>
        <v>-35561756.060333103</v>
      </c>
    </row>
    <row r="21" spans="2:11" s="34" customFormat="1" ht="20" customHeight="1">
      <c r="B21" s="110">
        <v>8</v>
      </c>
      <c r="D21" s="63" t="s">
        <v>160</v>
      </c>
      <c r="F21" s="143">
        <f>+'Sch 1.1'!F54</f>
        <v>-87527</v>
      </c>
      <c r="H21" s="143">
        <f>+'Sch 1.1'!J54</f>
        <v>-87527</v>
      </c>
      <c r="J21" s="43">
        <f t="shared" si="0"/>
        <v>0</v>
      </c>
    </row>
    <row r="22" spans="2:11" s="34" customFormat="1" ht="20" customHeight="1" thickBot="1">
      <c r="B22" s="110">
        <v>9</v>
      </c>
      <c r="C22" s="180"/>
      <c r="D22" s="34" t="s">
        <v>616</v>
      </c>
      <c r="F22" s="270">
        <f>+F20+F21</f>
        <v>34887485.053885646</v>
      </c>
      <c r="H22" s="270">
        <f>+H20+H21</f>
        <v>-674271.00644745515</v>
      </c>
      <c r="I22" s="180"/>
      <c r="J22" s="270">
        <f t="shared" si="0"/>
        <v>-35561756.060333103</v>
      </c>
    </row>
    <row r="23" spans="2:11" s="34" customFormat="1" ht="14" thickTop="1">
      <c r="B23" s="63"/>
      <c r="D23" s="63"/>
      <c r="H23" s="144"/>
    </row>
    <row r="24" spans="2:11" s="34" customFormat="1">
      <c r="B24" s="112" t="s">
        <v>79</v>
      </c>
      <c r="C24" s="272"/>
      <c r="D24" s="272"/>
      <c r="E24" s="112"/>
      <c r="F24" s="112"/>
      <c r="G24" s="112"/>
      <c r="H24" s="112"/>
      <c r="I24" s="112"/>
      <c r="J24" s="112"/>
      <c r="K24" s="112"/>
    </row>
    <row r="25" spans="2:11" s="34" customFormat="1">
      <c r="B25" s="63" t="s">
        <v>104</v>
      </c>
      <c r="C25" s="262"/>
      <c r="D25" s="262"/>
    </row>
    <row r="26" spans="2:11" s="34" customFormat="1">
      <c r="D26" s="219"/>
      <c r="E26" s="219"/>
      <c r="F26" s="219"/>
      <c r="G26" s="219"/>
      <c r="H26" s="219"/>
      <c r="I26" s="219"/>
      <c r="J26" s="219"/>
    </row>
    <row r="27" spans="2:11" s="34" customFormat="1">
      <c r="D27" s="220" t="s">
        <v>81</v>
      </c>
      <c r="E27" s="221"/>
      <c r="F27" s="221">
        <f>+'Sch 1.1'!F53</f>
        <v>34975012.053885646</v>
      </c>
      <c r="G27" s="221"/>
      <c r="H27" s="221">
        <f>+'Sch 1.1'!J53</f>
        <v>-586744.00644745515</v>
      </c>
      <c r="I27" s="221"/>
      <c r="J27" s="221">
        <f>+'Sch 1.1'!H53</f>
        <v>-35561756.060333103</v>
      </c>
    </row>
    <row r="28" spans="2:11" s="34" customFormat="1">
      <c r="D28" s="219"/>
      <c r="E28" s="219"/>
      <c r="F28" s="221">
        <f>+F20-F27</f>
        <v>0</v>
      </c>
      <c r="G28" s="221"/>
      <c r="H28" s="221">
        <f>+H20-H27</f>
        <v>0</v>
      </c>
      <c r="I28" s="221"/>
      <c r="J28" s="221">
        <f>+J20-J27</f>
        <v>0</v>
      </c>
    </row>
    <row r="29" spans="2:11" s="34" customFormat="1"/>
    <row r="30" spans="2:11" s="34" customFormat="1"/>
    <row r="31" spans="2:11" s="34" customFormat="1"/>
    <row r="32" spans="2:11" s="34" customFormat="1">
      <c r="H32" s="53" t="s">
        <v>67</v>
      </c>
    </row>
    <row r="33" s="34" customFormat="1"/>
    <row r="34" s="34" customFormat="1"/>
    <row r="35" s="34" customFormat="1"/>
  </sheetData>
  <mergeCells count="2">
    <mergeCell ref="B1:J1"/>
    <mergeCell ref="F10:G10"/>
  </mergeCells>
  <phoneticPr fontId="4" type="noConversion"/>
  <printOptions horizontalCentered="1"/>
  <pageMargins left="0.7" right="0.7" top="0.75" bottom="0.75" header="0.3" footer="0.3"/>
  <pageSetup scale="90" orientation="portrait"/>
  <ignoredErrors>
    <ignoredError sqref="F21:H2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9">
    <pageSetUpPr fitToPage="1"/>
  </sheetPr>
  <dimension ref="B1:L44"/>
  <sheetViews>
    <sheetView zoomScale="141" zoomScaleNormal="141" zoomScalePageLayoutView="141" workbookViewId="0">
      <selection activeCell="F35" sqref="F35"/>
    </sheetView>
  </sheetViews>
  <sheetFormatPr baseColWidth="10" defaultColWidth="8.83203125" defaultRowHeight="13"/>
  <cols>
    <col min="1" max="1" width="2.83203125" style="30" customWidth="1"/>
    <col min="2" max="2" width="5.6640625" style="30" customWidth="1"/>
    <col min="3" max="3" width="1.33203125" style="30" customWidth="1"/>
    <col min="4" max="4" width="35.5" style="30" customWidth="1"/>
    <col min="5" max="5" width="1.33203125" style="30" customWidth="1"/>
    <col min="6" max="6" width="12.6640625" style="30" customWidth="1"/>
    <col min="7" max="7" width="1.33203125" style="30" customWidth="1"/>
    <col min="8" max="8" width="12.6640625" style="30" customWidth="1"/>
    <col min="9" max="9" width="1.33203125" style="30" customWidth="1"/>
    <col min="10" max="10" width="12.6640625" style="30" customWidth="1"/>
    <col min="11" max="11" width="2.83203125" style="30" customWidth="1"/>
    <col min="12" max="16384" width="8.83203125" style="30"/>
  </cols>
  <sheetData>
    <row r="1" spans="2:12" ht="16">
      <c r="B1" s="452"/>
      <c r="C1" s="452"/>
      <c r="D1" s="452"/>
      <c r="E1" s="452"/>
      <c r="F1" s="452"/>
      <c r="G1" s="452"/>
      <c r="H1" s="452"/>
      <c r="I1" s="452"/>
      <c r="J1" s="452"/>
      <c r="K1" s="23"/>
      <c r="L1" s="81" t="s">
        <v>96</v>
      </c>
    </row>
    <row r="3" spans="2:12">
      <c r="B3" s="1" t="str">
        <f>+'Sch 1.1'!B3</f>
        <v>Kentucky Public Service Commission</v>
      </c>
      <c r="J3" s="183" t="str">
        <f>+'Sch 1.1'!J3</f>
        <v>Case No. 2018-00295</v>
      </c>
    </row>
    <row r="4" spans="2:12">
      <c r="J4" s="184" t="s">
        <v>93</v>
      </c>
    </row>
    <row r="5" spans="2:12">
      <c r="B5" s="3" t="str">
        <f>+'Sch 1.1'!B5</f>
        <v>Louisville Gas and Electric Company–Electric</v>
      </c>
      <c r="J5" s="35" t="s">
        <v>35</v>
      </c>
    </row>
    <row r="6" spans="2:12">
      <c r="B6" s="1" t="s">
        <v>40</v>
      </c>
    </row>
    <row r="7" spans="2:12">
      <c r="B7" s="26"/>
      <c r="C7" s="32"/>
      <c r="D7" s="32"/>
    </row>
    <row r="8" spans="2:12">
      <c r="B8" s="26"/>
    </row>
    <row r="9" spans="2:12">
      <c r="B9" s="1"/>
      <c r="C9" s="1"/>
      <c r="D9" s="1"/>
      <c r="E9" s="1"/>
      <c r="F9" s="52" t="s">
        <v>19</v>
      </c>
      <c r="G9" s="1"/>
      <c r="H9" s="52"/>
      <c r="I9" s="1"/>
      <c r="J9" s="2" t="s">
        <v>25</v>
      </c>
    </row>
    <row r="10" spans="2:12" ht="14" thickBot="1">
      <c r="B10" s="29" t="s">
        <v>18</v>
      </c>
      <c r="C10" s="2"/>
      <c r="D10" s="29" t="s">
        <v>17</v>
      </c>
      <c r="E10" s="2"/>
      <c r="F10" s="51" t="s">
        <v>65</v>
      </c>
      <c r="G10" s="52"/>
      <c r="H10" s="51" t="s">
        <v>20</v>
      </c>
      <c r="I10" s="2"/>
      <c r="J10" s="29" t="s">
        <v>26</v>
      </c>
    </row>
    <row r="11" spans="2:12">
      <c r="B11" s="2"/>
      <c r="C11" s="2"/>
      <c r="D11" s="1"/>
      <c r="E11" s="2"/>
      <c r="F11" s="2" t="s">
        <v>9</v>
      </c>
      <c r="G11" s="2"/>
      <c r="H11" s="2" t="s">
        <v>10</v>
      </c>
      <c r="I11" s="2"/>
      <c r="J11" s="5" t="s">
        <v>11</v>
      </c>
    </row>
    <row r="12" spans="2:12" s="27" customFormat="1"/>
    <row r="13" spans="2:12" s="27" customFormat="1">
      <c r="B13" s="28"/>
      <c r="F13" s="36"/>
      <c r="G13" s="36"/>
      <c r="H13" s="36"/>
      <c r="I13" s="36"/>
      <c r="J13" s="36"/>
    </row>
    <row r="14" spans="2:12" s="27" customFormat="1">
      <c r="B14" s="28"/>
      <c r="F14" s="36"/>
      <c r="G14" s="36"/>
      <c r="H14" s="36"/>
      <c r="I14" s="36"/>
      <c r="J14" s="36"/>
    </row>
    <row r="15" spans="2:12" s="27" customFormat="1" ht="14" thickBot="1">
      <c r="B15" s="28"/>
      <c r="F15" s="36"/>
      <c r="G15" s="36"/>
      <c r="H15" s="36"/>
      <c r="I15" s="36"/>
      <c r="J15" s="36"/>
    </row>
    <row r="16" spans="2:12" s="27" customFormat="1" ht="14" thickBot="1">
      <c r="B16" s="28"/>
      <c r="F16" s="76"/>
      <c r="G16" s="36"/>
      <c r="H16" s="54">
        <f>+J16-F16</f>
        <v>0</v>
      </c>
      <c r="I16" s="36"/>
      <c r="J16" s="76"/>
    </row>
    <row r="17" spans="2:12" s="27" customFormat="1">
      <c r="B17" s="28"/>
      <c r="F17" s="36"/>
      <c r="G17" s="36"/>
      <c r="H17" s="36"/>
      <c r="I17" s="36"/>
      <c r="J17" s="36"/>
    </row>
    <row r="18" spans="2:12" ht="14" thickBot="1">
      <c r="B18" s="33">
        <v>4</v>
      </c>
      <c r="D18" s="20" t="s">
        <v>107</v>
      </c>
      <c r="E18" s="20"/>
      <c r="F18" s="79">
        <f>+'Sch 1.2'!$F$18</f>
        <v>0.05</v>
      </c>
      <c r="G18" s="21"/>
      <c r="H18" s="21"/>
      <c r="I18" s="21"/>
      <c r="J18" s="79">
        <f>+F18+H18</f>
        <v>0.05</v>
      </c>
      <c r="K18" s="31"/>
    </row>
    <row r="19" spans="2:12" ht="14" thickBot="1">
      <c r="B19" s="33">
        <v>5</v>
      </c>
      <c r="D19" s="20" t="s">
        <v>108</v>
      </c>
      <c r="E19" s="20"/>
      <c r="F19" s="47">
        <f>ROUND(-F18*F16,0)</f>
        <v>0</v>
      </c>
      <c r="G19" s="32"/>
      <c r="H19" s="54">
        <f>+J19-F19</f>
        <v>0</v>
      </c>
      <c r="I19" s="32"/>
      <c r="J19" s="47">
        <f>ROUND(-J18*J16,0)</f>
        <v>0</v>
      </c>
      <c r="K19" s="31"/>
    </row>
    <row r="20" spans="2:12" ht="14" thickTop="1">
      <c r="B20" s="33"/>
      <c r="D20" s="20"/>
      <c r="E20" s="20"/>
      <c r="F20" s="19"/>
      <c r="G20" s="32"/>
      <c r="H20" s="32"/>
      <c r="I20" s="32"/>
      <c r="J20" s="19"/>
    </row>
    <row r="21" spans="2:12">
      <c r="B21" s="33">
        <v>6</v>
      </c>
      <c r="D21" s="20" t="s">
        <v>33</v>
      </c>
      <c r="E21" s="20"/>
      <c r="F21" s="19">
        <f>+F16+F19</f>
        <v>0</v>
      </c>
      <c r="G21" s="32"/>
      <c r="H21" s="32"/>
      <c r="I21" s="32"/>
      <c r="J21" s="19">
        <f>+J16+J19</f>
        <v>0</v>
      </c>
    </row>
    <row r="22" spans="2:12" ht="14" thickBot="1">
      <c r="B22" s="33">
        <v>7</v>
      </c>
      <c r="D22" s="20" t="s">
        <v>32</v>
      </c>
      <c r="E22" s="20"/>
      <c r="F22" s="48">
        <f>+'Sch 1.2'!$F$22</f>
        <v>0.21</v>
      </c>
      <c r="G22" s="32"/>
      <c r="H22" s="32"/>
      <c r="I22" s="32"/>
      <c r="J22" s="48">
        <f>+F22+H22</f>
        <v>0.21</v>
      </c>
    </row>
    <row r="23" spans="2:12" ht="14" thickBot="1">
      <c r="B23" s="33">
        <v>8</v>
      </c>
      <c r="D23" s="26" t="s">
        <v>109</v>
      </c>
      <c r="E23" s="32"/>
      <c r="F23" s="47">
        <f>ROUND(-F22*F21,0)</f>
        <v>0</v>
      </c>
      <c r="G23" s="32"/>
      <c r="H23" s="54">
        <f>+J23-F23</f>
        <v>0</v>
      </c>
      <c r="I23" s="32"/>
      <c r="J23" s="47">
        <f>ROUND(-J22*J21,0)</f>
        <v>0</v>
      </c>
    </row>
    <row r="24" spans="2:12" ht="14" thickTop="1">
      <c r="B24" s="33"/>
      <c r="D24" s="16"/>
      <c r="E24" s="17"/>
      <c r="F24" s="49"/>
      <c r="G24" s="4"/>
      <c r="H24" s="38"/>
      <c r="I24" s="38"/>
      <c r="J24" s="49"/>
    </row>
    <row r="25" spans="2:12" ht="14" thickBot="1">
      <c r="B25" s="33">
        <v>9</v>
      </c>
      <c r="D25" s="16" t="s">
        <v>68</v>
      </c>
      <c r="E25" s="17"/>
      <c r="F25" s="47">
        <f>+F19+F23</f>
        <v>0</v>
      </c>
      <c r="G25" s="4"/>
      <c r="H25" s="47">
        <f>+J25-F25</f>
        <v>0</v>
      </c>
      <c r="I25" s="38"/>
      <c r="J25" s="47">
        <f>+J19+J23</f>
        <v>0</v>
      </c>
      <c r="K25" s="24"/>
      <c r="L25" s="25"/>
    </row>
    <row r="26" spans="2:12" ht="14" thickTop="1">
      <c r="B26" s="33"/>
      <c r="D26" s="17"/>
      <c r="E26" s="17"/>
      <c r="F26" s="50"/>
      <c r="G26" s="4"/>
      <c r="H26" s="38"/>
      <c r="I26" s="38"/>
      <c r="J26" s="50"/>
      <c r="K26" s="31"/>
    </row>
    <row r="27" spans="2:12" ht="14" thickBot="1">
      <c r="B27" s="33">
        <v>10</v>
      </c>
      <c r="D27" s="17" t="s">
        <v>2</v>
      </c>
      <c r="E27" s="17"/>
      <c r="F27" s="47">
        <f>-F16-F25</f>
        <v>0</v>
      </c>
      <c r="G27" s="4"/>
      <c r="H27" s="47">
        <f>+J27-F27</f>
        <v>0</v>
      </c>
      <c r="I27" s="38"/>
      <c r="J27" s="47">
        <f>-J16-J25</f>
        <v>0</v>
      </c>
    </row>
    <row r="28" spans="2:12" ht="14" thickTop="1">
      <c r="B28" s="33"/>
      <c r="D28" s="17"/>
      <c r="E28" s="17"/>
      <c r="F28" s="19"/>
      <c r="G28" s="4"/>
      <c r="H28" s="19"/>
      <c r="I28" s="38"/>
      <c r="J28" s="19"/>
    </row>
    <row r="29" spans="2:12">
      <c r="D29" s="32"/>
    </row>
    <row r="30" spans="2:12">
      <c r="B30" s="57" t="s">
        <v>79</v>
      </c>
      <c r="C30" s="55"/>
      <c r="D30" s="55"/>
      <c r="E30" s="55"/>
      <c r="F30" s="55"/>
      <c r="G30" s="55"/>
      <c r="H30" s="55"/>
      <c r="I30" s="55"/>
      <c r="J30" s="55"/>
    </row>
    <row r="31" spans="2:12" s="27" customFormat="1">
      <c r="B31" s="185" t="s">
        <v>110</v>
      </c>
      <c r="F31" s="36"/>
      <c r="G31" s="36"/>
      <c r="H31" s="36"/>
      <c r="I31" s="36"/>
      <c r="J31" s="36"/>
    </row>
    <row r="32" spans="2:12" s="27" customFormat="1">
      <c r="B32" s="186" t="s">
        <v>111</v>
      </c>
      <c r="F32" s="36"/>
      <c r="G32" s="36"/>
      <c r="H32" s="36"/>
      <c r="I32" s="36"/>
      <c r="J32" s="36"/>
    </row>
    <row r="33" spans="2:10" s="27" customFormat="1">
      <c r="B33" s="28"/>
      <c r="F33" s="36"/>
      <c r="G33" s="36"/>
      <c r="H33" s="36"/>
      <c r="I33" s="36"/>
      <c r="J33" s="36"/>
    </row>
    <row r="34" spans="2:10" s="27" customFormat="1">
      <c r="B34" s="28"/>
      <c r="F34" s="36"/>
      <c r="G34" s="36"/>
      <c r="H34" s="36"/>
      <c r="I34" s="36"/>
      <c r="J34" s="36"/>
    </row>
    <row r="35" spans="2:10" s="27" customFormat="1">
      <c r="B35" s="28"/>
      <c r="F35" s="36"/>
      <c r="G35" s="36"/>
      <c r="H35" s="36"/>
      <c r="I35" s="36"/>
      <c r="J35" s="36"/>
    </row>
    <row r="36" spans="2:10" s="27" customFormat="1">
      <c r="B36" s="28"/>
      <c r="F36" s="36"/>
      <c r="G36" s="36"/>
      <c r="H36" s="36"/>
      <c r="I36" s="36"/>
      <c r="J36" s="36"/>
    </row>
    <row r="37" spans="2:10" s="27" customFormat="1">
      <c r="B37" s="28"/>
      <c r="F37" s="36"/>
      <c r="G37" s="36"/>
      <c r="H37" s="36"/>
      <c r="I37" s="36"/>
      <c r="J37" s="36"/>
    </row>
    <row r="38" spans="2:10" s="27" customFormat="1">
      <c r="B38" s="28"/>
      <c r="F38" s="36"/>
      <c r="G38" s="36"/>
      <c r="H38" s="36"/>
      <c r="I38" s="36"/>
      <c r="J38" s="36"/>
    </row>
    <row r="39" spans="2:10" s="27" customFormat="1">
      <c r="B39" s="28"/>
      <c r="F39" s="36"/>
      <c r="G39" s="36"/>
      <c r="H39" s="36"/>
      <c r="I39" s="36"/>
      <c r="J39" s="36"/>
    </row>
    <row r="40" spans="2:10" s="27" customFormat="1">
      <c r="B40" s="28"/>
      <c r="F40" s="36"/>
      <c r="G40" s="36"/>
      <c r="H40" s="36"/>
      <c r="I40" s="36"/>
      <c r="J40" s="36"/>
    </row>
    <row r="41" spans="2:10" s="27" customFormat="1">
      <c r="B41" s="28"/>
      <c r="F41" s="36"/>
      <c r="G41" s="36"/>
      <c r="H41" s="36"/>
      <c r="I41" s="36"/>
      <c r="J41" s="36"/>
    </row>
    <row r="42" spans="2:10" s="27" customFormat="1"/>
    <row r="43" spans="2:10" s="27" customFormat="1"/>
    <row r="44" spans="2:10" s="27" customFormat="1"/>
  </sheetData>
  <mergeCells count="1">
    <mergeCell ref="B1:J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0">
    <pageSetUpPr fitToPage="1"/>
  </sheetPr>
  <dimension ref="A1:N37"/>
  <sheetViews>
    <sheetView zoomScale="125" zoomScaleNormal="125" zoomScalePageLayoutView="125" workbookViewId="0">
      <selection activeCell="A18" sqref="A18:XFD32"/>
    </sheetView>
  </sheetViews>
  <sheetFormatPr baseColWidth="10" defaultColWidth="8.83203125" defaultRowHeight="13"/>
  <cols>
    <col min="1" max="1" width="3" style="32" customWidth="1"/>
    <col min="2" max="2" width="5.6640625" style="32" customWidth="1"/>
    <col min="3" max="3" width="1.33203125" style="32" customWidth="1"/>
    <col min="4" max="4" width="37.83203125" style="32" customWidth="1"/>
    <col min="5" max="5" width="1.33203125" style="32" customWidth="1"/>
    <col min="6" max="6" width="13.6640625" style="32" customWidth="1"/>
    <col min="7" max="7" width="1.33203125" style="32" customWidth="1"/>
    <col min="8" max="8" width="14" style="32" customWidth="1"/>
    <col min="9" max="9" width="1.33203125" style="32" customWidth="1"/>
    <col min="10" max="10" width="13.6640625" style="32" customWidth="1"/>
    <col min="11" max="11" width="2.83203125" style="32" customWidth="1"/>
    <col min="12" max="12" width="8.83203125" style="32"/>
    <col min="13" max="13" width="1.6640625" style="32" customWidth="1"/>
    <col min="14" max="14" width="12.1640625" style="32" customWidth="1"/>
    <col min="15" max="16384" width="8.83203125" style="32"/>
  </cols>
  <sheetData>
    <row r="1" spans="1:14" ht="14">
      <c r="B1" s="452"/>
      <c r="C1" s="452"/>
      <c r="D1" s="452"/>
      <c r="E1" s="452"/>
      <c r="F1" s="452"/>
      <c r="G1" s="452"/>
      <c r="H1" s="452"/>
      <c r="I1" s="452"/>
      <c r="J1" s="452"/>
      <c r="K1" s="23"/>
      <c r="L1" s="23"/>
    </row>
    <row r="2" spans="1:14" ht="16">
      <c r="B2" s="159"/>
    </row>
    <row r="3" spans="1:14">
      <c r="B3" s="11" t="str">
        <f>+'Sch 1.1'!B3</f>
        <v>Kentucky Public Service Commission</v>
      </c>
      <c r="J3" s="183" t="str">
        <f>+'Sch 1.1'!J3</f>
        <v>Case No. 2018-00295</v>
      </c>
    </row>
    <row r="4" spans="1:14">
      <c r="I4" s="44"/>
      <c r="J4" s="184" t="s">
        <v>93</v>
      </c>
    </row>
    <row r="5" spans="1:14">
      <c r="B5" s="84" t="str">
        <f>+'Sch 1.1'!B5</f>
        <v>Louisville Gas and Electric Company–Electric</v>
      </c>
      <c r="I5" s="26"/>
      <c r="J5" s="35" t="s">
        <v>35</v>
      </c>
    </row>
    <row r="6" spans="1:14">
      <c r="B6" s="11" t="s">
        <v>40</v>
      </c>
    </row>
    <row r="7" spans="1:14">
      <c r="B7" s="44"/>
    </row>
    <row r="8" spans="1:14">
      <c r="B8" s="26"/>
    </row>
    <row r="9" spans="1:14">
      <c r="B9" s="11"/>
      <c r="C9" s="11"/>
      <c r="D9" s="11"/>
      <c r="E9" s="11"/>
      <c r="F9" s="152" t="s">
        <v>19</v>
      </c>
      <c r="G9" s="11"/>
      <c r="H9" s="152"/>
      <c r="I9" s="11"/>
      <c r="J9" s="152" t="s">
        <v>25</v>
      </c>
    </row>
    <row r="10" spans="1:14" ht="14" thickBot="1">
      <c r="B10" s="153" t="s">
        <v>18</v>
      </c>
      <c r="C10" s="152"/>
      <c r="D10" s="153" t="s">
        <v>17</v>
      </c>
      <c r="E10" s="152"/>
      <c r="F10" s="153" t="s">
        <v>65</v>
      </c>
      <c r="G10" s="152"/>
      <c r="H10" s="153" t="s">
        <v>20</v>
      </c>
      <c r="I10" s="152"/>
      <c r="J10" s="153" t="s">
        <v>26</v>
      </c>
    </row>
    <row r="11" spans="1:14">
      <c r="B11" s="152"/>
      <c r="C11" s="152"/>
      <c r="D11" s="11"/>
      <c r="E11" s="152"/>
      <c r="F11" s="152" t="s">
        <v>9</v>
      </c>
      <c r="G11" s="152"/>
      <c r="H11" s="152" t="s">
        <v>10</v>
      </c>
      <c r="I11" s="152"/>
      <c r="J11" s="5" t="s">
        <v>11</v>
      </c>
    </row>
    <row r="12" spans="1:14">
      <c r="B12" s="145"/>
      <c r="C12" s="163"/>
      <c r="D12" s="11"/>
      <c r="E12" s="163"/>
      <c r="F12" s="163"/>
      <c r="G12" s="163"/>
      <c r="H12" s="163"/>
      <c r="I12" s="163"/>
      <c r="J12" s="5"/>
    </row>
    <row r="13" spans="1:14" ht="14" thickBot="1">
      <c r="B13" s="145">
        <v>1</v>
      </c>
      <c r="C13" s="163"/>
      <c r="D13" s="188" t="s">
        <v>21</v>
      </c>
      <c r="E13" s="182"/>
      <c r="F13" s="182"/>
      <c r="G13" s="182"/>
      <c r="H13" s="182"/>
      <c r="I13" s="182"/>
      <c r="J13" s="5"/>
    </row>
    <row r="14" spans="1:14" ht="14" thickBot="1">
      <c r="A14" s="34"/>
      <c r="B14" s="145">
        <v>2</v>
      </c>
      <c r="C14" s="34"/>
      <c r="D14" s="53"/>
      <c r="E14" s="34"/>
      <c r="F14" s="189"/>
      <c r="G14" s="56"/>
      <c r="H14" s="190"/>
      <c r="I14" s="56"/>
      <c r="J14" s="189">
        <f>+F14+H14</f>
        <v>0</v>
      </c>
      <c r="K14" s="148"/>
      <c r="L14" s="148"/>
      <c r="M14" s="148"/>
      <c r="N14" s="4"/>
    </row>
    <row r="15" spans="1:14">
      <c r="A15" s="34"/>
      <c r="B15" s="145"/>
      <c r="C15" s="34"/>
      <c r="D15" s="53"/>
      <c r="E15" s="34"/>
      <c r="F15" s="43"/>
      <c r="G15" s="43"/>
      <c r="H15" s="43"/>
      <c r="I15" s="43"/>
      <c r="J15" s="43"/>
      <c r="K15" s="148"/>
      <c r="L15" s="148"/>
      <c r="M15" s="148"/>
      <c r="N15" s="4"/>
    </row>
    <row r="16" spans="1:14" ht="14" thickBot="1">
      <c r="A16" s="34"/>
      <c r="B16" s="145">
        <v>3</v>
      </c>
      <c r="C16" s="34"/>
      <c r="D16" s="11" t="s">
        <v>66</v>
      </c>
      <c r="E16" s="11"/>
      <c r="F16" s="122">
        <f>-F14</f>
        <v>0</v>
      </c>
      <c r="G16" s="11"/>
      <c r="H16" s="122">
        <f>+J16-F16</f>
        <v>0</v>
      </c>
      <c r="I16" s="11"/>
      <c r="J16" s="122">
        <f>-J14</f>
        <v>0</v>
      </c>
      <c r="K16" s="167"/>
      <c r="L16" s="168"/>
      <c r="M16" s="167"/>
      <c r="N16" s="4"/>
    </row>
    <row r="17" spans="2:14" ht="14" thickTop="1">
      <c r="B17" s="145"/>
      <c r="C17" s="163"/>
      <c r="D17" s="11"/>
      <c r="E17" s="182"/>
      <c r="F17" s="182"/>
      <c r="G17" s="182"/>
      <c r="H17" s="182"/>
      <c r="I17" s="182"/>
      <c r="J17" s="5"/>
      <c r="K17" s="4"/>
      <c r="L17" s="4"/>
      <c r="M17" s="4"/>
      <c r="N17" s="4"/>
    </row>
    <row r="18" spans="2:14">
      <c r="B18" s="145">
        <v>4</v>
      </c>
      <c r="C18" s="163"/>
      <c r="D18" s="188" t="s">
        <v>41</v>
      </c>
      <c r="E18" s="182"/>
      <c r="F18" s="182"/>
      <c r="G18" s="182"/>
      <c r="H18" s="182"/>
      <c r="I18" s="182"/>
      <c r="J18" s="5"/>
      <c r="K18" s="4"/>
      <c r="L18" s="4"/>
      <c r="M18" s="4"/>
      <c r="N18" s="4"/>
    </row>
    <row r="19" spans="2:14">
      <c r="B19" s="145">
        <v>5</v>
      </c>
      <c r="C19" s="163"/>
      <c r="D19" s="44"/>
      <c r="E19" s="182"/>
      <c r="F19" s="146"/>
      <c r="G19" s="146"/>
      <c r="H19" s="146"/>
      <c r="I19" s="146"/>
      <c r="J19" s="191"/>
    </row>
    <row r="20" spans="2:14" ht="14" thickBot="1">
      <c r="B20" s="145">
        <v>6</v>
      </c>
      <c r="C20" s="163"/>
      <c r="D20" s="44"/>
      <c r="E20" s="182"/>
      <c r="F20" s="192"/>
      <c r="G20" s="182"/>
      <c r="H20" s="161"/>
      <c r="I20" s="182"/>
      <c r="J20" s="192"/>
    </row>
    <row r="21" spans="2:14" s="34" customFormat="1" ht="17" thickBot="1">
      <c r="B21" s="145">
        <v>7</v>
      </c>
      <c r="D21" s="53"/>
      <c r="E21" s="182"/>
      <c r="F21" s="147">
        <f>+F19+F20</f>
        <v>0</v>
      </c>
      <c r="G21" s="56"/>
      <c r="H21" s="190">
        <f>+J21-F21</f>
        <v>0</v>
      </c>
      <c r="I21" s="56"/>
      <c r="J21" s="147">
        <f>+J19+J20</f>
        <v>0</v>
      </c>
      <c r="L21" s="165"/>
      <c r="M21" s="165"/>
      <c r="N21" s="166"/>
    </row>
    <row r="22" spans="2:14" s="34" customFormat="1">
      <c r="B22" s="145"/>
      <c r="F22" s="43"/>
      <c r="G22" s="43"/>
      <c r="H22" s="43"/>
      <c r="I22" s="43"/>
      <c r="J22" s="43"/>
    </row>
    <row r="23" spans="2:14">
      <c r="B23" s="145">
        <v>8</v>
      </c>
      <c r="D23" s="20" t="s">
        <v>107</v>
      </c>
      <c r="E23" s="20"/>
      <c r="F23" s="79">
        <f>+'Sch 1.2'!$F$18</f>
        <v>0.05</v>
      </c>
      <c r="G23" s="21"/>
      <c r="H23" s="21"/>
      <c r="I23" s="21"/>
      <c r="J23" s="79">
        <f>+F23+H23</f>
        <v>0.05</v>
      </c>
      <c r="K23" s="4"/>
    </row>
    <row r="24" spans="2:14" ht="14" thickBot="1">
      <c r="B24" s="145">
        <v>9</v>
      </c>
      <c r="D24" s="20" t="s">
        <v>108</v>
      </c>
      <c r="E24" s="20"/>
      <c r="F24" s="47">
        <f>ROUND(-F23*F21,0)</f>
        <v>0</v>
      </c>
      <c r="G24" s="4"/>
      <c r="H24" s="47">
        <f>+J24-F24</f>
        <v>0</v>
      </c>
      <c r="I24" s="38"/>
      <c r="J24" s="47">
        <f>ROUND(-J23*J21,0)</f>
        <v>0</v>
      </c>
      <c r="K24" s="4"/>
    </row>
    <row r="25" spans="2:14" ht="14" thickTop="1">
      <c r="B25" s="145"/>
      <c r="D25" s="20"/>
      <c r="E25" s="20"/>
      <c r="F25" s="19"/>
      <c r="J25" s="19"/>
    </row>
    <row r="26" spans="2:14">
      <c r="B26" s="145">
        <v>10</v>
      </c>
      <c r="D26" s="20" t="s">
        <v>33</v>
      </c>
      <c r="E26" s="20"/>
      <c r="F26" s="19">
        <f>+F21+F24</f>
        <v>0</v>
      </c>
      <c r="J26" s="19">
        <f>+J21+J24</f>
        <v>0</v>
      </c>
    </row>
    <row r="27" spans="2:14">
      <c r="B27" s="145">
        <v>11</v>
      </c>
      <c r="D27" s="20" t="s">
        <v>32</v>
      </c>
      <c r="E27" s="20"/>
      <c r="F27" s="48">
        <f>+'Sch 1.2'!$F$22</f>
        <v>0.21</v>
      </c>
      <c r="J27" s="48">
        <f>+'Sch 1.2'!$F$22</f>
        <v>0.21</v>
      </c>
    </row>
    <row r="28" spans="2:14" ht="14" thickBot="1">
      <c r="B28" s="145">
        <v>12</v>
      </c>
      <c r="D28" s="26" t="s">
        <v>109</v>
      </c>
      <c r="F28" s="47">
        <f>ROUND(-F27*F26,0)</f>
        <v>0</v>
      </c>
      <c r="G28" s="4"/>
      <c r="H28" s="47">
        <f>+J28-F28</f>
        <v>0</v>
      </c>
      <c r="I28" s="38"/>
      <c r="J28" s="47">
        <f>ROUND(-J27*J26,0)</f>
        <v>0</v>
      </c>
    </row>
    <row r="29" spans="2:14" ht="15" thickTop="1" thickBot="1">
      <c r="B29" s="145"/>
      <c r="D29" s="93"/>
      <c r="E29" s="137"/>
      <c r="F29" s="49"/>
      <c r="G29" s="4"/>
      <c r="H29" s="38"/>
      <c r="I29" s="38"/>
      <c r="J29" s="49"/>
    </row>
    <row r="30" spans="2:14" ht="14" thickBot="1">
      <c r="B30" s="145">
        <v>13</v>
      </c>
      <c r="D30" s="93" t="s">
        <v>68</v>
      </c>
      <c r="E30" s="137"/>
      <c r="F30" s="47">
        <f>+F24+F28</f>
        <v>0</v>
      </c>
      <c r="G30" s="4"/>
      <c r="H30" s="138">
        <f>+J30-F30</f>
        <v>0</v>
      </c>
      <c r="I30" s="38"/>
      <c r="J30" s="47">
        <f>+J24+J28</f>
        <v>0</v>
      </c>
      <c r="K30" s="139"/>
      <c r="L30" s="140"/>
    </row>
    <row r="31" spans="2:14" ht="14" thickTop="1">
      <c r="B31" s="145"/>
      <c r="D31" s="137"/>
      <c r="E31" s="137"/>
      <c r="F31" s="50"/>
      <c r="G31" s="4"/>
      <c r="H31" s="38"/>
      <c r="I31" s="38"/>
      <c r="J31" s="50"/>
      <c r="K31" s="4"/>
    </row>
    <row r="32" spans="2:14" ht="14" thickBot="1">
      <c r="B32" s="145">
        <v>14</v>
      </c>
      <c r="D32" s="137" t="s">
        <v>2</v>
      </c>
      <c r="E32" s="137"/>
      <c r="F32" s="193">
        <f>-F21-F30</f>
        <v>0</v>
      </c>
      <c r="G32" s="4"/>
      <c r="H32" s="47">
        <f>-H21-H30</f>
        <v>0</v>
      </c>
      <c r="I32" s="38"/>
      <c r="J32" s="193">
        <f>-J21-J30</f>
        <v>0</v>
      </c>
    </row>
    <row r="33" spans="2:10" ht="14" thickTop="1">
      <c r="B33" s="8"/>
      <c r="D33" s="137"/>
      <c r="E33" s="137"/>
      <c r="F33" s="19"/>
      <c r="G33" s="4"/>
      <c r="H33" s="19"/>
      <c r="I33" s="38"/>
      <c r="J33" s="19"/>
    </row>
    <row r="35" spans="2:10">
      <c r="B35" s="108" t="s">
        <v>79</v>
      </c>
      <c r="C35" s="69"/>
      <c r="D35" s="69"/>
      <c r="E35" s="69"/>
      <c r="F35" s="69"/>
      <c r="G35" s="69"/>
      <c r="H35" s="69"/>
      <c r="I35" s="69"/>
      <c r="J35" s="69"/>
    </row>
    <row r="36" spans="2:10" s="34" customFormat="1">
      <c r="B36" s="185" t="s">
        <v>110</v>
      </c>
      <c r="F36" s="43"/>
      <c r="G36" s="43"/>
      <c r="H36" s="43"/>
      <c r="I36" s="43"/>
      <c r="J36" s="43"/>
    </row>
    <row r="37" spans="2:10" s="34" customFormat="1">
      <c r="B37" s="186" t="s">
        <v>111</v>
      </c>
      <c r="F37" s="43"/>
      <c r="G37" s="43"/>
      <c r="H37" s="43"/>
      <c r="I37" s="43"/>
      <c r="J37" s="43"/>
    </row>
  </sheetData>
  <mergeCells count="1">
    <mergeCell ref="B1:J1"/>
  </mergeCells>
  <phoneticPr fontId="4" type="noConversion"/>
  <pageMargins left="0.7" right="0.7" top="0.75" bottom="0.75" header="0.3" footer="0.3"/>
  <pageSetup scale="9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K174"/>
  <sheetViews>
    <sheetView topLeftCell="A12" zoomScale="122" zoomScaleNormal="122" zoomScalePageLayoutView="145" workbookViewId="0">
      <selection activeCell="D56" sqref="D56"/>
    </sheetView>
  </sheetViews>
  <sheetFormatPr baseColWidth="10" defaultColWidth="8.83203125" defaultRowHeight="13"/>
  <cols>
    <col min="1" max="1" width="2.83203125" style="32" customWidth="1"/>
    <col min="2" max="2" width="5.6640625" style="32" customWidth="1"/>
    <col min="3" max="3" width="1.33203125" style="32" customWidth="1"/>
    <col min="4" max="4" width="39" style="32" customWidth="1"/>
    <col min="5" max="5" width="1.33203125" style="32" customWidth="1"/>
    <col min="6" max="6" width="15.6640625" style="32" customWidth="1"/>
    <col min="7" max="7" width="1.33203125" style="4" customWidth="1"/>
    <col min="8" max="8" width="12.5" style="32" customWidth="1"/>
    <col min="9" max="9" width="1.33203125" style="32" customWidth="1"/>
    <col min="10" max="10" width="14.6640625" style="32" customWidth="1"/>
    <col min="11" max="11" width="3.5" style="32" customWidth="1"/>
    <col min="12" max="16384" width="8.83203125" style="32"/>
  </cols>
  <sheetData>
    <row r="1" spans="2:11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444"/>
    </row>
    <row r="2" spans="2:11" ht="14"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2:11">
      <c r="B3" s="11" t="s">
        <v>131</v>
      </c>
      <c r="J3" s="35" t="s">
        <v>157</v>
      </c>
    </row>
    <row r="4" spans="2:11">
      <c r="B4" s="60"/>
      <c r="J4" s="184" t="s">
        <v>191</v>
      </c>
    </row>
    <row r="5" spans="2:11">
      <c r="B5" s="84" t="s">
        <v>156</v>
      </c>
      <c r="J5" s="183" t="s">
        <v>35</v>
      </c>
    </row>
    <row r="6" spans="2:11">
      <c r="B6" s="244" t="s">
        <v>132</v>
      </c>
    </row>
    <row r="7" spans="2:11">
      <c r="B7" s="26" t="s">
        <v>133</v>
      </c>
      <c r="K7" s="84"/>
    </row>
    <row r="8" spans="2:11">
      <c r="B8" s="44"/>
      <c r="K8" s="84"/>
    </row>
    <row r="9" spans="2:11">
      <c r="F9" s="71"/>
      <c r="H9" s="182"/>
    </row>
    <row r="10" spans="2:11">
      <c r="B10" s="182"/>
      <c r="C10" s="182"/>
      <c r="E10" s="182"/>
      <c r="F10" s="182"/>
      <c r="G10" s="71"/>
      <c r="H10" s="182" t="s">
        <v>114</v>
      </c>
      <c r="I10" s="182"/>
      <c r="J10" s="182" t="s">
        <v>25</v>
      </c>
      <c r="K10" s="61"/>
    </row>
    <row r="11" spans="2:11" ht="14" thickBot="1">
      <c r="B11" s="181" t="s">
        <v>18</v>
      </c>
      <c r="C11" s="182"/>
      <c r="D11" s="181" t="s">
        <v>17</v>
      </c>
      <c r="E11" s="182"/>
      <c r="F11" s="176" t="s">
        <v>19</v>
      </c>
      <c r="G11" s="71"/>
      <c r="H11" s="181" t="s">
        <v>8</v>
      </c>
      <c r="I11" s="182"/>
      <c r="J11" s="181" t="s">
        <v>15</v>
      </c>
      <c r="K11" s="62"/>
    </row>
    <row r="12" spans="2:11">
      <c r="B12" s="182"/>
      <c r="C12" s="182"/>
      <c r="F12" s="182" t="s">
        <v>9</v>
      </c>
      <c r="G12" s="182"/>
      <c r="H12" s="85" t="s">
        <v>10</v>
      </c>
      <c r="I12" s="182"/>
      <c r="J12" s="85" t="s">
        <v>11</v>
      </c>
      <c r="K12" s="71"/>
    </row>
    <row r="13" spans="2:11">
      <c r="B13" s="8">
        <v>1</v>
      </c>
      <c r="D13" s="37" t="s">
        <v>21</v>
      </c>
      <c r="F13" s="41"/>
      <c r="G13" s="41"/>
      <c r="H13" s="41"/>
      <c r="J13" s="40"/>
      <c r="K13" s="13"/>
    </row>
    <row r="14" spans="2:11">
      <c r="B14" s="8">
        <v>2</v>
      </c>
      <c r="D14" s="64" t="s">
        <v>64</v>
      </c>
      <c r="F14" s="41">
        <v>4709619047</v>
      </c>
      <c r="G14" s="40"/>
      <c r="H14" s="41">
        <f>+'Sch 3'!AW16</f>
        <v>-10460477</v>
      </c>
      <c r="J14" s="41">
        <f>+F14+H14</f>
        <v>4699158570</v>
      </c>
      <c r="K14" s="13"/>
    </row>
    <row r="15" spans="2:11">
      <c r="B15" s="8">
        <v>3</v>
      </c>
      <c r="D15" s="64" t="s">
        <v>137</v>
      </c>
      <c r="F15" s="9">
        <v>3120150</v>
      </c>
      <c r="G15" s="40"/>
      <c r="H15" s="9">
        <f>+'Sch 3'!AW17</f>
        <v>0</v>
      </c>
      <c r="J15" s="9">
        <f t="shared" ref="J15:J25" si="0">+F15+H15</f>
        <v>3120150</v>
      </c>
      <c r="K15" s="13"/>
    </row>
    <row r="16" spans="2:11">
      <c r="B16" s="8">
        <v>4</v>
      </c>
      <c r="D16" s="63" t="s">
        <v>115</v>
      </c>
      <c r="F16" s="6">
        <v>-1768064904</v>
      </c>
      <c r="G16" s="38"/>
      <c r="H16" s="38">
        <f>+'Sch 3'!AW18</f>
        <v>0</v>
      </c>
      <c r="J16" s="6">
        <f t="shared" si="0"/>
        <v>-1768064904</v>
      </c>
      <c r="K16" s="13"/>
    </row>
    <row r="17" spans="2:11">
      <c r="B17" s="8">
        <v>5</v>
      </c>
      <c r="D17" s="67" t="s">
        <v>83</v>
      </c>
      <c r="F17" s="41">
        <f>SUM(F14:F16)</f>
        <v>2944674293</v>
      </c>
      <c r="G17" s="38"/>
      <c r="H17" s="40"/>
      <c r="J17" s="41">
        <f>SUM(J14:J16)</f>
        <v>2934213816</v>
      </c>
      <c r="K17" s="13"/>
    </row>
    <row r="18" spans="2:11">
      <c r="B18" s="8">
        <v>6</v>
      </c>
      <c r="D18" s="64" t="s">
        <v>138</v>
      </c>
      <c r="F18" s="6">
        <v>81468643</v>
      </c>
      <c r="G18" s="38"/>
      <c r="H18" s="38">
        <f>+'Sch 3'!AW20</f>
        <v>0</v>
      </c>
      <c r="J18" s="6">
        <f t="shared" si="0"/>
        <v>81468643</v>
      </c>
      <c r="K18" s="13"/>
    </row>
    <row r="19" spans="2:11">
      <c r="B19" s="8">
        <v>7</v>
      </c>
      <c r="D19" s="67" t="s">
        <v>139</v>
      </c>
      <c r="F19" s="41">
        <f>+F17+F18</f>
        <v>3026142936</v>
      </c>
      <c r="G19" s="38"/>
      <c r="H19" s="41"/>
      <c r="J19" s="41">
        <f>+J17+J18</f>
        <v>3015682459</v>
      </c>
      <c r="K19" s="13"/>
    </row>
    <row r="20" spans="2:11">
      <c r="B20" s="8">
        <v>8</v>
      </c>
      <c r="D20" s="64" t="s">
        <v>97</v>
      </c>
      <c r="F20" s="38">
        <v>114229325</v>
      </c>
      <c r="G20" s="38"/>
      <c r="H20" s="38">
        <f>+'Sch 3'!AW22</f>
        <v>-30337019.140640631</v>
      </c>
      <c r="J20" s="38">
        <f t="shared" si="0"/>
        <v>83892305.859359369</v>
      </c>
      <c r="K20" s="13"/>
    </row>
    <row r="21" spans="2:11">
      <c r="B21" s="8">
        <v>9</v>
      </c>
      <c r="D21" s="64" t="s">
        <v>140</v>
      </c>
      <c r="F21" s="9">
        <v>86291871</v>
      </c>
      <c r="H21" s="9">
        <f>+'Sch 3'!AW23</f>
        <v>-13197915</v>
      </c>
      <c r="J21" s="9">
        <f t="shared" si="0"/>
        <v>73093956</v>
      </c>
    </row>
    <row r="22" spans="2:11">
      <c r="B22" s="8">
        <v>10</v>
      </c>
      <c r="D22" s="63" t="s">
        <v>106</v>
      </c>
      <c r="F22" s="38">
        <v>-6462455</v>
      </c>
      <c r="G22" s="38"/>
      <c r="H22" s="38">
        <f>+'Sch 3'!AW24</f>
        <v>0</v>
      </c>
      <c r="J22" s="38">
        <f t="shared" si="0"/>
        <v>-6462455</v>
      </c>
      <c r="K22" s="13"/>
    </row>
    <row r="23" spans="2:11">
      <c r="B23" s="8">
        <v>11</v>
      </c>
      <c r="D23" s="64" t="s">
        <v>141</v>
      </c>
      <c r="F23" s="9">
        <v>-672124527</v>
      </c>
      <c r="G23" s="38"/>
      <c r="H23" s="9">
        <f>+'Sch 3'!AW25</f>
        <v>0</v>
      </c>
      <c r="J23" s="9">
        <f t="shared" si="0"/>
        <v>-672124527</v>
      </c>
      <c r="K23" s="13"/>
    </row>
    <row r="24" spans="2:11">
      <c r="B24" s="8">
        <v>12</v>
      </c>
      <c r="D24" s="63" t="s">
        <v>142</v>
      </c>
      <c r="F24" s="38">
        <v>0</v>
      </c>
      <c r="G24" s="38"/>
      <c r="H24" s="38">
        <f>+'Sch 3'!AW26</f>
        <v>0</v>
      </c>
      <c r="J24" s="38">
        <f t="shared" si="0"/>
        <v>0</v>
      </c>
      <c r="K24" s="13"/>
    </row>
    <row r="25" spans="2:11">
      <c r="B25" s="8">
        <v>13</v>
      </c>
      <c r="D25" s="63" t="s">
        <v>143</v>
      </c>
      <c r="F25" s="6">
        <v>0</v>
      </c>
      <c r="G25" s="38"/>
      <c r="H25" s="6">
        <f>+'Sch 3'!AW27</f>
        <v>0</v>
      </c>
      <c r="J25" s="6">
        <f t="shared" si="0"/>
        <v>0</v>
      </c>
      <c r="K25" s="13"/>
    </row>
    <row r="26" spans="2:11">
      <c r="B26" s="8">
        <v>14</v>
      </c>
      <c r="D26" s="65" t="s">
        <v>153</v>
      </c>
      <c r="F26" s="41">
        <f>SUM(F19:F25)</f>
        <v>2548077150</v>
      </c>
      <c r="G26" s="40"/>
      <c r="H26" s="41">
        <f>SUM(H14:H25)</f>
        <v>-53995411.140640631</v>
      </c>
      <c r="J26" s="41">
        <f>SUM(J19:J25)</f>
        <v>2494081738.8593593</v>
      </c>
      <c r="K26" s="13"/>
    </row>
    <row r="27" spans="2:11">
      <c r="B27" s="8"/>
      <c r="D27" s="65"/>
      <c r="F27" s="246"/>
      <c r="G27" s="40"/>
      <c r="H27" s="41"/>
      <c r="J27" s="41"/>
      <c r="K27" s="13"/>
    </row>
    <row r="28" spans="2:11">
      <c r="B28" s="8">
        <v>15</v>
      </c>
      <c r="D28" s="61" t="s">
        <v>158</v>
      </c>
      <c r="F28" s="41">
        <f>+'Sch 2'!F17</f>
        <v>2593434547</v>
      </c>
      <c r="G28" s="40"/>
      <c r="H28" s="41">
        <f>+H26</f>
        <v>-53995411.140640631</v>
      </c>
      <c r="J28" s="38">
        <f t="shared" ref="J28:J30" si="1">+F28+H28</f>
        <v>2539439135.8593593</v>
      </c>
      <c r="K28" s="13"/>
    </row>
    <row r="29" spans="2:11">
      <c r="B29" s="8"/>
      <c r="D29" s="61"/>
      <c r="F29" s="41"/>
      <c r="G29" s="40"/>
      <c r="H29" s="41"/>
      <c r="J29" s="38"/>
      <c r="K29" s="13"/>
    </row>
    <row r="30" spans="2:11">
      <c r="B30" s="8">
        <v>16</v>
      </c>
      <c r="D30" s="37" t="s">
        <v>172</v>
      </c>
      <c r="F30" s="41">
        <f>+F28</f>
        <v>2593434547</v>
      </c>
      <c r="G30" s="40"/>
      <c r="H30" s="41">
        <f>+H26</f>
        <v>-53995411.140640631</v>
      </c>
      <c r="J30" s="38">
        <f t="shared" si="1"/>
        <v>2539439135.8593593</v>
      </c>
      <c r="K30" s="13"/>
    </row>
    <row r="31" spans="2:11">
      <c r="B31" s="8"/>
      <c r="D31" s="61"/>
      <c r="F31" s="41"/>
      <c r="G31" s="40"/>
      <c r="H31" s="41"/>
      <c r="J31" s="38"/>
      <c r="K31" s="13"/>
    </row>
    <row r="32" spans="2:11">
      <c r="B32" s="8">
        <v>17</v>
      </c>
      <c r="D32" s="37" t="s">
        <v>22</v>
      </c>
      <c r="F32" s="7">
        <f>+'Sch 2'!L17</f>
        <v>7.6178470192420772E-2</v>
      </c>
      <c r="G32" s="86"/>
      <c r="H32" s="7"/>
      <c r="J32" s="7">
        <f>+'Sch 2'!L24</f>
        <v>7.2374214717142712E-2</v>
      </c>
    </row>
    <row r="33" spans="2:11">
      <c r="B33" s="8">
        <v>18</v>
      </c>
      <c r="D33" s="37" t="s">
        <v>29</v>
      </c>
      <c r="F33" s="66">
        <f>+F30*F32</f>
        <v>197563876.33463377</v>
      </c>
      <c r="G33" s="40"/>
      <c r="H33" s="66">
        <f>+J33-F33</f>
        <v>-13773963.054833144</v>
      </c>
      <c r="J33" s="66">
        <f>+J30*J32</f>
        <v>183789913.27980062</v>
      </c>
      <c r="K33" s="13"/>
    </row>
    <row r="34" spans="2:11">
      <c r="B34" s="8"/>
      <c r="D34" s="13"/>
      <c r="K34" s="13"/>
    </row>
    <row r="35" spans="2:11">
      <c r="B35" s="8">
        <v>19</v>
      </c>
      <c r="D35" s="37" t="s">
        <v>99</v>
      </c>
      <c r="K35" s="13"/>
    </row>
    <row r="36" spans="2:11">
      <c r="B36" s="8">
        <v>20</v>
      </c>
      <c r="D36" s="63" t="s">
        <v>144</v>
      </c>
      <c r="F36" s="41">
        <v>991948599</v>
      </c>
      <c r="G36" s="40"/>
      <c r="H36" s="40">
        <f>+'Sch 3'!AW38</f>
        <v>-1521</v>
      </c>
      <c r="J36" s="41">
        <f>+F36+H36</f>
        <v>991947078</v>
      </c>
      <c r="K36" s="13"/>
    </row>
    <row r="37" spans="2:11">
      <c r="B37" s="8">
        <v>21</v>
      </c>
      <c r="D37" s="64" t="s">
        <v>145</v>
      </c>
      <c r="F37" s="9">
        <v>21774257</v>
      </c>
      <c r="G37" s="40"/>
      <c r="H37" s="9">
        <f>+'Sch 3'!AW39</f>
        <v>231059</v>
      </c>
      <c r="J37" s="9">
        <f t="shared" ref="J37" si="2">+F37+H37</f>
        <v>22005316</v>
      </c>
      <c r="K37" s="13"/>
    </row>
    <row r="38" spans="2:11">
      <c r="B38" s="8">
        <v>22</v>
      </c>
      <c r="D38" s="67" t="s">
        <v>102</v>
      </c>
      <c r="F38" s="66">
        <f>SUM(F36:F37)-1</f>
        <v>1013722855</v>
      </c>
      <c r="G38" s="40"/>
      <c r="H38" s="66">
        <f>SUM(H36:H37)</f>
        <v>229538</v>
      </c>
      <c r="J38" s="66">
        <f>SUM(J36:J37)-1</f>
        <v>1013952393</v>
      </c>
      <c r="K38" s="13"/>
    </row>
    <row r="39" spans="2:11">
      <c r="B39" s="8"/>
      <c r="D39" s="13"/>
      <c r="K39" s="13"/>
    </row>
    <row r="40" spans="2:11">
      <c r="B40" s="8">
        <v>23</v>
      </c>
      <c r="D40" s="37" t="s">
        <v>100</v>
      </c>
      <c r="K40" s="13"/>
    </row>
    <row r="41" spans="2:11">
      <c r="B41" s="8">
        <v>24</v>
      </c>
      <c r="D41" s="63" t="s">
        <v>146</v>
      </c>
      <c r="F41" s="41">
        <v>627292494</v>
      </c>
      <c r="G41" s="40"/>
      <c r="H41" s="41">
        <f>+'Sch 3'!AW43</f>
        <v>-13748132.949851241</v>
      </c>
      <c r="J41" s="41">
        <f t="shared" ref="J41:J46" si="3">+F41+H41</f>
        <v>613544361.05014873</v>
      </c>
      <c r="K41" s="13"/>
    </row>
    <row r="42" spans="2:11">
      <c r="B42" s="8">
        <v>25</v>
      </c>
      <c r="D42" s="63" t="s">
        <v>147</v>
      </c>
      <c r="F42" s="38">
        <v>155800380</v>
      </c>
      <c r="G42" s="38"/>
      <c r="H42" s="38">
        <f>+'Sch 3'!AW44</f>
        <v>-2774443.0731707318</v>
      </c>
      <c r="J42" s="38">
        <f t="shared" si="3"/>
        <v>153025936.92682928</v>
      </c>
      <c r="K42" s="13"/>
    </row>
    <row r="43" spans="2:11">
      <c r="B43" s="8">
        <v>26</v>
      </c>
      <c r="D43" s="63" t="s">
        <v>148</v>
      </c>
      <c r="F43" s="38">
        <v>0</v>
      </c>
      <c r="G43" s="38"/>
      <c r="H43" s="38">
        <f>+'Sch 3'!AW45</f>
        <v>0</v>
      </c>
      <c r="J43" s="38"/>
      <c r="K43" s="13"/>
    </row>
    <row r="44" spans="2:11">
      <c r="B44" s="8">
        <v>27</v>
      </c>
      <c r="D44" s="64" t="s">
        <v>101</v>
      </c>
      <c r="F44" s="177">
        <v>34932925</v>
      </c>
      <c r="G44" s="38"/>
      <c r="H44" s="177">
        <f>+'Sch 3'!AW46</f>
        <v>-66860</v>
      </c>
      <c r="J44" s="38">
        <f t="shared" si="3"/>
        <v>34866065</v>
      </c>
      <c r="K44" s="13"/>
    </row>
    <row r="45" spans="2:11">
      <c r="B45" s="8">
        <v>28</v>
      </c>
      <c r="D45" s="64" t="s">
        <v>82</v>
      </c>
      <c r="F45" s="38">
        <v>25285777</v>
      </c>
      <c r="G45" s="38"/>
      <c r="H45" s="38">
        <f>+'Sch 3'!AW47</f>
        <v>4005906</v>
      </c>
      <c r="J45" s="38">
        <f t="shared" si="3"/>
        <v>29291683</v>
      </c>
      <c r="K45" s="13"/>
    </row>
    <row r="46" spans="2:11">
      <c r="B46" s="8">
        <v>29</v>
      </c>
      <c r="D46" s="64" t="s">
        <v>142</v>
      </c>
      <c r="F46" s="38">
        <v>-1004121</v>
      </c>
      <c r="G46" s="38"/>
      <c r="H46" s="38">
        <f>+'Sch 3'!AW48</f>
        <v>0</v>
      </c>
      <c r="J46" s="38">
        <f t="shared" si="3"/>
        <v>-1004121</v>
      </c>
      <c r="K46" s="13"/>
    </row>
    <row r="47" spans="2:11">
      <c r="B47" s="8">
        <v>30</v>
      </c>
      <c r="D47" s="65" t="s">
        <v>36</v>
      </c>
      <c r="F47" s="66">
        <f>SUM(F41:F46)</f>
        <v>842307455</v>
      </c>
      <c r="G47" s="22"/>
      <c r="H47" s="66">
        <f>SUM(H41:H45)</f>
        <v>-12583530.023021974</v>
      </c>
      <c r="J47" s="66">
        <f>SUM(J41:J46)</f>
        <v>829723924.97697806</v>
      </c>
      <c r="K47" s="13"/>
    </row>
    <row r="48" spans="2:11">
      <c r="B48" s="8"/>
      <c r="D48" s="13"/>
      <c r="K48" s="13"/>
    </row>
    <row r="49" spans="2:11">
      <c r="B49" s="8">
        <v>31</v>
      </c>
      <c r="D49" s="37" t="s">
        <v>62</v>
      </c>
      <c r="F49" s="66">
        <f>+F38-F47</f>
        <v>171415400</v>
      </c>
      <c r="G49" s="40"/>
      <c r="H49" s="66">
        <f>+H38-H47</f>
        <v>12813068.023021974</v>
      </c>
      <c r="J49" s="66">
        <f>+J38-J47</f>
        <v>184228468.02302194</v>
      </c>
      <c r="K49" s="13"/>
    </row>
    <row r="50" spans="2:11">
      <c r="B50" s="8"/>
      <c r="D50" s="37"/>
      <c r="F50" s="40"/>
      <c r="G50" s="40"/>
      <c r="H50" s="40"/>
      <c r="J50" s="40"/>
      <c r="K50" s="13"/>
    </row>
    <row r="51" spans="2:11">
      <c r="B51" s="8">
        <v>32</v>
      </c>
      <c r="D51" s="37" t="s">
        <v>87</v>
      </c>
      <c r="F51" s="40">
        <f>+F33-F49</f>
        <v>26148476.334633768</v>
      </c>
      <c r="G51" s="40"/>
      <c r="H51" s="40">
        <f>+H33-H49</f>
        <v>-26587031.077855118</v>
      </c>
      <c r="J51" s="40">
        <f>+J33-J49</f>
        <v>-438554.74322131276</v>
      </c>
      <c r="K51" s="13"/>
    </row>
    <row r="52" spans="2:11">
      <c r="B52" s="8">
        <v>33</v>
      </c>
      <c r="D52" s="64" t="s">
        <v>604</v>
      </c>
      <c r="F52" s="250">
        <f>+'Sch 1.2'!F28</f>
        <v>1.3375544948124221</v>
      </c>
      <c r="G52" s="251"/>
      <c r="H52" s="250"/>
      <c r="I52" s="252"/>
      <c r="J52" s="250">
        <f>+'Sch 1.2'!J28</f>
        <v>1.3379036836716185</v>
      </c>
      <c r="K52" s="13"/>
    </row>
    <row r="53" spans="2:11" ht="22" customHeight="1">
      <c r="B53" s="8">
        <v>34</v>
      </c>
      <c r="D53" s="37" t="s">
        <v>121</v>
      </c>
      <c r="F53" s="40">
        <f>(+F51*F52)</f>
        <v>34975012.053885646</v>
      </c>
      <c r="G53" s="40"/>
      <c r="H53" s="40">
        <f>+J53-F53</f>
        <v>-35561756.060333103</v>
      </c>
      <c r="I53" s="88"/>
      <c r="J53" s="40">
        <f>(+J51*J52)</f>
        <v>-586744.00644745515</v>
      </c>
      <c r="K53" s="13"/>
    </row>
    <row r="54" spans="2:11">
      <c r="B54" s="8">
        <v>35</v>
      </c>
      <c r="D54" s="63" t="s">
        <v>160</v>
      </c>
      <c r="F54" s="6">
        <v>-87527</v>
      </c>
      <c r="G54" s="40"/>
      <c r="H54" s="38"/>
      <c r="I54" s="88"/>
      <c r="J54" s="6">
        <f t="shared" ref="J54" si="4">+F54+H54</f>
        <v>-87527</v>
      </c>
      <c r="K54" s="13"/>
    </row>
    <row r="55" spans="2:11" ht="14" thickBot="1">
      <c r="B55" s="8">
        <v>36</v>
      </c>
      <c r="D55" s="37" t="s">
        <v>616</v>
      </c>
      <c r="F55" s="14">
        <f>+F53+F54</f>
        <v>34887485.053885646</v>
      </c>
      <c r="G55" s="40"/>
      <c r="H55" s="14">
        <f>+J55-F55</f>
        <v>-35561756.060333103</v>
      </c>
      <c r="I55" s="89"/>
      <c r="J55" s="14">
        <f>+J53+J54</f>
        <v>-674271.00644745515</v>
      </c>
      <c r="K55" s="13"/>
    </row>
    <row r="56" spans="2:11" ht="14" thickTop="1">
      <c r="B56" s="8"/>
      <c r="D56" s="37"/>
      <c r="F56" s="40"/>
      <c r="G56" s="40"/>
      <c r="H56" s="40"/>
      <c r="I56" s="89"/>
      <c r="J56" s="40"/>
      <c r="K56" s="13"/>
    </row>
    <row r="57" spans="2:11">
      <c r="B57" s="8"/>
      <c r="D57" s="34" t="s">
        <v>113</v>
      </c>
      <c r="F57" s="40"/>
      <c r="G57" s="87"/>
      <c r="H57" s="39"/>
      <c r="J57" s="39">
        <f>+(J55-F55)/F55</f>
        <v>-1.0193270167054462</v>
      </c>
      <c r="K57" s="13"/>
    </row>
    <row r="58" spans="2:11" ht="14" customHeight="1">
      <c r="B58" s="8"/>
      <c r="G58" s="87"/>
      <c r="H58" s="91"/>
      <c r="J58" s="91"/>
    </row>
    <row r="59" spans="2:11">
      <c r="B59" s="68" t="s">
        <v>79</v>
      </c>
      <c r="C59" s="69"/>
      <c r="D59" s="70"/>
      <c r="E59" s="69"/>
      <c r="F59" s="179"/>
      <c r="G59" s="46"/>
      <c r="H59" s="69"/>
      <c r="I59" s="69"/>
      <c r="J59" s="46"/>
    </row>
    <row r="60" spans="2:11">
      <c r="B60" s="63" t="s">
        <v>199</v>
      </c>
    </row>
    <row r="61" spans="2:11">
      <c r="B61" s="63" t="s">
        <v>200</v>
      </c>
    </row>
    <row r="62" spans="2:11">
      <c r="B62" s="63" t="s">
        <v>201</v>
      </c>
      <c r="C62" s="8"/>
    </row>
    <row r="63" spans="2:11">
      <c r="B63" s="63" t="s">
        <v>202</v>
      </c>
    </row>
    <row r="64" spans="2:11">
      <c r="B64" s="63" t="s">
        <v>203</v>
      </c>
      <c r="G64" s="32"/>
    </row>
    <row r="65" spans="2:10">
      <c r="B65" s="63"/>
      <c r="G65" s="32"/>
    </row>
    <row r="66" spans="2:10">
      <c r="B66" s="63"/>
      <c r="G66" s="32"/>
    </row>
    <row r="67" spans="2:10">
      <c r="B67" s="63"/>
      <c r="G67" s="32"/>
    </row>
    <row r="68" spans="2:10">
      <c r="B68" s="8"/>
      <c r="D68" s="253" t="s">
        <v>81</v>
      </c>
      <c r="E68" s="254"/>
      <c r="F68" s="255">
        <v>34887485</v>
      </c>
      <c r="G68" s="254"/>
      <c r="H68" s="254"/>
      <c r="I68" s="254"/>
      <c r="J68" s="254"/>
    </row>
    <row r="69" spans="2:10">
      <c r="B69" s="8"/>
      <c r="D69" s="254"/>
      <c r="E69" s="254"/>
      <c r="F69" s="256">
        <f>+F68-F55</f>
        <v>-5.3885646164417267E-2</v>
      </c>
      <c r="G69" s="254"/>
      <c r="H69" s="254"/>
      <c r="I69" s="254"/>
      <c r="J69" s="254"/>
    </row>
    <row r="70" spans="2:10">
      <c r="B70" s="8"/>
      <c r="G70" s="32"/>
    </row>
    <row r="71" spans="2:10">
      <c r="B71" s="8"/>
      <c r="D71" s="241"/>
      <c r="E71" s="242"/>
      <c r="F71" s="243"/>
      <c r="G71" s="32"/>
    </row>
    <row r="72" spans="2:10">
      <c r="B72" s="8"/>
      <c r="G72" s="32"/>
    </row>
    <row r="73" spans="2:10">
      <c r="B73" s="8"/>
      <c r="G73" s="32"/>
    </row>
    <row r="74" spans="2:10">
      <c r="B74" s="8"/>
      <c r="G74" s="32"/>
    </row>
    <row r="75" spans="2:10">
      <c r="B75" s="8"/>
      <c r="G75" s="32"/>
    </row>
    <row r="76" spans="2:10">
      <c r="B76" s="8"/>
      <c r="G76" s="32"/>
    </row>
    <row r="77" spans="2:10">
      <c r="B77" s="8"/>
      <c r="G77" s="32"/>
    </row>
    <row r="78" spans="2:10">
      <c r="B78" s="8"/>
      <c r="G78" s="32"/>
    </row>
    <row r="79" spans="2:10">
      <c r="B79" s="8"/>
      <c r="G79" s="32"/>
    </row>
    <row r="80" spans="2:10">
      <c r="B80" s="8"/>
      <c r="G80" s="32"/>
    </row>
    <row r="81" spans="2:7">
      <c r="B81" s="8"/>
      <c r="G81" s="32"/>
    </row>
    <row r="82" spans="2:7">
      <c r="B82" s="8"/>
      <c r="G82" s="32"/>
    </row>
    <row r="83" spans="2:7">
      <c r="B83" s="8"/>
      <c r="G83" s="32"/>
    </row>
    <row r="84" spans="2:7">
      <c r="B84" s="8"/>
      <c r="G84" s="32"/>
    </row>
    <row r="85" spans="2:7">
      <c r="B85" s="8"/>
      <c r="G85" s="32"/>
    </row>
    <row r="86" spans="2:7">
      <c r="B86" s="8"/>
      <c r="G86" s="32"/>
    </row>
    <row r="87" spans="2:7">
      <c r="B87" s="8"/>
      <c r="G87" s="32"/>
    </row>
    <row r="88" spans="2:7">
      <c r="B88" s="8"/>
      <c r="G88" s="32"/>
    </row>
    <row r="89" spans="2:7">
      <c r="B89" s="8"/>
      <c r="G89" s="32"/>
    </row>
    <row r="90" spans="2:7">
      <c r="B90" s="8"/>
      <c r="G90" s="32"/>
    </row>
    <row r="91" spans="2:7">
      <c r="B91" s="8"/>
      <c r="G91" s="32"/>
    </row>
    <row r="92" spans="2:7">
      <c r="B92" s="8"/>
      <c r="G92" s="32"/>
    </row>
    <row r="93" spans="2:7">
      <c r="B93" s="8"/>
      <c r="G93" s="32"/>
    </row>
    <row r="94" spans="2:7">
      <c r="B94" s="8"/>
      <c r="G94" s="32"/>
    </row>
    <row r="95" spans="2:7">
      <c r="B95" s="8"/>
      <c r="G95" s="32"/>
    </row>
    <row r="96" spans="2:7">
      <c r="B96" s="8"/>
      <c r="G96" s="32"/>
    </row>
    <row r="97" spans="2:7">
      <c r="B97" s="8"/>
      <c r="G97" s="32"/>
    </row>
    <row r="98" spans="2:7">
      <c r="B98" s="8"/>
      <c r="G98" s="32"/>
    </row>
    <row r="99" spans="2:7">
      <c r="B99" s="8"/>
      <c r="G99" s="32"/>
    </row>
    <row r="100" spans="2:7">
      <c r="B100" s="8"/>
      <c r="G100" s="32"/>
    </row>
    <row r="101" spans="2:7">
      <c r="B101" s="8"/>
      <c r="G101" s="32"/>
    </row>
    <row r="102" spans="2:7">
      <c r="B102" s="8"/>
      <c r="G102" s="32"/>
    </row>
    <row r="103" spans="2:7">
      <c r="B103" s="8"/>
      <c r="G103" s="32"/>
    </row>
    <row r="104" spans="2:7">
      <c r="B104" s="8"/>
      <c r="G104" s="32"/>
    </row>
    <row r="105" spans="2:7">
      <c r="B105" s="8"/>
      <c r="G105" s="32"/>
    </row>
    <row r="106" spans="2:7">
      <c r="B106" s="8"/>
      <c r="G106" s="32"/>
    </row>
    <row r="107" spans="2:7">
      <c r="B107" s="8"/>
      <c r="G107" s="32"/>
    </row>
    <row r="108" spans="2:7">
      <c r="B108" s="8"/>
      <c r="G108" s="32"/>
    </row>
    <row r="109" spans="2:7">
      <c r="B109" s="8"/>
      <c r="G109" s="32"/>
    </row>
    <row r="110" spans="2:7">
      <c r="B110" s="8"/>
      <c r="G110" s="32"/>
    </row>
    <row r="111" spans="2:7">
      <c r="B111" s="8"/>
      <c r="G111" s="32"/>
    </row>
    <row r="112" spans="2:7">
      <c r="B112" s="8"/>
      <c r="G112" s="32"/>
    </row>
    <row r="113" spans="2:7">
      <c r="B113" s="8"/>
      <c r="G113" s="32"/>
    </row>
    <row r="114" spans="2:7">
      <c r="B114" s="8"/>
      <c r="G114" s="32"/>
    </row>
    <row r="115" spans="2:7">
      <c r="B115" s="8"/>
      <c r="G115" s="32"/>
    </row>
    <row r="116" spans="2:7">
      <c r="B116" s="8"/>
      <c r="G116" s="32"/>
    </row>
    <row r="117" spans="2:7">
      <c r="B117" s="8"/>
      <c r="G117" s="32"/>
    </row>
    <row r="118" spans="2:7">
      <c r="B118" s="8"/>
      <c r="G118" s="32"/>
    </row>
    <row r="119" spans="2:7">
      <c r="B119" s="8"/>
      <c r="G119" s="32"/>
    </row>
    <row r="120" spans="2:7">
      <c r="B120" s="8"/>
      <c r="G120" s="32"/>
    </row>
    <row r="121" spans="2:7">
      <c r="B121" s="8"/>
      <c r="G121" s="32"/>
    </row>
    <row r="122" spans="2:7">
      <c r="B122" s="8"/>
      <c r="G122" s="32"/>
    </row>
    <row r="123" spans="2:7">
      <c r="B123" s="8"/>
      <c r="G123" s="32"/>
    </row>
    <row r="124" spans="2:7">
      <c r="B124" s="8"/>
      <c r="G124" s="32"/>
    </row>
    <row r="125" spans="2:7">
      <c r="B125" s="8"/>
      <c r="G125" s="32"/>
    </row>
    <row r="126" spans="2:7">
      <c r="B126" s="8"/>
      <c r="G126" s="32"/>
    </row>
    <row r="127" spans="2:7">
      <c r="B127" s="8"/>
      <c r="G127" s="32"/>
    </row>
    <row r="128" spans="2:7">
      <c r="B128" s="8"/>
      <c r="G128" s="32"/>
    </row>
    <row r="129" spans="2:7">
      <c r="B129" s="8"/>
      <c r="G129" s="32"/>
    </row>
    <row r="130" spans="2:7">
      <c r="B130" s="8"/>
      <c r="G130" s="32"/>
    </row>
    <row r="131" spans="2:7">
      <c r="B131" s="8"/>
      <c r="G131" s="32"/>
    </row>
    <row r="132" spans="2:7">
      <c r="B132" s="8"/>
      <c r="G132" s="32"/>
    </row>
    <row r="133" spans="2:7">
      <c r="B133" s="8"/>
      <c r="G133" s="32"/>
    </row>
    <row r="134" spans="2:7">
      <c r="B134" s="8"/>
      <c r="G134" s="32"/>
    </row>
    <row r="135" spans="2:7">
      <c r="B135" s="8"/>
      <c r="G135" s="32"/>
    </row>
    <row r="136" spans="2:7">
      <c r="B136" s="8"/>
      <c r="G136" s="32"/>
    </row>
    <row r="137" spans="2:7">
      <c r="B137" s="8"/>
      <c r="G137" s="32"/>
    </row>
    <row r="138" spans="2:7">
      <c r="B138" s="8"/>
      <c r="G138" s="32"/>
    </row>
    <row r="139" spans="2:7">
      <c r="B139" s="8"/>
      <c r="G139" s="32"/>
    </row>
    <row r="140" spans="2:7">
      <c r="B140" s="8"/>
      <c r="G140" s="32"/>
    </row>
    <row r="141" spans="2:7">
      <c r="B141" s="8"/>
      <c r="G141" s="32"/>
    </row>
    <row r="142" spans="2:7">
      <c r="B142" s="8"/>
      <c r="G142" s="32"/>
    </row>
    <row r="143" spans="2:7">
      <c r="B143" s="8"/>
      <c r="G143" s="32"/>
    </row>
    <row r="144" spans="2:7">
      <c r="B144" s="8"/>
      <c r="G144" s="32"/>
    </row>
    <row r="145" spans="2:7">
      <c r="B145" s="8"/>
      <c r="G145" s="32"/>
    </row>
    <row r="146" spans="2:7">
      <c r="B146" s="8"/>
      <c r="G146" s="32"/>
    </row>
    <row r="147" spans="2:7">
      <c r="B147" s="8"/>
      <c r="G147" s="32"/>
    </row>
    <row r="148" spans="2:7">
      <c r="B148" s="8"/>
      <c r="G148" s="32"/>
    </row>
    <row r="149" spans="2:7">
      <c r="B149" s="8"/>
      <c r="G149" s="32"/>
    </row>
    <row r="150" spans="2:7">
      <c r="B150" s="8"/>
      <c r="G150" s="32"/>
    </row>
    <row r="151" spans="2:7">
      <c r="B151" s="8"/>
      <c r="G151" s="32"/>
    </row>
    <row r="152" spans="2:7">
      <c r="B152" s="8"/>
      <c r="G152" s="32"/>
    </row>
    <row r="153" spans="2:7">
      <c r="B153" s="8"/>
      <c r="G153" s="32"/>
    </row>
    <row r="154" spans="2:7">
      <c r="B154" s="8"/>
      <c r="G154" s="32"/>
    </row>
    <row r="155" spans="2:7">
      <c r="B155" s="8"/>
      <c r="G155" s="32"/>
    </row>
    <row r="156" spans="2:7">
      <c r="B156" s="8"/>
      <c r="G156" s="32"/>
    </row>
    <row r="157" spans="2:7">
      <c r="B157" s="8"/>
      <c r="G157" s="32"/>
    </row>
    <row r="158" spans="2:7">
      <c r="B158" s="8"/>
      <c r="G158" s="32"/>
    </row>
    <row r="159" spans="2:7">
      <c r="B159" s="8"/>
      <c r="G159" s="32"/>
    </row>
    <row r="160" spans="2:7">
      <c r="B160" s="8"/>
      <c r="G160" s="32"/>
    </row>
    <row r="161" spans="2:7">
      <c r="B161" s="8"/>
      <c r="G161" s="32"/>
    </row>
    <row r="162" spans="2:7">
      <c r="B162" s="8"/>
      <c r="G162" s="32"/>
    </row>
    <row r="163" spans="2:7">
      <c r="B163" s="8"/>
      <c r="G163" s="32"/>
    </row>
    <row r="164" spans="2:7">
      <c r="B164" s="8"/>
      <c r="G164" s="32"/>
    </row>
    <row r="165" spans="2:7">
      <c r="B165" s="8"/>
      <c r="G165" s="32"/>
    </row>
    <row r="166" spans="2:7">
      <c r="B166" s="8"/>
      <c r="G166" s="32"/>
    </row>
    <row r="167" spans="2:7">
      <c r="B167" s="8"/>
      <c r="G167" s="32"/>
    </row>
    <row r="168" spans="2:7">
      <c r="B168" s="8"/>
      <c r="G168" s="32"/>
    </row>
    <row r="169" spans="2:7">
      <c r="B169" s="8"/>
      <c r="G169" s="32"/>
    </row>
    <row r="170" spans="2:7">
      <c r="B170" s="8"/>
      <c r="G170" s="32"/>
    </row>
    <row r="171" spans="2:7">
      <c r="B171" s="8"/>
      <c r="G171" s="32"/>
    </row>
    <row r="172" spans="2:7">
      <c r="B172" s="8"/>
      <c r="G172" s="32"/>
    </row>
    <row r="173" spans="2:7">
      <c r="B173" s="8"/>
      <c r="G173" s="32"/>
    </row>
    <row r="174" spans="2:7">
      <c r="B174" s="8"/>
      <c r="G174" s="32"/>
    </row>
  </sheetData>
  <mergeCells count="1">
    <mergeCell ref="B1:K1"/>
  </mergeCells>
  <phoneticPr fontId="4" type="noConversion"/>
  <printOptions horizontalCentered="1"/>
  <pageMargins left="0.75" right="0.75" top="1" bottom="1" header="0.5" footer="0.5"/>
  <pageSetup scale="75" orientation="portrait" horizontalDpi="300" verticalDpi="300"/>
  <headerFooter alignWithMargins="0"/>
  <ignoredErrors>
    <ignoredError sqref="J17 J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O34"/>
  <sheetViews>
    <sheetView zoomScale="180" zoomScaleNormal="180" zoomScalePageLayoutView="180" workbookViewId="0">
      <selection activeCell="B8" sqref="B8"/>
    </sheetView>
  </sheetViews>
  <sheetFormatPr baseColWidth="10" defaultColWidth="8.83203125" defaultRowHeight="13"/>
  <cols>
    <col min="1" max="1" width="2.83203125" style="32" customWidth="1"/>
    <col min="2" max="2" width="4.83203125" style="32" customWidth="1"/>
    <col min="3" max="3" width="2.1640625" style="32" customWidth="1"/>
    <col min="4" max="4" width="36.1640625" style="32" customWidth="1"/>
    <col min="5" max="5" width="1.33203125" style="32" customWidth="1"/>
    <col min="6" max="6" width="12.6640625" style="32" customWidth="1"/>
    <col min="7" max="7" width="1.33203125" style="32" customWidth="1"/>
    <col min="8" max="8" width="12.6640625" style="32" customWidth="1"/>
    <col min="9" max="9" width="1.33203125" style="32" customWidth="1"/>
    <col min="10" max="10" width="12.6640625" style="32" customWidth="1"/>
    <col min="11" max="11" width="1.33203125" style="32" hidden="1" customWidth="1"/>
    <col min="12" max="12" width="23.33203125" style="32" hidden="1" customWidth="1"/>
    <col min="13" max="13" width="2.83203125" style="32" customWidth="1"/>
    <col min="14" max="16384" width="8.83203125" style="32"/>
  </cols>
  <sheetData>
    <row r="1" spans="2:15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23"/>
      <c r="N1" s="23"/>
    </row>
    <row r="2" spans="2:15" ht="16">
      <c r="B2" s="159"/>
    </row>
    <row r="3" spans="2:15">
      <c r="B3" s="11" t="str">
        <f>+'Sch 1.1'!B3</f>
        <v>Kentucky Public Service Commission</v>
      </c>
      <c r="J3" s="183" t="str">
        <f>+'Sch 1.1'!J3</f>
        <v>Case No. 2018-00295</v>
      </c>
    </row>
    <row r="4" spans="2:15">
      <c r="J4" s="184" t="s">
        <v>192</v>
      </c>
    </row>
    <row r="5" spans="2:15">
      <c r="B5" s="84" t="str">
        <f>+'Sch 1.1'!B5</f>
        <v>Louisville Gas and Electric Company–Electric</v>
      </c>
      <c r="J5" s="35" t="s">
        <v>35</v>
      </c>
    </row>
    <row r="6" spans="2:15">
      <c r="B6" s="26" t="str">
        <f>+'Sch 1.1'!B6</f>
        <v>Base Period ending December 31, 2018; Fully Forecasted Test Period ending April 30, 2020</v>
      </c>
    </row>
    <row r="7" spans="2:15">
      <c r="B7" s="44" t="s">
        <v>602</v>
      </c>
    </row>
    <row r="9" spans="2:15">
      <c r="B9" s="11"/>
      <c r="C9" s="11"/>
      <c r="D9" s="11"/>
      <c r="E9" s="11"/>
      <c r="F9" s="12"/>
      <c r="G9" s="11"/>
      <c r="H9" s="12"/>
      <c r="I9" s="11"/>
      <c r="J9" s="12" t="s">
        <v>25</v>
      </c>
      <c r="K9" s="11"/>
      <c r="L9" s="12" t="s">
        <v>20</v>
      </c>
    </row>
    <row r="10" spans="2:15" ht="14" thickBot="1">
      <c r="B10" s="45" t="s">
        <v>18</v>
      </c>
      <c r="C10" s="12"/>
      <c r="D10" s="45" t="s">
        <v>17</v>
      </c>
      <c r="E10" s="12"/>
      <c r="F10" s="45" t="s">
        <v>19</v>
      </c>
      <c r="G10" s="12"/>
      <c r="H10" s="45" t="s">
        <v>20</v>
      </c>
      <c r="I10" s="12"/>
      <c r="J10" s="45" t="s">
        <v>26</v>
      </c>
      <c r="K10" s="12"/>
      <c r="L10" s="45" t="s">
        <v>27</v>
      </c>
    </row>
    <row r="11" spans="2:15">
      <c r="B11" s="12"/>
      <c r="C11" s="12"/>
      <c r="D11" s="11"/>
      <c r="E11" s="12"/>
      <c r="F11" s="12" t="s">
        <v>9</v>
      </c>
      <c r="G11" s="12"/>
      <c r="H11" s="12" t="s">
        <v>10</v>
      </c>
      <c r="I11" s="12"/>
      <c r="J11" s="5" t="s">
        <v>11</v>
      </c>
      <c r="K11" s="12"/>
      <c r="L11" s="12" t="s">
        <v>13</v>
      </c>
    </row>
    <row r="12" spans="2:15" s="34" customFormat="1">
      <c r="B12" s="110"/>
      <c r="D12" s="84"/>
      <c r="E12" s="32"/>
      <c r="F12" s="32"/>
      <c r="N12" s="180"/>
      <c r="O12" s="180"/>
    </row>
    <row r="13" spans="2:15" s="34" customFormat="1">
      <c r="B13" s="110">
        <v>1</v>
      </c>
      <c r="D13" s="32" t="s">
        <v>123</v>
      </c>
      <c r="E13" s="32"/>
      <c r="F13" s="228">
        <v>1.82E-3</v>
      </c>
      <c r="H13" s="322">
        <f>+J13-F13</f>
        <v>2.5999999999999981E-4</v>
      </c>
      <c r="J13" s="322">
        <v>2.0799999999999998E-3</v>
      </c>
      <c r="N13" s="228"/>
      <c r="O13" s="180"/>
    </row>
    <row r="14" spans="2:15" s="34" customFormat="1">
      <c r="B14" s="110">
        <v>2</v>
      </c>
      <c r="D14" s="26" t="s">
        <v>134</v>
      </c>
      <c r="E14" s="32"/>
      <c r="F14" s="229">
        <v>2E-3</v>
      </c>
      <c r="H14" s="227"/>
      <c r="J14" s="229">
        <f>+F14+H14</f>
        <v>2E-3</v>
      </c>
      <c r="N14" s="228"/>
      <c r="O14" s="180"/>
    </row>
    <row r="15" spans="2:15" s="34" customFormat="1">
      <c r="B15" s="110">
        <v>3</v>
      </c>
      <c r="D15" s="80" t="s">
        <v>61</v>
      </c>
      <c r="E15" s="32"/>
      <c r="F15" s="233">
        <f>+F13+F14</f>
        <v>3.82E-3</v>
      </c>
      <c r="J15" s="233">
        <f>+J13+J14</f>
        <v>4.0800000000000003E-3</v>
      </c>
      <c r="N15" s="194"/>
      <c r="O15" s="180"/>
    </row>
    <row r="16" spans="2:15" s="34" customFormat="1">
      <c r="B16" s="110"/>
      <c r="D16" s="32"/>
      <c r="E16" s="32"/>
      <c r="F16" s="223"/>
      <c r="J16" s="223"/>
      <c r="N16" s="230"/>
      <c r="O16" s="180"/>
    </row>
    <row r="17" spans="2:15" s="34" customFormat="1">
      <c r="B17" s="110">
        <v>4</v>
      </c>
      <c r="D17" s="32" t="s">
        <v>124</v>
      </c>
      <c r="E17" s="32"/>
      <c r="F17" s="111">
        <f>1-F15</f>
        <v>0.99617999999999995</v>
      </c>
      <c r="J17" s="111">
        <f>1-J15</f>
        <v>0.99592000000000003</v>
      </c>
      <c r="N17" s="194"/>
      <c r="O17" s="180"/>
    </row>
    <row r="18" spans="2:15" s="34" customFormat="1">
      <c r="B18" s="110">
        <v>5</v>
      </c>
      <c r="D18" s="32" t="s">
        <v>125</v>
      </c>
      <c r="E18" s="32"/>
      <c r="F18" s="224">
        <v>0.05</v>
      </c>
      <c r="J18" s="224">
        <f>+F18+H18</f>
        <v>0.05</v>
      </c>
      <c r="N18" s="194"/>
      <c r="O18" s="180"/>
    </row>
    <row r="19" spans="2:15" s="34" customFormat="1">
      <c r="B19" s="110">
        <v>6</v>
      </c>
      <c r="D19" s="26" t="s">
        <v>126</v>
      </c>
      <c r="E19" s="32"/>
      <c r="F19" s="233">
        <f>+F17*F18</f>
        <v>4.9808999999999999E-2</v>
      </c>
      <c r="J19" s="233">
        <f>+J17*J18</f>
        <v>4.9796000000000007E-2</v>
      </c>
      <c r="N19" s="194"/>
      <c r="O19" s="180"/>
    </row>
    <row r="20" spans="2:15" s="34" customFormat="1">
      <c r="B20" s="110"/>
      <c r="D20" s="26"/>
      <c r="E20" s="32"/>
      <c r="N20" s="180"/>
      <c r="O20" s="180"/>
    </row>
    <row r="21" spans="2:15" s="34" customFormat="1">
      <c r="B21" s="110">
        <v>7</v>
      </c>
      <c r="D21" s="26" t="s">
        <v>127</v>
      </c>
      <c r="E21" s="32"/>
      <c r="F21" s="111">
        <f>1-F15-F19</f>
        <v>0.94637099999999996</v>
      </c>
      <c r="J21" s="111">
        <f>1-J15-J19</f>
        <v>0.94612399999999997</v>
      </c>
      <c r="N21" s="194"/>
      <c r="O21" s="180"/>
    </row>
    <row r="22" spans="2:15" s="34" customFormat="1">
      <c r="B22" s="110">
        <v>8</v>
      </c>
      <c r="D22" s="26" t="s">
        <v>128</v>
      </c>
      <c r="E22" s="32"/>
      <c r="F22" s="224">
        <v>0.21</v>
      </c>
      <c r="J22" s="224">
        <f>+F22+H22</f>
        <v>0.21</v>
      </c>
      <c r="N22" s="194"/>
      <c r="O22" s="180"/>
    </row>
    <row r="23" spans="2:15" s="34" customFormat="1">
      <c r="B23" s="110">
        <v>9</v>
      </c>
      <c r="D23" s="26" t="s">
        <v>129</v>
      </c>
      <c r="E23" s="32"/>
      <c r="F23" s="233">
        <f>+F21*F22</f>
        <v>0.19873790999999999</v>
      </c>
      <c r="J23" s="233">
        <f>+J21*J22</f>
        <v>0.19868603999999998</v>
      </c>
      <c r="N23" s="194"/>
      <c r="O23" s="180"/>
    </row>
    <row r="24" spans="2:15" s="34" customFormat="1">
      <c r="B24" s="110"/>
      <c r="D24" s="26"/>
      <c r="E24" s="32"/>
      <c r="N24" s="180"/>
      <c r="O24" s="180"/>
    </row>
    <row r="25" spans="2:15" s="34" customFormat="1">
      <c r="B25" s="110">
        <v>10</v>
      </c>
      <c r="D25" s="26" t="s">
        <v>42</v>
      </c>
      <c r="E25" s="32"/>
      <c r="F25" s="225">
        <f>+F15+F19+F23</f>
        <v>0.25236691</v>
      </c>
      <c r="J25" s="225">
        <f>+J15+J19+J23</f>
        <v>0.25256203999999999</v>
      </c>
      <c r="N25" s="231"/>
      <c r="O25" s="180"/>
    </row>
    <row r="26" spans="2:15" s="34" customFormat="1">
      <c r="B26" s="110">
        <v>11</v>
      </c>
      <c r="D26" s="26" t="s">
        <v>130</v>
      </c>
      <c r="E26" s="32"/>
      <c r="F26" s="225">
        <f>1-F25</f>
        <v>0.74763309</v>
      </c>
      <c r="J26" s="225">
        <f>1-J25</f>
        <v>0.74743796000000007</v>
      </c>
      <c r="N26" s="231"/>
      <c r="O26" s="180"/>
    </row>
    <row r="27" spans="2:15" s="34" customFormat="1" ht="14" thickBot="1">
      <c r="B27" s="110"/>
      <c r="D27" s="26"/>
      <c r="E27" s="32"/>
      <c r="F27" s="225"/>
      <c r="J27" s="225"/>
      <c r="N27" s="231"/>
      <c r="O27" s="180"/>
    </row>
    <row r="28" spans="2:15" s="34" customFormat="1" ht="14" thickBot="1">
      <c r="B28" s="110">
        <v>12</v>
      </c>
      <c r="D28" s="44" t="s">
        <v>601</v>
      </c>
      <c r="E28" s="15"/>
      <c r="F28" s="226">
        <f>1/F26</f>
        <v>1.3375544948124221</v>
      </c>
      <c r="H28" s="323">
        <f>+J28-F28</f>
        <v>3.491888591964365E-4</v>
      </c>
      <c r="J28" s="226">
        <f>1/J26</f>
        <v>1.3379036836716185</v>
      </c>
      <c r="N28" s="232"/>
      <c r="O28" s="180"/>
    </row>
    <row r="29" spans="2:15" s="34" customFormat="1">
      <c r="N29" s="180"/>
      <c r="O29" s="180"/>
    </row>
    <row r="30" spans="2:15">
      <c r="N30" s="4"/>
      <c r="O30" s="4"/>
    </row>
    <row r="31" spans="2:15" s="34" customFormat="1">
      <c r="B31" s="108" t="s">
        <v>79</v>
      </c>
      <c r="C31" s="112"/>
      <c r="D31" s="112"/>
      <c r="E31" s="112"/>
      <c r="F31" s="112"/>
      <c r="G31" s="112"/>
      <c r="H31" s="112"/>
      <c r="I31" s="112"/>
      <c r="J31" s="112"/>
    </row>
    <row r="32" spans="2:15" s="34" customFormat="1">
      <c r="B32" s="180" t="s">
        <v>204</v>
      </c>
      <c r="C32" s="180"/>
      <c r="D32" s="180"/>
      <c r="E32" s="180"/>
      <c r="F32" s="180"/>
      <c r="G32" s="180"/>
      <c r="H32" s="180"/>
      <c r="I32" s="180"/>
      <c r="J32" s="180"/>
    </row>
    <row r="33" spans="2:2">
      <c r="B33" s="32" t="s">
        <v>205</v>
      </c>
    </row>
    <row r="34" spans="2:2">
      <c r="B34" s="26" t="s">
        <v>214</v>
      </c>
    </row>
  </sheetData>
  <mergeCells count="1">
    <mergeCell ref="B1:L1"/>
  </mergeCells>
  <phoneticPr fontId="4" type="noConversion"/>
  <printOptions horizontalCentered="1"/>
  <pageMargins left="0.7" right="0.7" top="0.75" bottom="0.75" header="0.3" footer="0.3"/>
  <pageSetup scale="9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D94E-96E4-DC43-B028-1622F9BC8733}">
  <dimension ref="B1:J178"/>
  <sheetViews>
    <sheetView workbookViewId="0">
      <selection activeCell="J9" sqref="J9"/>
    </sheetView>
  </sheetViews>
  <sheetFormatPr baseColWidth="10" defaultColWidth="8.83203125" defaultRowHeight="13"/>
  <cols>
    <col min="1" max="1" width="2.83203125" style="32" customWidth="1"/>
    <col min="2" max="2" width="5.6640625" style="32" customWidth="1"/>
    <col min="3" max="3" width="1.33203125" style="32" customWidth="1"/>
    <col min="4" max="4" width="25.5" style="32" customWidth="1"/>
    <col min="5" max="5" width="1.33203125" style="32" customWidth="1"/>
    <col min="6" max="6" width="14.6640625" style="32" bestFit="1" customWidth="1"/>
    <col min="7" max="7" width="1.33203125" style="32" customWidth="1"/>
    <col min="8" max="8" width="12.5" style="32" customWidth="1"/>
    <col min="9" max="9" width="1.33203125" style="32" customWidth="1"/>
    <col min="10" max="10" width="14.83203125" style="32" customWidth="1"/>
    <col min="11" max="11" width="2.83203125" style="32" customWidth="1"/>
    <col min="12" max="16384" width="8.83203125" style="32"/>
  </cols>
  <sheetData>
    <row r="1" spans="2:10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</row>
    <row r="2" spans="2:10" ht="16">
      <c r="B2" s="81"/>
    </row>
    <row r="3" spans="2:10">
      <c r="B3" s="11" t="str">
        <f>+'Sch 1.1'!B3</f>
        <v>Kentucky Public Service Commission</v>
      </c>
      <c r="J3" s="183" t="str">
        <f>+'Sch 1.1'!J3</f>
        <v>Case No. 2018-00295</v>
      </c>
    </row>
    <row r="4" spans="2:10">
      <c r="J4" s="35" t="s">
        <v>354</v>
      </c>
    </row>
    <row r="5" spans="2:10">
      <c r="B5" s="84" t="str">
        <f>+'Sch 1.1'!B5</f>
        <v>Louisville Gas and Electric Company–Electric</v>
      </c>
      <c r="J5" s="183" t="s">
        <v>35</v>
      </c>
    </row>
    <row r="6" spans="2:10">
      <c r="B6" s="15" t="str">
        <f>+'Sch 1.1'!B6</f>
        <v>Base Period ending December 31, 2018; Fully Forecasted Test Period ending April 30, 2020</v>
      </c>
    </row>
    <row r="7" spans="2:10">
      <c r="B7" s="93" t="s">
        <v>599</v>
      </c>
    </row>
    <row r="8" spans="2:10">
      <c r="B8" s="84"/>
    </row>
    <row r="9" spans="2:10">
      <c r="B9" s="309"/>
      <c r="C9" s="309"/>
      <c r="D9" s="309"/>
      <c r="E9" s="309"/>
      <c r="F9" s="309" t="s">
        <v>19</v>
      </c>
      <c r="G9" s="309"/>
      <c r="H9" s="309"/>
      <c r="I9" s="309"/>
      <c r="J9" s="309"/>
    </row>
    <row r="10" spans="2:10" ht="14" thickBot="1">
      <c r="B10" s="307" t="s">
        <v>18</v>
      </c>
      <c r="C10" s="309"/>
      <c r="D10" s="307" t="s">
        <v>17</v>
      </c>
      <c r="E10" s="309"/>
      <c r="F10" s="307" t="s">
        <v>65</v>
      </c>
      <c r="G10" s="309"/>
      <c r="H10" s="307" t="s">
        <v>20</v>
      </c>
      <c r="I10" s="309"/>
      <c r="J10" s="307" t="s">
        <v>15</v>
      </c>
    </row>
    <row r="11" spans="2:10">
      <c r="B11" s="309"/>
      <c r="C11" s="309"/>
      <c r="D11" s="309"/>
      <c r="E11" s="309"/>
      <c r="F11" s="309" t="s">
        <v>9</v>
      </c>
      <c r="G11" s="309"/>
      <c r="H11" s="309" t="s">
        <v>10</v>
      </c>
      <c r="I11" s="309"/>
      <c r="J11" s="309" t="s">
        <v>11</v>
      </c>
    </row>
    <row r="12" spans="2:10">
      <c r="B12" s="8"/>
      <c r="C12" s="8"/>
      <c r="D12" s="8"/>
      <c r="E12" s="8"/>
      <c r="F12" s="8"/>
      <c r="G12" s="8"/>
      <c r="H12" s="324"/>
      <c r="I12" s="8"/>
      <c r="J12" s="8"/>
    </row>
    <row r="13" spans="2:10">
      <c r="B13" s="8">
        <v>1</v>
      </c>
      <c r="D13" s="37" t="s">
        <v>164</v>
      </c>
      <c r="F13" s="41">
        <f>+'Sch 1.1'!F30</f>
        <v>2593434547</v>
      </c>
      <c r="H13" s="40"/>
      <c r="J13" s="41">
        <f>+F13+H13</f>
        <v>2593434547</v>
      </c>
    </row>
    <row r="14" spans="2:10">
      <c r="B14" s="8">
        <v>2</v>
      </c>
      <c r="D14" s="37" t="s">
        <v>22</v>
      </c>
      <c r="F14" s="178">
        <f>+'Sch 1.1'!F32</f>
        <v>7.6178470192420772E-2</v>
      </c>
      <c r="G14" s="4"/>
      <c r="H14" s="39"/>
      <c r="I14" s="4"/>
      <c r="J14" s="7">
        <f>+F14</f>
        <v>7.6178470192420772E-2</v>
      </c>
    </row>
    <row r="15" spans="2:10">
      <c r="B15" s="8">
        <v>3</v>
      </c>
      <c r="D15" s="37" t="s">
        <v>29</v>
      </c>
      <c r="F15" s="40">
        <f>+F13*F14</f>
        <v>197563876.33463377</v>
      </c>
      <c r="G15" s="4"/>
      <c r="H15" s="40"/>
      <c r="I15" s="4"/>
      <c r="J15" s="40">
        <f>+J13*J14</f>
        <v>197563876.33463377</v>
      </c>
    </row>
    <row r="16" spans="2:10">
      <c r="B16" s="8"/>
      <c r="D16" s="13"/>
      <c r="F16" s="40"/>
      <c r="G16" s="4"/>
      <c r="H16" s="40"/>
      <c r="I16" s="4"/>
      <c r="J16" s="40"/>
    </row>
    <row r="17" spans="2:10">
      <c r="B17" s="8">
        <v>4</v>
      </c>
      <c r="D17" s="37" t="s">
        <v>62</v>
      </c>
      <c r="F17" s="10">
        <f>+'Sch 1.1'!F49</f>
        <v>171415400</v>
      </c>
      <c r="G17" s="4"/>
      <c r="H17" s="40"/>
      <c r="I17" s="4"/>
      <c r="J17" s="10">
        <f>+F17+H17</f>
        <v>171415400</v>
      </c>
    </row>
    <row r="18" spans="2:10" ht="7" customHeight="1">
      <c r="B18" s="8"/>
      <c r="D18" s="53"/>
      <c r="F18" s="9"/>
      <c r="H18" s="9"/>
      <c r="J18" s="9"/>
    </row>
    <row r="19" spans="2:10">
      <c r="B19" s="8">
        <v>5</v>
      </c>
      <c r="D19" s="37" t="s">
        <v>87</v>
      </c>
      <c r="F19" s="40">
        <f>+F15-F17</f>
        <v>26148476.334633768</v>
      </c>
      <c r="H19" s="40"/>
      <c r="J19" s="40">
        <f>+J15-J17</f>
        <v>26148476.334633768</v>
      </c>
    </row>
    <row r="20" spans="2:10">
      <c r="B20" s="8">
        <v>6</v>
      </c>
      <c r="D20" s="63" t="s">
        <v>603</v>
      </c>
      <c r="F20" s="18">
        <f>+'Sch 1.1'!F52</f>
        <v>1.3375544948124221</v>
      </c>
      <c r="G20" s="89"/>
      <c r="H20" s="18">
        <f>+J20-F20</f>
        <v>3.491888591964365E-4</v>
      </c>
      <c r="I20" s="89"/>
      <c r="J20" s="18">
        <f>+'Sch 1.2'!J28</f>
        <v>1.3379036836716185</v>
      </c>
    </row>
    <row r="21" spans="2:10" ht="7" customHeight="1">
      <c r="B21" s="8"/>
      <c r="D21" s="13"/>
      <c r="F21" s="88"/>
      <c r="G21" s="89"/>
      <c r="H21" s="88"/>
      <c r="I21" s="89"/>
      <c r="J21" s="88"/>
    </row>
    <row r="22" spans="2:10" ht="14" thickBot="1">
      <c r="B22" s="8">
        <v>7</v>
      </c>
      <c r="D22" s="53" t="s">
        <v>84</v>
      </c>
      <c r="F22" s="14">
        <f>+F19*F20</f>
        <v>34975012.053885646</v>
      </c>
      <c r="H22" s="14">
        <f>+J22-F22</f>
        <v>9130.7566210106015</v>
      </c>
      <c r="J22" s="14">
        <f>+J19*J20</f>
        <v>34984142.810506657</v>
      </c>
    </row>
    <row r="23" spans="2:10" ht="14" thickTop="1">
      <c r="B23" s="8"/>
      <c r="H23" s="40"/>
      <c r="J23" s="40"/>
    </row>
    <row r="24" spans="2:10">
      <c r="B24" s="8"/>
      <c r="D24" s="37"/>
      <c r="F24" s="4"/>
      <c r="H24" s="4"/>
      <c r="J24" s="4"/>
    </row>
    <row r="25" spans="2:10">
      <c r="B25" s="108" t="s">
        <v>79</v>
      </c>
      <c r="C25" s="69"/>
      <c r="D25" s="69"/>
      <c r="E25" s="69"/>
      <c r="F25" s="115"/>
      <c r="G25" s="69"/>
      <c r="H25" s="116"/>
      <c r="I25" s="69"/>
      <c r="J25" s="115"/>
    </row>
    <row r="26" spans="2:10" ht="15">
      <c r="B26" s="73" t="s">
        <v>89</v>
      </c>
      <c r="C26" s="113"/>
      <c r="E26" s="117"/>
    </row>
    <row r="27" spans="2:10" ht="15">
      <c r="B27" s="73" t="s">
        <v>215</v>
      </c>
      <c r="C27" s="113"/>
      <c r="E27" s="118"/>
    </row>
    <row r="28" spans="2:10">
      <c r="B28" s="8"/>
    </row>
    <row r="29" spans="2:10">
      <c r="B29" s="8"/>
    </row>
    <row r="30" spans="2:10">
      <c r="B30" s="8"/>
      <c r="D30" s="253" t="s">
        <v>81</v>
      </c>
      <c r="E30" s="310"/>
      <c r="F30" s="255">
        <f>+'Sch 1.1'!F53</f>
        <v>34975012.053885646</v>
      </c>
    </row>
    <row r="31" spans="2:10">
      <c r="B31" s="8"/>
      <c r="F31" s="255">
        <f>+F30-F22</f>
        <v>0</v>
      </c>
    </row>
    <row r="32" spans="2:10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7" spans="2:2">
      <c r="B47" s="8"/>
    </row>
    <row r="48" spans="2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</sheetData>
  <mergeCells count="1">
    <mergeCell ref="B1:J1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P28"/>
  <sheetViews>
    <sheetView showGridLines="0" zoomScale="125" zoomScaleNormal="125" zoomScalePageLayoutView="125" workbookViewId="0">
      <selection activeCell="L13" sqref="L13"/>
    </sheetView>
  </sheetViews>
  <sheetFormatPr baseColWidth="10" defaultColWidth="8.83203125" defaultRowHeight="13"/>
  <cols>
    <col min="1" max="1" width="2.83203125" style="32" customWidth="1"/>
    <col min="2" max="2" width="5.6640625" style="32" customWidth="1"/>
    <col min="3" max="3" width="1.33203125" style="32" customWidth="1"/>
    <col min="4" max="4" width="29.83203125" style="32" customWidth="1"/>
    <col min="5" max="5" width="1.33203125" style="32" customWidth="1"/>
    <col min="6" max="6" width="15.6640625" style="32" customWidth="1"/>
    <col min="7" max="7" width="1" style="32" customWidth="1"/>
    <col min="8" max="8" width="11.1640625" style="32" customWidth="1"/>
    <col min="9" max="9" width="1.33203125" style="32" customWidth="1"/>
    <col min="10" max="10" width="11.1640625" style="32" customWidth="1"/>
    <col min="11" max="11" width="1.33203125" style="32" customWidth="1"/>
    <col min="12" max="12" width="11.1640625" style="32" customWidth="1"/>
    <col min="13" max="13" width="1.33203125" style="32" customWidth="1"/>
    <col min="14" max="14" width="10.6640625" style="32" customWidth="1"/>
    <col min="15" max="15" width="1.33203125" style="32" customWidth="1"/>
    <col min="16" max="16" width="9.6640625" style="32" bestFit="1" customWidth="1"/>
    <col min="17" max="17" width="2.83203125" style="32" customWidth="1"/>
    <col min="18" max="16384" width="8.83203125" style="32"/>
  </cols>
  <sheetData>
    <row r="1" spans="2:16" ht="20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234"/>
      <c r="N1" s="234"/>
      <c r="O1" s="234"/>
      <c r="P1" s="234"/>
    </row>
    <row r="2" spans="2:16" ht="16">
      <c r="B2" s="159"/>
    </row>
    <row r="3" spans="2:16">
      <c r="B3" s="11" t="str">
        <f>+'Sch 1.1'!B3</f>
        <v>Kentucky Public Service Commission</v>
      </c>
      <c r="L3" s="183" t="str">
        <f>+'Sch 1.1'!J3</f>
        <v>Case No. 2018-00295</v>
      </c>
    </row>
    <row r="4" spans="2:16">
      <c r="B4" s="60"/>
      <c r="L4" s="184" t="s">
        <v>193</v>
      </c>
    </row>
    <row r="5" spans="2:16">
      <c r="B5" s="84" t="str">
        <f>+'Sch 1.1'!B5</f>
        <v>Louisville Gas and Electric Company–Electric</v>
      </c>
      <c r="L5" s="183" t="s">
        <v>35</v>
      </c>
    </row>
    <row r="6" spans="2:16">
      <c r="B6" s="32" t="str">
        <f>+'Sch 1.1'!B6</f>
        <v>Base Period ending December 31, 2018; Fully Forecasted Test Period ending April 30, 2020</v>
      </c>
    </row>
    <row r="7" spans="2:16">
      <c r="B7" s="32" t="s">
        <v>0</v>
      </c>
    </row>
    <row r="9" spans="2:16">
      <c r="H9" s="12"/>
    </row>
    <row r="10" spans="2:16">
      <c r="B10" s="11"/>
      <c r="C10" s="11"/>
      <c r="D10" s="11"/>
      <c r="E10" s="11"/>
      <c r="F10" s="240" t="s">
        <v>154</v>
      </c>
      <c r="G10" s="11"/>
      <c r="H10" s="12" t="s">
        <v>80</v>
      </c>
      <c r="I10" s="11"/>
      <c r="J10" s="12"/>
      <c r="K10" s="11"/>
      <c r="L10" s="12" t="s">
        <v>7</v>
      </c>
      <c r="M10" s="11"/>
    </row>
    <row r="11" spans="2:16" ht="14" customHeight="1" thickBot="1">
      <c r="B11" s="45" t="s">
        <v>18</v>
      </c>
      <c r="C11" s="12"/>
      <c r="D11" s="45" t="s">
        <v>17</v>
      </c>
      <c r="E11" s="12"/>
      <c r="F11" s="239" t="s">
        <v>155</v>
      </c>
      <c r="G11" s="240"/>
      <c r="H11" s="45" t="s">
        <v>3</v>
      </c>
      <c r="I11" s="12"/>
      <c r="J11" s="45" t="s">
        <v>6</v>
      </c>
      <c r="K11" s="12"/>
      <c r="L11" s="45" t="s">
        <v>6</v>
      </c>
      <c r="M11" s="12"/>
    </row>
    <row r="12" spans="2:16">
      <c r="B12" s="12"/>
      <c r="C12" s="12"/>
      <c r="D12" s="12"/>
      <c r="E12" s="12"/>
      <c r="F12" s="240" t="s">
        <v>9</v>
      </c>
      <c r="G12" s="240"/>
      <c r="H12" s="240" t="s">
        <v>10</v>
      </c>
      <c r="I12" s="240"/>
      <c r="J12" s="5" t="s">
        <v>11</v>
      </c>
      <c r="K12" s="12"/>
      <c r="L12" s="5" t="s">
        <v>12</v>
      </c>
    </row>
    <row r="13" spans="2:16">
      <c r="B13" s="8"/>
      <c r="D13" s="95" t="s">
        <v>88</v>
      </c>
      <c r="E13" s="93"/>
      <c r="F13" s="93"/>
      <c r="G13" s="93"/>
      <c r="H13" s="94"/>
      <c r="J13" s="9"/>
      <c r="K13" s="9"/>
      <c r="L13" s="9"/>
      <c r="M13" s="4"/>
    </row>
    <row r="14" spans="2:16">
      <c r="B14" s="8">
        <v>1</v>
      </c>
      <c r="D14" s="93" t="s">
        <v>135</v>
      </c>
      <c r="E14" s="93"/>
      <c r="F14" s="49">
        <v>49111557</v>
      </c>
      <c r="G14" s="93"/>
      <c r="H14" s="245">
        <f>+F14/$F$17</f>
        <v>1.8936879304245653E-2</v>
      </c>
      <c r="J14" s="92">
        <v>3.2485776152440492E-2</v>
      </c>
      <c r="K14" s="9"/>
      <c r="L14" s="249">
        <f>+H14*J14</f>
        <v>6.1517922210350734E-4</v>
      </c>
      <c r="M14" s="4"/>
      <c r="N14" s="26"/>
    </row>
    <row r="15" spans="2:16">
      <c r="B15" s="8">
        <v>2</v>
      </c>
      <c r="D15" s="93" t="s">
        <v>30</v>
      </c>
      <c r="E15" s="93"/>
      <c r="F15" s="49">
        <v>1174033050</v>
      </c>
      <c r="G15" s="93"/>
      <c r="H15" s="245">
        <f t="shared" ref="H15:H16" si="0">+F15/$F$17</f>
        <v>0.45269430507050312</v>
      </c>
      <c r="I15" s="4"/>
      <c r="J15" s="96">
        <v>4.5300460183155769E-2</v>
      </c>
      <c r="K15" s="38"/>
      <c r="L15" s="39">
        <f>+H15*J15</f>
        <v>2.0507260341987698E-2</v>
      </c>
      <c r="M15" s="4"/>
    </row>
    <row r="16" spans="2:16">
      <c r="B16" s="8">
        <v>3</v>
      </c>
      <c r="D16" s="93" t="s">
        <v>105</v>
      </c>
      <c r="E16" s="93"/>
      <c r="F16" s="49">
        <v>1370289941</v>
      </c>
      <c r="G16" s="93"/>
      <c r="H16" s="245">
        <f t="shared" si="0"/>
        <v>0.52836881601084029</v>
      </c>
      <c r="I16" s="4"/>
      <c r="J16" s="96">
        <v>0.1042</v>
      </c>
      <c r="K16" s="38"/>
      <c r="L16" s="39">
        <f>+H16*J16</f>
        <v>5.5056030628329561E-2</v>
      </c>
      <c r="M16" s="4"/>
    </row>
    <row r="17" spans="2:13" ht="14" thickBot="1">
      <c r="B17" s="97">
        <v>4</v>
      </c>
      <c r="C17" s="20"/>
      <c r="D17" s="93" t="s">
        <v>15</v>
      </c>
      <c r="E17" s="93"/>
      <c r="F17" s="260">
        <f>SUM(F14:F16)-1</f>
        <v>2593434547</v>
      </c>
      <c r="G17" s="93"/>
      <c r="H17" s="98">
        <f>SUM(H14:H16)</f>
        <v>1.0000000003855891</v>
      </c>
      <c r="I17" s="4"/>
      <c r="J17" s="99"/>
      <c r="K17" s="4"/>
      <c r="L17" s="98">
        <f>SUM(L14:L16)</f>
        <v>7.6178470192420772E-2</v>
      </c>
      <c r="M17" s="4"/>
    </row>
    <row r="18" spans="2:13" ht="15" thickTop="1" thickBot="1">
      <c r="B18" s="100"/>
      <c r="C18" s="101"/>
      <c r="D18" s="101"/>
      <c r="E18" s="101"/>
      <c r="F18" s="101"/>
      <c r="G18" s="101"/>
      <c r="H18" s="102"/>
      <c r="I18" s="103"/>
      <c r="J18" s="103"/>
      <c r="K18" s="103"/>
      <c r="L18" s="102"/>
      <c r="M18" s="103"/>
    </row>
    <row r="19" spans="2:13" s="4" customFormat="1">
      <c r="B19" s="104"/>
      <c r="C19" s="93"/>
      <c r="D19" s="93"/>
      <c r="E19" s="93"/>
      <c r="F19" s="93"/>
      <c r="G19" s="93"/>
      <c r="H19" s="19"/>
      <c r="L19" s="19"/>
    </row>
    <row r="20" spans="2:13">
      <c r="B20" s="8"/>
      <c r="D20" s="95" t="s">
        <v>363</v>
      </c>
      <c r="E20" s="93"/>
      <c r="F20" s="93"/>
      <c r="G20" s="93"/>
      <c r="H20" s="105"/>
      <c r="J20" s="106"/>
      <c r="K20" s="106"/>
      <c r="L20" s="106"/>
      <c r="M20" s="4"/>
    </row>
    <row r="21" spans="2:13">
      <c r="B21" s="8">
        <v>5</v>
      </c>
      <c r="D21" s="93" t="s">
        <v>135</v>
      </c>
      <c r="E21" s="93"/>
      <c r="F21" s="49">
        <v>49111557</v>
      </c>
      <c r="G21" s="93"/>
      <c r="H21" s="245">
        <f>+F21/$F$17</f>
        <v>1.8936879304245653E-2</v>
      </c>
      <c r="J21" s="92">
        <v>3.2485776152440492E-2</v>
      </c>
      <c r="K21" s="9"/>
      <c r="L21" s="249">
        <f>+H21*J21</f>
        <v>6.1517922210350734E-4</v>
      </c>
      <c r="M21" s="4"/>
    </row>
    <row r="22" spans="2:13">
      <c r="B22" s="8">
        <v>6</v>
      </c>
      <c r="D22" s="93" t="s">
        <v>30</v>
      </c>
      <c r="E22" s="93"/>
      <c r="F22" s="49">
        <v>1174033050</v>
      </c>
      <c r="G22" s="93"/>
      <c r="H22" s="245">
        <f t="shared" ref="H22:H23" si="1">+F22/$F$17</f>
        <v>0.45269430507050312</v>
      </c>
      <c r="I22" s="4"/>
      <c r="J22" s="96">
        <v>4.5300460183155769E-2</v>
      </c>
      <c r="K22" s="38"/>
      <c r="L22" s="39">
        <f>+H22*J22</f>
        <v>2.0507260341987698E-2</v>
      </c>
      <c r="M22" s="4"/>
    </row>
    <row r="23" spans="2:13" ht="14" thickBot="1">
      <c r="B23" s="8">
        <v>7</v>
      </c>
      <c r="D23" s="93" t="s">
        <v>105</v>
      </c>
      <c r="E23" s="93"/>
      <c r="F23" s="49">
        <v>1370289941</v>
      </c>
      <c r="G23" s="93"/>
      <c r="H23" s="245">
        <f t="shared" si="1"/>
        <v>0.52836881601084029</v>
      </c>
      <c r="I23" s="4"/>
      <c r="J23" s="356">
        <v>9.7000000000000003E-2</v>
      </c>
      <c r="K23" s="38"/>
      <c r="L23" s="39">
        <f>+H23*J23</f>
        <v>5.1251775153051508E-2</v>
      </c>
      <c r="M23" s="4"/>
    </row>
    <row r="24" spans="2:13" ht="14" thickBot="1">
      <c r="B24" s="8">
        <v>8</v>
      </c>
      <c r="D24" s="93" t="s">
        <v>15</v>
      </c>
      <c r="E24" s="93"/>
      <c r="F24" s="260">
        <f>SUM(F21:F23)-1</f>
        <v>2593434547</v>
      </c>
      <c r="G24" s="93"/>
      <c r="H24" s="98">
        <f>SUM(H21:H23)</f>
        <v>1.0000000003855891</v>
      </c>
      <c r="I24" s="4"/>
      <c r="J24" s="99"/>
      <c r="K24" s="4"/>
      <c r="L24" s="247">
        <f>SUM(L21:L23)</f>
        <v>7.2374214717142712E-2</v>
      </c>
      <c r="M24" s="4"/>
    </row>
    <row r="25" spans="2:13" ht="14" thickTop="1">
      <c r="B25" s="97"/>
      <c r="C25" s="20"/>
      <c r="D25" s="93"/>
      <c r="E25" s="93"/>
      <c r="F25" s="93"/>
      <c r="G25" s="93"/>
      <c r="H25" s="107"/>
      <c r="I25" s="4"/>
      <c r="J25" s="4"/>
      <c r="K25" s="4"/>
      <c r="L25" s="107"/>
      <c r="M25" s="4"/>
    </row>
    <row r="26" spans="2:13">
      <c r="B26" s="108" t="s">
        <v>79</v>
      </c>
      <c r="C26" s="69"/>
      <c r="D26" s="69"/>
      <c r="E26" s="69"/>
      <c r="F26" s="69"/>
      <c r="G26" s="69"/>
      <c r="H26" s="69"/>
      <c r="I26" s="69"/>
      <c r="J26" s="69"/>
      <c r="K26" s="69"/>
      <c r="L26" s="109"/>
      <c r="M26" s="69"/>
    </row>
    <row r="27" spans="2:13">
      <c r="B27" s="185" t="s">
        <v>206</v>
      </c>
      <c r="C27" s="215"/>
      <c r="D27" s="215"/>
      <c r="E27" s="215"/>
      <c r="F27" s="215"/>
      <c r="G27" s="215"/>
      <c r="H27" s="215"/>
    </row>
    <row r="28" spans="2:13">
      <c r="B28" s="80" t="s">
        <v>366</v>
      </c>
    </row>
  </sheetData>
  <mergeCells count="1">
    <mergeCell ref="B1:L1"/>
  </mergeCells>
  <phoneticPr fontId="4" type="noConversion"/>
  <printOptions horizontalCentered="1"/>
  <pageMargins left="0.75" right="0.75" top="1" bottom="1" header="0.5" footer="0.5"/>
  <pageSetup scale="8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T203"/>
  <sheetViews>
    <sheetView showGridLines="0" tabSelected="1" zoomScale="141" zoomScaleNormal="141" zoomScalePageLayoutView="141" workbookViewId="0">
      <selection activeCell="V16" sqref="V16"/>
    </sheetView>
  </sheetViews>
  <sheetFormatPr baseColWidth="10" defaultColWidth="8.83203125" defaultRowHeight="13"/>
  <cols>
    <col min="1" max="1" width="2.83203125" style="32" customWidth="1"/>
    <col min="2" max="2" width="5.6640625" style="32" customWidth="1"/>
    <col min="3" max="3" width="1.33203125" style="32" customWidth="1"/>
    <col min="4" max="4" width="25.5" style="32" customWidth="1"/>
    <col min="5" max="5" width="1.33203125" style="32" customWidth="1"/>
    <col min="6" max="6" width="14.6640625" style="32" bestFit="1" customWidth="1"/>
    <col min="7" max="7" width="1.33203125" style="32" customWidth="1"/>
    <col min="8" max="8" width="12.5" style="32" customWidth="1"/>
    <col min="9" max="9" width="1.33203125" style="32" customWidth="1"/>
    <col min="10" max="10" width="14.83203125" style="32" customWidth="1"/>
    <col min="11" max="11" width="2.83203125" style="32" customWidth="1"/>
    <col min="12" max="12" width="18.6640625" style="32" hidden="1" customWidth="1"/>
    <col min="13" max="13" width="1.33203125" style="32" hidden="1" customWidth="1"/>
    <col min="14" max="14" width="14.1640625" style="32" hidden="1" customWidth="1"/>
    <col min="15" max="15" width="1.33203125" style="32" hidden="1" customWidth="1"/>
    <col min="16" max="16" width="0" style="32" hidden="1" customWidth="1"/>
    <col min="17" max="17" width="1.33203125" style="32" hidden="1" customWidth="1"/>
    <col min="18" max="18" width="0" style="32" hidden="1" customWidth="1"/>
    <col min="19" max="19" width="1.33203125" style="32" hidden="1" customWidth="1"/>
    <col min="20" max="21" width="0" style="32" hidden="1" customWidth="1"/>
    <col min="22" max="16384" width="8.83203125" style="32"/>
  </cols>
  <sheetData>
    <row r="1" spans="2:20" ht="20" customHeight="1"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2:20" ht="16" customHeight="1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2:20">
      <c r="B3" s="11" t="str">
        <f>+'Sch 1.1'!B3</f>
        <v>Kentucky Public Service Commission</v>
      </c>
      <c r="J3" s="183" t="str">
        <f>+'Sch 1.1'!J3</f>
        <v>Case No. 2018-00295</v>
      </c>
    </row>
    <row r="4" spans="2:20">
      <c r="J4" s="35" t="s">
        <v>194</v>
      </c>
    </row>
    <row r="5" spans="2:20">
      <c r="B5" s="84" t="str">
        <f>+'Sch 1.1'!B5</f>
        <v>Louisville Gas and Electric Company–Electric</v>
      </c>
      <c r="J5" s="183" t="s">
        <v>35</v>
      </c>
    </row>
    <row r="6" spans="2:20">
      <c r="B6" s="15" t="str">
        <f>+'Sch 1.1'!B6</f>
        <v>Base Period ending December 31, 2018; Fully Forecasted Test Period ending April 30, 2020</v>
      </c>
    </row>
    <row r="7" spans="2:20">
      <c r="B7" s="93" t="s">
        <v>600</v>
      </c>
    </row>
    <row r="8" spans="2:20">
      <c r="B8" s="84"/>
    </row>
    <row r="9" spans="2:20">
      <c r="B9" s="12"/>
      <c r="C9" s="12"/>
      <c r="D9" s="12"/>
      <c r="E9" s="12"/>
      <c r="F9" s="12" t="s">
        <v>19</v>
      </c>
      <c r="G9" s="12"/>
      <c r="H9" s="12"/>
      <c r="I9" s="12"/>
      <c r="J9" s="12"/>
    </row>
    <row r="10" spans="2:20" ht="14" thickBot="1">
      <c r="B10" s="45" t="s">
        <v>18</v>
      </c>
      <c r="C10" s="12"/>
      <c r="D10" s="45" t="s">
        <v>17</v>
      </c>
      <c r="E10" s="12"/>
      <c r="F10" s="45" t="s">
        <v>65</v>
      </c>
      <c r="G10" s="12"/>
      <c r="H10" s="45" t="s">
        <v>20</v>
      </c>
      <c r="I10" s="12"/>
      <c r="J10" s="45" t="s">
        <v>15</v>
      </c>
    </row>
    <row r="11" spans="2:20">
      <c r="B11" s="12"/>
      <c r="C11" s="12"/>
      <c r="D11" s="12"/>
      <c r="E11" s="12"/>
      <c r="F11" s="12" t="s">
        <v>9</v>
      </c>
      <c r="G11" s="12"/>
      <c r="H11" s="12" t="s">
        <v>10</v>
      </c>
      <c r="I11" s="12"/>
      <c r="J11" s="12" t="s">
        <v>11</v>
      </c>
    </row>
    <row r="12" spans="2:20">
      <c r="B12" s="309"/>
      <c r="C12" s="309"/>
      <c r="D12" s="309"/>
      <c r="E12" s="309"/>
      <c r="F12" s="309"/>
      <c r="G12" s="309"/>
      <c r="H12" s="309"/>
      <c r="I12" s="309"/>
      <c r="J12" s="309"/>
    </row>
    <row r="13" spans="2:20">
      <c r="B13" s="8">
        <v>1</v>
      </c>
      <c r="C13" s="8"/>
      <c r="D13" s="357" t="s">
        <v>362</v>
      </c>
      <c r="E13" s="8"/>
      <c r="F13" s="8"/>
      <c r="G13" s="8"/>
      <c r="H13" s="8"/>
      <c r="I13" s="8"/>
      <c r="J13" s="8"/>
    </row>
    <row r="14" spans="2:20">
      <c r="B14" s="8">
        <v>2</v>
      </c>
      <c r="D14" s="34" t="s">
        <v>164</v>
      </c>
      <c r="F14" s="41">
        <f>+'Sch 1.1'!F30</f>
        <v>2593434547</v>
      </c>
      <c r="H14" s="41"/>
      <c r="J14" s="41">
        <f>+F14+H14</f>
        <v>2593434547</v>
      </c>
      <c r="L14" s="95" t="s">
        <v>363</v>
      </c>
      <c r="M14" s="93"/>
      <c r="N14" s="93"/>
      <c r="O14" s="93"/>
      <c r="P14" s="105"/>
      <c r="Q14" s="93"/>
      <c r="R14" s="106"/>
      <c r="S14" s="93"/>
      <c r="T14" s="106"/>
    </row>
    <row r="15" spans="2:20">
      <c r="B15" s="8">
        <v>3</v>
      </c>
      <c r="D15" s="34" t="s">
        <v>22</v>
      </c>
      <c r="F15" s="178">
        <f>+'Sch 1.1'!F32</f>
        <v>7.6178470192420772E-2</v>
      </c>
      <c r="G15" s="4"/>
      <c r="H15" s="7">
        <f>+J15-F15</f>
        <v>-3.8042554752780594E-3</v>
      </c>
      <c r="I15" s="4"/>
      <c r="J15" s="7">
        <f>+'Sch 1.1'!J32</f>
        <v>7.2374214717142712E-2</v>
      </c>
      <c r="L15" s="93" t="s">
        <v>135</v>
      </c>
      <c r="M15" s="93"/>
      <c r="N15" s="49">
        <v>49111557</v>
      </c>
      <c r="O15" s="93"/>
      <c r="P15" s="245">
        <f>+N15/N18</f>
        <v>1.8936879304245653E-2</v>
      </c>
      <c r="Q15" s="93"/>
      <c r="R15" s="92">
        <v>3.2485776152440492E-2</v>
      </c>
      <c r="S15" s="93"/>
      <c r="T15" s="249">
        <f>+P15*R15</f>
        <v>6.1517922210350734E-4</v>
      </c>
    </row>
    <row r="16" spans="2:20">
      <c r="B16" s="8">
        <v>4</v>
      </c>
      <c r="D16" s="34" t="s">
        <v>29</v>
      </c>
      <c r="F16" s="40">
        <f>+F14*F15</f>
        <v>197563876.33463377</v>
      </c>
      <c r="G16" s="4"/>
      <c r="H16" s="40">
        <f>+J16-F16</f>
        <v>-9866087.5752000213</v>
      </c>
      <c r="I16" s="4"/>
      <c r="J16" s="40">
        <f>+J14*J15</f>
        <v>187697788.75943375</v>
      </c>
      <c r="L16" s="93" t="s">
        <v>30</v>
      </c>
      <c r="M16" s="93"/>
      <c r="N16" s="49">
        <v>1174033050</v>
      </c>
      <c r="O16" s="93"/>
      <c r="P16" s="245">
        <f>+N16/N18</f>
        <v>0.45269430507050312</v>
      </c>
      <c r="Q16" s="93"/>
      <c r="R16" s="96">
        <v>4.5300460183155769E-2</v>
      </c>
      <c r="S16" s="93"/>
      <c r="T16" s="39">
        <f>+P16*R16</f>
        <v>2.0507260341987698E-2</v>
      </c>
    </row>
    <row r="17" spans="2:20" ht="14" thickBot="1">
      <c r="B17" s="8"/>
      <c r="D17" s="34"/>
      <c r="F17" s="40"/>
      <c r="G17" s="4"/>
      <c r="H17" s="40"/>
      <c r="I17" s="4"/>
      <c r="J17" s="40"/>
      <c r="L17" s="93" t="s">
        <v>105</v>
      </c>
      <c r="M17" s="93"/>
      <c r="N17" s="49">
        <v>1370289941</v>
      </c>
      <c r="O17" s="93"/>
      <c r="P17" s="245">
        <f>+N17/N18</f>
        <v>0.52836881601084029</v>
      </c>
      <c r="Q17" s="93"/>
      <c r="R17" s="356">
        <v>9.7000000000000003E-2</v>
      </c>
      <c r="S17" s="93"/>
      <c r="T17" s="39">
        <f>+P17*R17</f>
        <v>5.1251775153051508E-2</v>
      </c>
    </row>
    <row r="18" spans="2:20" ht="14" thickBot="1">
      <c r="B18" s="8">
        <v>5</v>
      </c>
      <c r="D18" s="34" t="s">
        <v>62</v>
      </c>
      <c r="F18" s="10">
        <f>+'Sch 1.1'!F49</f>
        <v>171415400</v>
      </c>
      <c r="G18" s="4"/>
      <c r="H18" s="40"/>
      <c r="I18" s="4"/>
      <c r="J18" s="10">
        <f>+F18+H18</f>
        <v>171415400</v>
      </c>
      <c r="L18" s="93" t="s">
        <v>15</v>
      </c>
      <c r="M18" s="93"/>
      <c r="N18" s="260">
        <f>SUM(N15:N17)-1</f>
        <v>2593434547</v>
      </c>
      <c r="O18" s="93"/>
      <c r="P18" s="98">
        <f>SUM(P15:P17)</f>
        <v>1.0000000003855891</v>
      </c>
      <c r="Q18" s="93"/>
      <c r="R18" s="99"/>
      <c r="S18" s="93"/>
      <c r="T18" s="247">
        <f>SUM(T15:T17)</f>
        <v>7.2374214717142712E-2</v>
      </c>
    </row>
    <row r="19" spans="2:20" ht="7" customHeight="1" thickTop="1">
      <c r="B19" s="8"/>
      <c r="D19" s="34"/>
      <c r="F19" s="9"/>
      <c r="H19" s="9"/>
      <c r="J19" s="9"/>
      <c r="L19" s="93"/>
      <c r="M19" s="93"/>
      <c r="N19" s="93"/>
      <c r="O19" s="93"/>
      <c r="P19" s="107"/>
      <c r="Q19" s="93"/>
      <c r="R19" s="4"/>
      <c r="S19" s="93"/>
      <c r="T19" s="107"/>
    </row>
    <row r="20" spans="2:20">
      <c r="B20" s="8">
        <v>6</v>
      </c>
      <c r="D20" s="34" t="s">
        <v>87</v>
      </c>
      <c r="F20" s="40">
        <f>+F16-F18</f>
        <v>26148476.334633768</v>
      </c>
      <c r="H20" s="40"/>
      <c r="J20" s="40">
        <f>+J16-J18</f>
        <v>16282388.759433746</v>
      </c>
    </row>
    <row r="21" spans="2:20">
      <c r="B21" s="8">
        <v>7</v>
      </c>
      <c r="D21" s="63" t="s">
        <v>1</v>
      </c>
      <c r="F21" s="18">
        <f>+'Sch 1.1'!F52</f>
        <v>1.3375544948124221</v>
      </c>
      <c r="G21" s="89"/>
      <c r="H21" s="18"/>
      <c r="I21" s="89"/>
      <c r="J21" s="18">
        <f>+'Sch 1.1'!J52</f>
        <v>1.3379036836716185</v>
      </c>
    </row>
    <row r="22" spans="2:20" ht="7" customHeight="1">
      <c r="B22" s="8"/>
      <c r="D22" s="34"/>
      <c r="F22" s="88"/>
      <c r="G22" s="89"/>
      <c r="H22" s="88"/>
      <c r="I22" s="89"/>
      <c r="J22" s="88"/>
    </row>
    <row r="23" spans="2:20" ht="14" thickBot="1">
      <c r="B23" s="8">
        <v>8</v>
      </c>
      <c r="D23" s="53" t="s">
        <v>84</v>
      </c>
      <c r="F23" s="14">
        <f>+F20*F21</f>
        <v>34975012.053885646</v>
      </c>
      <c r="H23" s="14">
        <f>+J23-F23</f>
        <v>-13190744.153665882</v>
      </c>
      <c r="J23" s="14">
        <f>+J20*J21</f>
        <v>21784267.900219765</v>
      </c>
    </row>
    <row r="24" spans="2:20" ht="14" hidden="1" thickTop="1">
      <c r="B24" s="8"/>
      <c r="D24" s="53"/>
      <c r="F24" s="40"/>
      <c r="H24" s="40"/>
      <c r="J24" s="40"/>
    </row>
    <row r="25" spans="2:20" hidden="1">
      <c r="B25" s="8">
        <v>10</v>
      </c>
      <c r="D25" s="357" t="s">
        <v>364</v>
      </c>
      <c r="E25" s="8"/>
      <c r="F25" s="8"/>
      <c r="G25" s="8"/>
      <c r="H25" s="8"/>
      <c r="I25" s="8"/>
      <c r="J25" s="8"/>
    </row>
    <row r="26" spans="2:20" hidden="1">
      <c r="B26" s="8">
        <v>11</v>
      </c>
      <c r="D26" s="34" t="s">
        <v>164</v>
      </c>
      <c r="F26" s="41">
        <f>+F14</f>
        <v>2593434547</v>
      </c>
      <c r="H26" s="41"/>
      <c r="J26" s="41">
        <f>+F26+H26</f>
        <v>2593434547</v>
      </c>
      <c r="L26" s="95" t="s">
        <v>363</v>
      </c>
      <c r="M26" s="93"/>
      <c r="N26" s="93"/>
      <c r="O26" s="93"/>
      <c r="P26" s="105"/>
      <c r="Q26" s="93"/>
      <c r="R26" s="106"/>
      <c r="S26" s="93"/>
      <c r="T26" s="106"/>
    </row>
    <row r="27" spans="2:20" hidden="1">
      <c r="B27" s="8">
        <v>12</v>
      </c>
      <c r="D27" s="34" t="s">
        <v>22</v>
      </c>
      <c r="F27" s="7">
        <f>+F15</f>
        <v>7.6178470192420772E-2</v>
      </c>
      <c r="G27" s="4"/>
      <c r="H27" s="7">
        <f>+J27-F27</f>
        <v>-3.2758866592672159E-3</v>
      </c>
      <c r="I27" s="4"/>
      <c r="J27" s="7">
        <f>+T30</f>
        <v>7.2902583533153556E-2</v>
      </c>
      <c r="L27" s="93" t="s">
        <v>135</v>
      </c>
      <c r="M27" s="93"/>
      <c r="N27" s="49">
        <v>49111557</v>
      </c>
      <c r="O27" s="93"/>
      <c r="P27" s="245">
        <f>+N27/N30</f>
        <v>1.8936879304245653E-2</v>
      </c>
      <c r="Q27" s="93"/>
      <c r="R27" s="92">
        <v>3.2485776152440492E-2</v>
      </c>
      <c r="S27" s="93"/>
      <c r="T27" s="249">
        <f>+P27*R27</f>
        <v>6.1517922210350734E-4</v>
      </c>
    </row>
    <row r="28" spans="2:20" hidden="1">
      <c r="B28" s="8">
        <v>13</v>
      </c>
      <c r="D28" s="34" t="s">
        <v>29</v>
      </c>
      <c r="F28" s="40">
        <f>+F26*F27</f>
        <v>197563876.33463377</v>
      </c>
      <c r="G28" s="4"/>
      <c r="H28" s="40">
        <f>+J28-F28</f>
        <v>-8495797.6342000067</v>
      </c>
      <c r="I28" s="4"/>
      <c r="J28" s="40">
        <f>+J26*J27</f>
        <v>189068078.70043376</v>
      </c>
      <c r="L28" s="93" t="s">
        <v>30</v>
      </c>
      <c r="M28" s="93"/>
      <c r="N28" s="49">
        <v>1174033050</v>
      </c>
      <c r="O28" s="93"/>
      <c r="P28" s="245">
        <f>+N28/N30</f>
        <v>0.45269430507050312</v>
      </c>
      <c r="Q28" s="93"/>
      <c r="R28" s="96">
        <v>4.5300460183155769E-2</v>
      </c>
      <c r="S28" s="93"/>
      <c r="T28" s="39">
        <f>+P28*R28</f>
        <v>2.0507260341987698E-2</v>
      </c>
    </row>
    <row r="29" spans="2:20" ht="14" hidden="1" thickBot="1">
      <c r="B29" s="8"/>
      <c r="D29" s="34"/>
      <c r="F29" s="40"/>
      <c r="G29" s="4"/>
      <c r="H29" s="40"/>
      <c r="I29" s="4"/>
      <c r="J29" s="40"/>
      <c r="L29" s="93" t="s">
        <v>105</v>
      </c>
      <c r="M29" s="93"/>
      <c r="N29" s="49">
        <v>1370289941</v>
      </c>
      <c r="O29" s="93"/>
      <c r="P29" s="245">
        <f>+N29/N30</f>
        <v>0.52836881601084029</v>
      </c>
      <c r="Q29" s="93"/>
      <c r="R29" s="356">
        <v>9.8000000000000004E-2</v>
      </c>
      <c r="S29" s="93"/>
      <c r="T29" s="39">
        <f>+P29*R29</f>
        <v>5.1780143969062352E-2</v>
      </c>
    </row>
    <row r="30" spans="2:20" ht="14" hidden="1" thickBot="1">
      <c r="B30" s="8">
        <v>14</v>
      </c>
      <c r="D30" s="34" t="s">
        <v>62</v>
      </c>
      <c r="F30" s="10">
        <f>+F18</f>
        <v>171415400</v>
      </c>
      <c r="G30" s="4"/>
      <c r="H30" s="40"/>
      <c r="I30" s="4"/>
      <c r="J30" s="10">
        <f>+F30+H30</f>
        <v>171415400</v>
      </c>
      <c r="L30" s="93" t="s">
        <v>15</v>
      </c>
      <c r="M30" s="93"/>
      <c r="N30" s="260">
        <f>SUM(N27:N29)-1</f>
        <v>2593434547</v>
      </c>
      <c r="O30" s="93"/>
      <c r="P30" s="98">
        <f>SUM(P27:P29)</f>
        <v>1.0000000003855891</v>
      </c>
      <c r="Q30" s="93"/>
      <c r="R30" s="99"/>
      <c r="S30" s="93"/>
      <c r="T30" s="247">
        <f>SUM(T27:T29)</f>
        <v>7.2902583533153556E-2</v>
      </c>
    </row>
    <row r="31" spans="2:20" ht="14" hidden="1" thickTop="1">
      <c r="B31" s="8"/>
      <c r="D31" s="34"/>
      <c r="F31" s="9"/>
      <c r="H31" s="9"/>
      <c r="J31" s="9"/>
    </row>
    <row r="32" spans="2:20" hidden="1">
      <c r="B32" s="8">
        <v>15</v>
      </c>
      <c r="D32" s="34" t="s">
        <v>87</v>
      </c>
      <c r="F32" s="40">
        <f>+F28-F30</f>
        <v>26148476.334633768</v>
      </c>
      <c r="H32" s="40"/>
      <c r="J32" s="40">
        <f>+J28-J30</f>
        <v>17652678.700433761</v>
      </c>
    </row>
    <row r="33" spans="2:20" hidden="1">
      <c r="B33" s="8">
        <v>16</v>
      </c>
      <c r="D33" s="63" t="s">
        <v>1</v>
      </c>
      <c r="F33" s="18">
        <f>+F21</f>
        <v>1.3375544948124221</v>
      </c>
      <c r="G33" s="89"/>
      <c r="H33" s="18"/>
      <c r="I33" s="89"/>
      <c r="J33" s="18">
        <f>+F33</f>
        <v>1.3375544948124221</v>
      </c>
    </row>
    <row r="34" spans="2:20" hidden="1">
      <c r="B34" s="8"/>
      <c r="D34" s="34"/>
      <c r="F34" s="88"/>
      <c r="G34" s="89"/>
      <c r="H34" s="88"/>
      <c r="I34" s="89"/>
      <c r="J34" s="88"/>
    </row>
    <row r="35" spans="2:20" ht="14" hidden="1" thickBot="1">
      <c r="B35" s="8">
        <v>17</v>
      </c>
      <c r="D35" s="53" t="s">
        <v>84</v>
      </c>
      <c r="F35" s="14">
        <f>+F32*F33</f>
        <v>34975012.053885646</v>
      </c>
      <c r="H35" s="14">
        <f>+J35-F35</f>
        <v>-11363592.312640965</v>
      </c>
      <c r="J35" s="14">
        <f>+J32*J33</f>
        <v>23611419.741244681</v>
      </c>
    </row>
    <row r="36" spans="2:20" ht="14" hidden="1" thickTop="1">
      <c r="B36" s="8"/>
      <c r="H36" s="40"/>
      <c r="J36" s="40"/>
    </row>
    <row r="37" spans="2:20" hidden="1">
      <c r="B37" s="8">
        <v>18</v>
      </c>
      <c r="D37" s="357" t="s">
        <v>365</v>
      </c>
      <c r="E37" s="8"/>
      <c r="F37" s="8"/>
      <c r="G37" s="8"/>
      <c r="H37" s="8"/>
      <c r="I37" s="8"/>
      <c r="J37" s="8"/>
    </row>
    <row r="38" spans="2:20" hidden="1">
      <c r="B38" s="8">
        <v>19</v>
      </c>
      <c r="D38" s="34" t="s">
        <v>164</v>
      </c>
      <c r="F38" s="41">
        <f>+F26</f>
        <v>2593434547</v>
      </c>
      <c r="H38" s="41"/>
      <c r="J38" s="41">
        <f>+F38+H38</f>
        <v>2593434547</v>
      </c>
      <c r="L38" s="95" t="s">
        <v>363</v>
      </c>
      <c r="M38" s="93"/>
      <c r="N38" s="93"/>
      <c r="O38" s="93"/>
      <c r="P38" s="105"/>
      <c r="Q38" s="93"/>
      <c r="R38" s="106"/>
      <c r="S38" s="93"/>
      <c r="T38" s="106"/>
    </row>
    <row r="39" spans="2:20" hidden="1">
      <c r="B39" s="8">
        <v>20</v>
      </c>
      <c r="D39" s="34" t="s">
        <v>22</v>
      </c>
      <c r="F39" s="7">
        <f>+F27</f>
        <v>7.6178470192420772E-2</v>
      </c>
      <c r="G39" s="4"/>
      <c r="H39" s="7">
        <f>+J39-F39</f>
        <v>-4.332624291288889E-3</v>
      </c>
      <c r="I39" s="4"/>
      <c r="J39" s="7">
        <f>+T42</f>
        <v>7.1845845901131883E-2</v>
      </c>
      <c r="L39" s="93" t="s">
        <v>135</v>
      </c>
      <c r="M39" s="93"/>
      <c r="N39" s="49">
        <v>49111557</v>
      </c>
      <c r="O39" s="93"/>
      <c r="P39" s="245">
        <f>+N39/N42</f>
        <v>1.8936879304245653E-2</v>
      </c>
      <c r="Q39" s="93"/>
      <c r="R39" s="92">
        <v>3.2485776152440492E-2</v>
      </c>
      <c r="S39" s="93"/>
      <c r="T39" s="249">
        <f>+P39*R39</f>
        <v>6.1517922210350734E-4</v>
      </c>
    </row>
    <row r="40" spans="2:20" hidden="1">
      <c r="B40" s="8">
        <v>21</v>
      </c>
      <c r="D40" s="34" t="s">
        <v>29</v>
      </c>
      <c r="F40" s="40">
        <f>+F38*F39</f>
        <v>197563876.33463377</v>
      </c>
      <c r="G40" s="4"/>
      <c r="H40" s="40">
        <f>+J40-F40</f>
        <v>-11236377.516200006</v>
      </c>
      <c r="I40" s="4"/>
      <c r="J40" s="40">
        <f>+J38*J39</f>
        <v>186327498.81843376</v>
      </c>
      <c r="L40" s="93" t="s">
        <v>30</v>
      </c>
      <c r="M40" s="93"/>
      <c r="N40" s="49">
        <v>1174033050</v>
      </c>
      <c r="O40" s="93"/>
      <c r="P40" s="245">
        <f>+N40/N42</f>
        <v>0.45269430507050312</v>
      </c>
      <c r="Q40" s="93"/>
      <c r="R40" s="96">
        <v>4.5300460183155769E-2</v>
      </c>
      <c r="S40" s="93"/>
      <c r="T40" s="39">
        <f>+P40*R40</f>
        <v>2.0507260341987698E-2</v>
      </c>
    </row>
    <row r="41" spans="2:20" ht="14" hidden="1" thickBot="1">
      <c r="B41" s="8"/>
      <c r="D41" s="34"/>
      <c r="F41" s="40"/>
      <c r="G41" s="4"/>
      <c r="H41" s="40"/>
      <c r="I41" s="4"/>
      <c r="J41" s="40"/>
      <c r="L41" s="93" t="s">
        <v>105</v>
      </c>
      <c r="M41" s="93"/>
      <c r="N41" s="49">
        <v>1370289941</v>
      </c>
      <c r="O41" s="93"/>
      <c r="P41" s="245">
        <f>+N41/N42</f>
        <v>0.52836881601084029</v>
      </c>
      <c r="Q41" s="93"/>
      <c r="R41" s="356">
        <v>9.6000000000000002E-2</v>
      </c>
      <c r="S41" s="93"/>
      <c r="T41" s="39">
        <f>+P41*R41</f>
        <v>5.0723406337040672E-2</v>
      </c>
    </row>
    <row r="42" spans="2:20" ht="14" hidden="1" thickBot="1">
      <c r="B42" s="8">
        <v>22</v>
      </c>
      <c r="D42" s="34" t="s">
        <v>62</v>
      </c>
      <c r="F42" s="10">
        <f>+F30</f>
        <v>171415400</v>
      </c>
      <c r="G42" s="4"/>
      <c r="H42" s="40"/>
      <c r="I42" s="4"/>
      <c r="J42" s="10">
        <f>+F42+H42</f>
        <v>171415400</v>
      </c>
      <c r="L42" s="93" t="s">
        <v>15</v>
      </c>
      <c r="M42" s="93"/>
      <c r="N42" s="260">
        <f>SUM(N39:N41)-1</f>
        <v>2593434547</v>
      </c>
      <c r="O42" s="93"/>
      <c r="P42" s="98">
        <f>SUM(P39:P41)</f>
        <v>1.0000000003855891</v>
      </c>
      <c r="Q42" s="93"/>
      <c r="R42" s="99"/>
      <c r="S42" s="93"/>
      <c r="T42" s="247">
        <f>SUM(T39:T41)</f>
        <v>7.1845845901131883E-2</v>
      </c>
    </row>
    <row r="43" spans="2:20" ht="14" hidden="1" thickTop="1">
      <c r="B43" s="8"/>
      <c r="D43" s="34"/>
      <c r="F43" s="9"/>
      <c r="H43" s="9"/>
      <c r="J43" s="9"/>
    </row>
    <row r="44" spans="2:20" hidden="1">
      <c r="B44" s="8">
        <v>23</v>
      </c>
      <c r="D44" s="34" t="s">
        <v>87</v>
      </c>
      <c r="F44" s="40">
        <f>+F40-F42</f>
        <v>26148476.334633768</v>
      </c>
      <c r="H44" s="40"/>
      <c r="J44" s="40">
        <f>+J40-J42</f>
        <v>14912098.818433762</v>
      </c>
    </row>
    <row r="45" spans="2:20" hidden="1">
      <c r="B45" s="8">
        <v>24</v>
      </c>
      <c r="D45" s="63" t="s">
        <v>1</v>
      </c>
      <c r="F45" s="18">
        <f>+F33</f>
        <v>1.3375544948124221</v>
      </c>
      <c r="G45" s="89"/>
      <c r="H45" s="18"/>
      <c r="I45" s="89"/>
      <c r="J45" s="18">
        <f>+F45</f>
        <v>1.3375544948124221</v>
      </c>
    </row>
    <row r="46" spans="2:20" hidden="1">
      <c r="B46" s="8"/>
      <c r="D46" s="34"/>
      <c r="F46" s="88"/>
      <c r="G46" s="89"/>
      <c r="H46" s="88"/>
      <c r="I46" s="89"/>
      <c r="J46" s="88"/>
    </row>
    <row r="47" spans="2:20" ht="14" hidden="1" thickBot="1">
      <c r="B47" s="8">
        <v>25</v>
      </c>
      <c r="D47" s="53" t="s">
        <v>84</v>
      </c>
      <c r="F47" s="14">
        <f>+F44*F45</f>
        <v>34975012.053885646</v>
      </c>
      <c r="H47" s="14">
        <f>+J47-F47</f>
        <v>-15029267.252202559</v>
      </c>
      <c r="J47" s="14">
        <f>+J44*J45</f>
        <v>19945744.801683087</v>
      </c>
    </row>
    <row r="48" spans="2:20" ht="14" hidden="1" thickTop="1">
      <c r="B48" s="8"/>
      <c r="H48" s="40"/>
      <c r="J48" s="40"/>
    </row>
    <row r="49" spans="2:10" ht="14" thickTop="1">
      <c r="B49" s="8"/>
      <c r="D49" s="37"/>
      <c r="F49" s="4"/>
      <c r="H49" s="4"/>
      <c r="J49" s="4"/>
    </row>
    <row r="50" spans="2:10">
      <c r="B50" s="108" t="s">
        <v>79</v>
      </c>
      <c r="C50" s="69"/>
      <c r="D50" s="69"/>
      <c r="E50" s="69"/>
      <c r="F50" s="115"/>
      <c r="G50" s="69"/>
      <c r="H50" s="116"/>
      <c r="I50" s="69"/>
      <c r="J50" s="115"/>
    </row>
    <row r="51" spans="2:10" ht="15">
      <c r="B51" s="73" t="s">
        <v>89</v>
      </c>
      <c r="C51" s="113"/>
      <c r="E51" s="117"/>
    </row>
    <row r="52" spans="2:10" ht="15">
      <c r="B52" s="73"/>
      <c r="C52" s="113"/>
      <c r="E52" s="118"/>
    </row>
    <row r="53" spans="2:10">
      <c r="B53" s="8"/>
    </row>
    <row r="54" spans="2:10">
      <c r="B54" s="8"/>
    </row>
    <row r="55" spans="2:10">
      <c r="B55" s="8"/>
      <c r="D55" s="253" t="s">
        <v>81</v>
      </c>
      <c r="E55" s="310"/>
      <c r="F55" s="255">
        <f>+'Sch 1.1'!F53</f>
        <v>34975012.053885646</v>
      </c>
    </row>
    <row r="56" spans="2:10">
      <c r="B56" s="8"/>
      <c r="F56" s="255">
        <f>+F55-F23</f>
        <v>0</v>
      </c>
    </row>
    <row r="57" spans="2:10">
      <c r="B57" s="8"/>
    </row>
    <row r="58" spans="2:10">
      <c r="B58" s="8"/>
    </row>
    <row r="59" spans="2:10">
      <c r="B59" s="8"/>
    </row>
    <row r="60" spans="2:10">
      <c r="B60" s="8"/>
    </row>
    <row r="61" spans="2:10">
      <c r="B61" s="8"/>
    </row>
    <row r="62" spans="2:10">
      <c r="B62" s="8"/>
    </row>
    <row r="63" spans="2:10">
      <c r="B63" s="8"/>
    </row>
    <row r="64" spans="2:10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</sheetData>
  <mergeCells count="1">
    <mergeCell ref="B1:J1"/>
  </mergeCells>
  <phoneticPr fontId="4" type="noConversion"/>
  <printOptions horizontalCentered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C198"/>
  <sheetViews>
    <sheetView zoomScaleNormal="100" zoomScaleSheetLayoutView="33" zoomScalePageLayoutView="124" workbookViewId="0">
      <selection activeCell="J24" sqref="J24"/>
    </sheetView>
  </sheetViews>
  <sheetFormatPr baseColWidth="10" defaultColWidth="8.83203125" defaultRowHeight="13"/>
  <cols>
    <col min="1" max="1" width="2.83203125" style="32" customWidth="1"/>
    <col min="2" max="2" width="5.6640625" style="32" customWidth="1"/>
    <col min="3" max="3" width="1.33203125" style="32" customWidth="1"/>
    <col min="4" max="4" width="32.83203125" style="32" customWidth="1"/>
    <col min="5" max="5" width="1.33203125" style="32" customWidth="1"/>
    <col min="6" max="6" width="14.5" style="32" customWidth="1"/>
    <col min="7" max="7" width="1.33203125" style="32" customWidth="1"/>
    <col min="8" max="8" width="12.5" style="32" customWidth="1"/>
    <col min="9" max="9" width="1.33203125" style="32" customWidth="1"/>
    <col min="10" max="10" width="12.5" style="32" customWidth="1"/>
    <col min="11" max="11" width="1.33203125" style="32" customWidth="1"/>
    <col min="12" max="12" width="12.5" style="32" customWidth="1"/>
    <col min="13" max="13" width="1.33203125" style="32" customWidth="1"/>
    <col min="14" max="14" width="12.5" style="32" customWidth="1"/>
    <col min="15" max="15" width="1.33203125" style="32" customWidth="1"/>
    <col min="16" max="16" width="12.5" style="32" customWidth="1"/>
    <col min="17" max="17" width="1.33203125" style="32" customWidth="1"/>
    <col min="18" max="18" width="12.5" style="32" customWidth="1"/>
    <col min="19" max="19" width="1.33203125" style="32" customWidth="1"/>
    <col min="20" max="20" width="12.5" style="32" customWidth="1"/>
    <col min="21" max="21" width="1.33203125" style="32" customWidth="1"/>
    <col min="22" max="22" width="12.5" style="32" customWidth="1"/>
    <col min="23" max="23" width="1.33203125" style="32" customWidth="1"/>
    <col min="24" max="24" width="14.5" style="32" customWidth="1"/>
    <col min="25" max="26" width="2.83203125" style="32" customWidth="1"/>
    <col min="27" max="27" width="8.83203125" style="32" customWidth="1"/>
    <col min="28" max="28" width="1.33203125" style="32" customWidth="1"/>
    <col min="29" max="29" width="33.1640625" style="32" customWidth="1"/>
    <col min="30" max="30" width="1.33203125" style="32" customWidth="1"/>
    <col min="31" max="31" width="13" style="32" bestFit="1" customWidth="1"/>
    <col min="32" max="32" width="1.33203125" style="32" customWidth="1"/>
    <col min="33" max="33" width="12.83203125" style="32" bestFit="1" customWidth="1"/>
    <col min="34" max="34" width="1.33203125" style="32" customWidth="1"/>
    <col min="35" max="35" width="13" style="32" customWidth="1"/>
    <col min="36" max="36" width="1.33203125" style="32" customWidth="1"/>
    <col min="37" max="37" width="12.83203125" style="32" customWidth="1"/>
    <col min="38" max="38" width="1.33203125" style="32" customWidth="1"/>
    <col min="39" max="39" width="13.1640625" style="32" customWidth="1"/>
    <col min="40" max="40" width="1.33203125" style="32" customWidth="1"/>
    <col min="41" max="41" width="12.83203125" style="32" customWidth="1"/>
    <col min="42" max="42" width="1.33203125" style="32" customWidth="1"/>
    <col min="43" max="43" width="12.83203125" style="32" customWidth="1"/>
    <col min="44" max="44" width="1.33203125" style="32" customWidth="1"/>
    <col min="45" max="45" width="12.83203125" style="32" hidden="1" customWidth="1"/>
    <col min="46" max="46" width="1.33203125" style="32" hidden="1" customWidth="1"/>
    <col min="47" max="47" width="12.83203125" style="32" hidden="1" customWidth="1"/>
    <col min="48" max="48" width="1.33203125" style="32" hidden="1" customWidth="1"/>
    <col min="49" max="49" width="14.5" style="32" customWidth="1"/>
    <col min="50" max="50" width="1.33203125" style="32" customWidth="1"/>
    <col min="51" max="51" width="16.1640625" style="32" customWidth="1"/>
    <col min="52" max="52" width="2.83203125" style="32" customWidth="1"/>
    <col min="53" max="53" width="12.6640625" style="32" bestFit="1" customWidth="1"/>
    <col min="54" max="54" width="1.33203125" style="32" customWidth="1"/>
    <col min="55" max="55" width="10.1640625" style="32" bestFit="1" customWidth="1"/>
    <col min="56" max="16384" width="8.83203125" style="32"/>
  </cols>
  <sheetData>
    <row r="1" spans="1:51" ht="20">
      <c r="A1" s="59"/>
      <c r="B1" s="444" t="str">
        <f>+'Sch 1'!B1:J1</f>
        <v>-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Z1" s="59"/>
      <c r="AA1" s="444" t="str">
        <f>+B1</f>
        <v>-</v>
      </c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</row>
    <row r="2" spans="1:51" ht="16">
      <c r="B2" s="15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1:51">
      <c r="B3" s="11" t="str">
        <f>+'Sch 1'!B3</f>
        <v>Kentucky Public Service Commission</v>
      </c>
      <c r="X3" s="35" t="str">
        <f>+'Sch 1.1'!J3</f>
        <v>Case No. 2018-00295</v>
      </c>
      <c r="AA3" s="11" t="str">
        <f>+B3</f>
        <v>Kentucky Public Service Commission</v>
      </c>
      <c r="AY3" s="35" t="str">
        <f>+X3</f>
        <v>Case No. 2018-00295</v>
      </c>
    </row>
    <row r="4" spans="1:51">
      <c r="B4" s="60"/>
      <c r="X4" s="35" t="s">
        <v>195</v>
      </c>
      <c r="AA4" s="60"/>
      <c r="AY4" s="35" t="str">
        <f>+X4</f>
        <v>LG&amp;E-E Schedule 3</v>
      </c>
    </row>
    <row r="5" spans="1:51">
      <c r="B5" s="84" t="str">
        <f>+'Sch 1.1'!B5</f>
        <v>Louisville Gas and Electric Company–Electric</v>
      </c>
      <c r="X5" s="183" t="s">
        <v>4</v>
      </c>
      <c r="AA5" s="84" t="str">
        <f>+B5</f>
        <v>Louisville Gas and Electric Company–Electric</v>
      </c>
      <c r="AY5" s="35" t="s">
        <v>5</v>
      </c>
    </row>
    <row r="6" spans="1:51">
      <c r="B6" s="26" t="str">
        <f>+'Sch 1.1'!B6</f>
        <v>Base Period ending December 31, 2018; Fully Forecasted Test Period ending April 30, 2020</v>
      </c>
      <c r="AA6" s="26" t="str">
        <f>+B6</f>
        <v>Base Period ending December 31, 2018; Fully Forecasted Test Period ending April 30, 2020</v>
      </c>
    </row>
    <row r="7" spans="1:51">
      <c r="B7" s="44" t="s">
        <v>76</v>
      </c>
      <c r="AA7" s="44" t="str">
        <f>+B7</f>
        <v>Ratemaking Adjustments</v>
      </c>
      <c r="AE7" s="110"/>
    </row>
    <row r="9" spans="1:51">
      <c r="F9" s="71"/>
      <c r="AA9" s="32" t="s">
        <v>16</v>
      </c>
    </row>
    <row r="10" spans="1:51">
      <c r="B10" s="12"/>
      <c r="C10" s="12"/>
      <c r="E10" s="12"/>
      <c r="F10" s="12" t="s">
        <v>19</v>
      </c>
      <c r="G10" s="12"/>
      <c r="H10" s="12"/>
      <c r="I10" s="12"/>
      <c r="J10" s="182"/>
      <c r="K10" s="12"/>
      <c r="L10" s="182"/>
      <c r="M10" s="12"/>
      <c r="N10" s="182"/>
      <c r="O10" s="12"/>
      <c r="P10" s="182"/>
      <c r="Q10" s="12"/>
      <c r="R10" s="182"/>
      <c r="S10" s="197"/>
      <c r="T10" s="197"/>
      <c r="U10" s="12"/>
      <c r="V10" s="182"/>
      <c r="W10" s="12"/>
      <c r="X10" s="12" t="s">
        <v>20</v>
      </c>
      <c r="AA10" s="12"/>
      <c r="AB10" s="12"/>
      <c r="AD10" s="12"/>
      <c r="AE10" s="12" t="s">
        <v>52</v>
      </c>
      <c r="AF10" s="12"/>
      <c r="AG10" s="182"/>
      <c r="AH10" s="12"/>
      <c r="AI10" s="182"/>
      <c r="AJ10" s="12"/>
      <c r="AK10" s="182"/>
      <c r="AL10" s="12"/>
      <c r="AM10" s="182"/>
      <c r="AN10" s="12"/>
      <c r="AO10" s="182"/>
      <c r="AP10" s="152"/>
      <c r="AQ10" s="182"/>
      <c r="AR10" s="12"/>
      <c r="AS10" s="12"/>
      <c r="AT10" s="12"/>
      <c r="AU10" s="12"/>
      <c r="AV10" s="12"/>
      <c r="AW10" s="12" t="s">
        <v>20</v>
      </c>
      <c r="AX10" s="12"/>
      <c r="AY10" s="12" t="s">
        <v>75</v>
      </c>
    </row>
    <row r="11" spans="1:51" ht="14" thickBot="1">
      <c r="B11" s="45" t="s">
        <v>18</v>
      </c>
      <c r="C11" s="12"/>
      <c r="D11" s="45" t="s">
        <v>17</v>
      </c>
      <c r="E11" s="12"/>
      <c r="F11" s="176" t="str">
        <f>+'Sch 1.1'!F11</f>
        <v>Company</v>
      </c>
      <c r="G11" s="12"/>
      <c r="H11" s="45" t="s">
        <v>43</v>
      </c>
      <c r="I11" s="12"/>
      <c r="J11" s="45" t="s">
        <v>47</v>
      </c>
      <c r="K11" s="12"/>
      <c r="L11" s="45" t="s">
        <v>48</v>
      </c>
      <c r="M11" s="12"/>
      <c r="N11" s="45" t="s">
        <v>50</v>
      </c>
      <c r="O11" s="12"/>
      <c r="P11" s="235" t="s">
        <v>51</v>
      </c>
      <c r="Q11" s="236"/>
      <c r="R11" s="235" t="s">
        <v>54</v>
      </c>
      <c r="S11" s="236"/>
      <c r="T11" s="235" t="s">
        <v>55</v>
      </c>
      <c r="U11" s="236"/>
      <c r="V11" s="235" t="s">
        <v>56</v>
      </c>
      <c r="W11" s="12"/>
      <c r="X11" s="45" t="s">
        <v>61</v>
      </c>
      <c r="AA11" s="45" t="s">
        <v>18</v>
      </c>
      <c r="AB11" s="12"/>
      <c r="AC11" s="45" t="s">
        <v>17</v>
      </c>
      <c r="AD11" s="12"/>
      <c r="AE11" s="45" t="s">
        <v>53</v>
      </c>
      <c r="AF11" s="12"/>
      <c r="AG11" s="45" t="s">
        <v>57</v>
      </c>
      <c r="AH11" s="12"/>
      <c r="AI11" s="235" t="s">
        <v>58</v>
      </c>
      <c r="AJ11" s="236"/>
      <c r="AK11" s="235" t="s">
        <v>60</v>
      </c>
      <c r="AL11" s="236"/>
      <c r="AM11" s="235" t="s">
        <v>347</v>
      </c>
      <c r="AN11" s="12"/>
      <c r="AO11" s="45" t="s">
        <v>349</v>
      </c>
      <c r="AP11" s="71"/>
      <c r="AQ11" s="153" t="s">
        <v>352</v>
      </c>
      <c r="AR11" s="12"/>
      <c r="AS11" s="45"/>
      <c r="AT11" s="12"/>
      <c r="AU11" s="45"/>
      <c r="AV11" s="12"/>
      <c r="AW11" s="45" t="s">
        <v>61</v>
      </c>
      <c r="AX11" s="12"/>
      <c r="AY11" s="45" t="s">
        <v>39</v>
      </c>
    </row>
    <row r="12" spans="1:51">
      <c r="B12" s="12"/>
      <c r="C12" s="12"/>
      <c r="F12" s="12" t="s">
        <v>9</v>
      </c>
      <c r="G12" s="12"/>
      <c r="H12" s="12" t="s">
        <v>10</v>
      </c>
      <c r="I12" s="12"/>
      <c r="J12" s="12" t="s">
        <v>11</v>
      </c>
      <c r="K12" s="12"/>
      <c r="L12" s="12" t="s">
        <v>12</v>
      </c>
      <c r="M12" s="12"/>
      <c r="N12" s="12" t="s">
        <v>13</v>
      </c>
      <c r="O12" s="12"/>
      <c r="P12" s="309" t="s">
        <v>14</v>
      </c>
      <c r="Q12" s="309"/>
      <c r="R12" s="309" t="s">
        <v>73</v>
      </c>
      <c r="S12" s="309"/>
      <c r="T12" s="309" t="s">
        <v>74</v>
      </c>
      <c r="U12" s="309"/>
      <c r="V12" s="309" t="s">
        <v>77</v>
      </c>
      <c r="W12" s="309"/>
      <c r="X12" s="309" t="s">
        <v>77</v>
      </c>
      <c r="AA12" s="12"/>
      <c r="AB12" s="12"/>
      <c r="AC12" s="12" t="s">
        <v>9</v>
      </c>
      <c r="AD12" s="12"/>
      <c r="AE12" s="12" t="s">
        <v>10</v>
      </c>
      <c r="AF12" s="12"/>
      <c r="AG12" s="12" t="s">
        <v>11</v>
      </c>
      <c r="AH12" s="12"/>
      <c r="AI12" s="12" t="s">
        <v>12</v>
      </c>
      <c r="AJ12" s="12"/>
      <c r="AK12" s="12" t="s">
        <v>13</v>
      </c>
      <c r="AL12" s="12"/>
      <c r="AM12" s="12" t="s">
        <v>14</v>
      </c>
      <c r="AN12" s="12"/>
      <c r="AO12" s="12" t="s">
        <v>73</v>
      </c>
      <c r="AP12" s="152"/>
      <c r="AQ12" s="152" t="s">
        <v>74</v>
      </c>
      <c r="AR12" s="12"/>
      <c r="AS12" s="12" t="s">
        <v>74</v>
      </c>
      <c r="AT12" s="12"/>
      <c r="AU12" s="12" t="s">
        <v>77</v>
      </c>
      <c r="AV12" s="12"/>
      <c r="AW12" s="12" t="s">
        <v>77</v>
      </c>
      <c r="AX12" s="12"/>
      <c r="AY12" s="12" t="s">
        <v>78</v>
      </c>
    </row>
    <row r="13" spans="1:51" ht="24">
      <c r="B13" s="12"/>
      <c r="C13" s="12"/>
      <c r="D13" s="37" t="s">
        <v>49</v>
      </c>
      <c r="E13" s="12"/>
      <c r="F13" s="12"/>
      <c r="G13" s="12"/>
      <c r="H13" s="400" t="str">
        <f>+'3.1 Slippage'!J4</f>
        <v>LG&amp;E-E Schedule 3.1</v>
      </c>
      <c r="I13" s="401"/>
      <c r="J13" s="401" t="str">
        <f>+'3.5 CWC'!P4</f>
        <v>LG&amp;E-E Schedule 3.5</v>
      </c>
      <c r="K13" s="401"/>
      <c r="L13" s="401" t="str">
        <f>+'3.6 Late Pymt'!J4</f>
        <v>LG&amp;E-E Schedule 3.6</v>
      </c>
      <c r="M13" s="402"/>
      <c r="N13" s="401" t="str">
        <f>+'3.7 401(k)'!J4</f>
        <v>LG&amp;E-E Schedule 3.7</v>
      </c>
      <c r="O13" s="402"/>
      <c r="P13" s="401" t="str">
        <f>+'3.8 D&amp;O'!J4</f>
        <v>LG&amp;E-E Schedule 3.8</v>
      </c>
      <c r="Q13" s="402"/>
      <c r="R13" s="401" t="str">
        <f>+'3.9 Dues'!J4</f>
        <v>LG&amp;E-E Schedule 3.9</v>
      </c>
      <c r="S13" s="402"/>
      <c r="T13" s="401" t="str">
        <f>+'3.10 Legal'!J4</f>
        <v>LG&amp;E-E Schedule 3.10</v>
      </c>
      <c r="U13" s="402"/>
      <c r="V13" s="401" t="str">
        <f>+'3.11 Rebate'!J4</f>
        <v>LG&amp;E-E Schedule 3.11</v>
      </c>
      <c r="W13" s="154"/>
      <c r="X13" s="155"/>
      <c r="AA13" s="182"/>
      <c r="AB13" s="182"/>
      <c r="AC13" s="37" t="s">
        <v>49</v>
      </c>
      <c r="AD13" s="12"/>
      <c r="AE13" s="12"/>
      <c r="AF13" s="12"/>
      <c r="AG13" s="401" t="str">
        <f>+'3.12 Econ Dev'!J4</f>
        <v>LG&amp;E-E Schedule 3.12</v>
      </c>
      <c r="AH13" s="12"/>
      <c r="AI13" s="401" t="str">
        <f>+'3.13 Ed'!J4</f>
        <v>LG&amp;E-E Schedule 3.13</v>
      </c>
      <c r="AK13" s="401" t="str">
        <f>+'3.15 MMD'!J4</f>
        <v>LG&amp;E-E Schedule 3.15</v>
      </c>
      <c r="AL13" s="12"/>
      <c r="AM13" s="401" t="str">
        <f>+'3.16 Storm'!J4</f>
        <v>LG&amp;E-E Schedule 3.16</v>
      </c>
      <c r="AN13" s="12"/>
      <c r="AO13" s="401" t="str">
        <f>+'3.17 EDIT'!J4</f>
        <v>LG&amp;E-E Schedule 3.17</v>
      </c>
      <c r="AQ13" s="401" t="str">
        <f>+'3.18 Int Sychn'!J4</f>
        <v>LG&amp;E-E Schedule 3.18</v>
      </c>
      <c r="AR13" s="145"/>
      <c r="AS13" s="401"/>
      <c r="AT13" s="145"/>
      <c r="AU13" s="401"/>
      <c r="AV13" s="12"/>
      <c r="AW13" s="401"/>
      <c r="AX13" s="12"/>
      <c r="AY13" s="12"/>
    </row>
    <row r="14" spans="1:51">
      <c r="B14" s="12"/>
      <c r="C14" s="12"/>
      <c r="D14" s="12"/>
      <c r="E14" s="12"/>
      <c r="F14" s="12"/>
      <c r="G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97"/>
      <c r="T14" s="197"/>
      <c r="U14" s="12"/>
      <c r="V14" s="12"/>
      <c r="W14" s="12"/>
      <c r="X14" s="12"/>
      <c r="AA14" s="182"/>
      <c r="AB14" s="182"/>
      <c r="AC14" s="182"/>
      <c r="AD14" s="12"/>
      <c r="AE14" s="12"/>
      <c r="AF14" s="12"/>
      <c r="AG14" s="12"/>
      <c r="AH14" s="12"/>
      <c r="AJ14" s="12"/>
      <c r="AL14" s="12"/>
      <c r="AN14" s="12"/>
      <c r="AO14" s="12"/>
      <c r="AP14" s="152"/>
      <c r="AQ14" s="152"/>
      <c r="AR14" s="12"/>
      <c r="AS14" s="12"/>
      <c r="AT14" s="12"/>
      <c r="AU14" s="12"/>
      <c r="AV14" s="12"/>
      <c r="AX14" s="12"/>
      <c r="AY14" s="12"/>
    </row>
    <row r="15" spans="1:51">
      <c r="B15" s="8">
        <v>1</v>
      </c>
      <c r="D15" s="37" t="s">
        <v>21</v>
      </c>
      <c r="F15" s="41"/>
      <c r="J15" s="40"/>
      <c r="L15" s="40"/>
      <c r="N15" s="40"/>
      <c r="P15" s="40"/>
      <c r="R15" s="40"/>
      <c r="T15" s="40"/>
      <c r="V15" s="40"/>
      <c r="X15" s="40"/>
      <c r="AA15" s="8">
        <v>1</v>
      </c>
      <c r="AC15" s="37" t="s">
        <v>21</v>
      </c>
      <c r="AE15" s="41"/>
      <c r="AG15" s="40"/>
      <c r="AO15" s="40"/>
      <c r="AP15" s="40"/>
      <c r="AQ15" s="40"/>
      <c r="AS15" s="40"/>
      <c r="AU15" s="40"/>
      <c r="AY15" s="40"/>
    </row>
    <row r="16" spans="1:51">
      <c r="B16" s="8">
        <v>2</v>
      </c>
      <c r="D16" s="64" t="s">
        <v>64</v>
      </c>
      <c r="F16" s="41">
        <f>+'Sch 1.1'!F14</f>
        <v>4709619047</v>
      </c>
      <c r="H16" s="41">
        <f>+'3.1 Slippage'!H13</f>
        <v>-10460477</v>
      </c>
      <c r="J16" s="41"/>
      <c r="L16" s="41"/>
      <c r="N16" s="41"/>
      <c r="P16" s="41"/>
      <c r="R16" s="41"/>
      <c r="T16" s="41"/>
      <c r="V16" s="41"/>
      <c r="X16" s="41">
        <f>SUM(H16:W16)</f>
        <v>-10460477</v>
      </c>
      <c r="AA16" s="8">
        <v>2</v>
      </c>
      <c r="AC16" s="64" t="s">
        <v>64</v>
      </c>
      <c r="AE16" s="41">
        <f>+X16</f>
        <v>-10460477</v>
      </c>
      <c r="AG16" s="41"/>
      <c r="AI16" s="41"/>
      <c r="AK16" s="41"/>
      <c r="AM16" s="41"/>
      <c r="AO16" s="41"/>
      <c r="AP16" s="41"/>
      <c r="AQ16" s="41"/>
      <c r="AS16" s="41"/>
      <c r="AU16" s="41"/>
      <c r="AW16" s="41">
        <f>SUM(AE16:AV16)</f>
        <v>-10460477</v>
      </c>
      <c r="AY16" s="41">
        <f>+F16+AW16</f>
        <v>4699158570</v>
      </c>
    </row>
    <row r="17" spans="2:53">
      <c r="B17" s="8">
        <v>3</v>
      </c>
      <c r="D17" s="64" t="s">
        <v>137</v>
      </c>
      <c r="F17" s="9">
        <f>+'Sch 1.1'!F15</f>
        <v>3120150</v>
      </c>
      <c r="H17" s="9"/>
      <c r="J17" s="9"/>
      <c r="L17" s="9"/>
      <c r="N17" s="9"/>
      <c r="P17" s="9"/>
      <c r="R17" s="9"/>
      <c r="T17" s="9"/>
      <c r="V17" s="9"/>
      <c r="X17" s="9">
        <f t="shared" ref="X17:X18" si="0">SUM(H17:W17)</f>
        <v>0</v>
      </c>
      <c r="AA17" s="8">
        <v>3</v>
      </c>
      <c r="AC17" s="64" t="s">
        <v>137</v>
      </c>
      <c r="AE17" s="9">
        <f t="shared" ref="AE17:AE18" si="1">+X17</f>
        <v>0</v>
      </c>
      <c r="AG17" s="9"/>
      <c r="AI17" s="9"/>
      <c r="AK17" s="9"/>
      <c r="AM17" s="9"/>
      <c r="AO17" s="9"/>
      <c r="AP17" s="38"/>
      <c r="AQ17" s="9"/>
      <c r="AS17" s="9"/>
      <c r="AU17" s="9"/>
      <c r="AW17" s="9">
        <f>SUM(AE17:AV17)</f>
        <v>0</v>
      </c>
      <c r="AY17" s="9">
        <f t="shared" ref="AY17:AY18" si="2">+F17+AW17</f>
        <v>3120150</v>
      </c>
    </row>
    <row r="18" spans="2:53">
      <c r="B18" s="8">
        <v>4</v>
      </c>
      <c r="D18" s="63" t="s">
        <v>115</v>
      </c>
      <c r="F18" s="6">
        <f>+'Sch 1.1'!F16</f>
        <v>-1768064904</v>
      </c>
      <c r="H18" s="6"/>
      <c r="J18" s="6"/>
      <c r="L18" s="6"/>
      <c r="N18" s="6"/>
      <c r="O18" s="9"/>
      <c r="P18" s="6"/>
      <c r="R18" s="6"/>
      <c r="T18" s="6"/>
      <c r="U18" s="9"/>
      <c r="V18" s="6"/>
      <c r="X18" s="6">
        <f t="shared" si="0"/>
        <v>0</v>
      </c>
      <c r="AA18" s="8">
        <v>4</v>
      </c>
      <c r="AC18" s="63" t="s">
        <v>115</v>
      </c>
      <c r="AE18" s="6">
        <f t="shared" si="1"/>
        <v>0</v>
      </c>
      <c r="AG18" s="6"/>
      <c r="AI18" s="6"/>
      <c r="AK18" s="6"/>
      <c r="AM18" s="6"/>
      <c r="AO18" s="6"/>
      <c r="AP18" s="9"/>
      <c r="AQ18" s="6"/>
      <c r="AS18" s="6"/>
      <c r="AU18" s="6"/>
      <c r="AW18" s="6">
        <f>SUM(AE18:AV18)</f>
        <v>0</v>
      </c>
      <c r="AY18" s="6">
        <f t="shared" si="2"/>
        <v>-1768064904</v>
      </c>
    </row>
    <row r="19" spans="2:53">
      <c r="B19" s="8">
        <v>5</v>
      </c>
      <c r="D19" s="67" t="s">
        <v>83</v>
      </c>
      <c r="F19" s="41">
        <f>+F16+F17+F18</f>
        <v>2944674293</v>
      </c>
      <c r="H19" s="41">
        <f>+H16+H17+H18</f>
        <v>-10460477</v>
      </c>
      <c r="J19" s="41">
        <f>+J16+J17+J18</f>
        <v>0</v>
      </c>
      <c r="L19" s="41">
        <f>+L16+L17+L18</f>
        <v>0</v>
      </c>
      <c r="N19" s="41">
        <f>+N16+N17+N18</f>
        <v>0</v>
      </c>
      <c r="P19" s="41">
        <f>+P16+P17+P18</f>
        <v>0</v>
      </c>
      <c r="R19" s="41">
        <f>+R16+R17+R18</f>
        <v>0</v>
      </c>
      <c r="T19" s="41">
        <f>+T16+T17+T18</f>
        <v>0</v>
      </c>
      <c r="V19" s="41">
        <f>+V16+V17+V18</f>
        <v>0</v>
      </c>
      <c r="X19" s="41">
        <f>+X16+X17+X18</f>
        <v>-10460477</v>
      </c>
      <c r="AA19" s="8">
        <v>5</v>
      </c>
      <c r="AC19" s="67" t="s">
        <v>83</v>
      </c>
      <c r="AE19" s="41">
        <f>+AE16+AE17+AE18</f>
        <v>-10460477</v>
      </c>
      <c r="AG19" s="41">
        <f>+AG16+AG17+AG18</f>
        <v>0</v>
      </c>
      <c r="AI19" s="41">
        <f>+AI16+AI17+AI18</f>
        <v>0</v>
      </c>
      <c r="AK19" s="41">
        <f>+AK16+AK17+AK18</f>
        <v>0</v>
      </c>
      <c r="AM19" s="41">
        <f>+AM16+AM17+AM18</f>
        <v>0</v>
      </c>
      <c r="AO19" s="41">
        <f>+AO16+AO17+AO18</f>
        <v>0</v>
      </c>
      <c r="AP19" s="9"/>
      <c r="AQ19" s="41">
        <f>+AQ16+AQ17+AQ18</f>
        <v>0</v>
      </c>
      <c r="AS19" s="41">
        <f>+AS16+AS17+AS18</f>
        <v>0</v>
      </c>
      <c r="AU19" s="41">
        <f>+AU16+AU17+AU18</f>
        <v>0</v>
      </c>
      <c r="AW19" s="41">
        <f>+AW16+AW17+AW18</f>
        <v>-10460477</v>
      </c>
      <c r="AY19" s="41">
        <f t="shared" ref="AY19:AY20" si="3">+F19+AW19</f>
        <v>2934213816</v>
      </c>
    </row>
    <row r="20" spans="2:53">
      <c r="B20" s="8">
        <v>6</v>
      </c>
      <c r="D20" s="63" t="s">
        <v>138</v>
      </c>
      <c r="F20" s="6">
        <f>+'Sch 1.1'!F18</f>
        <v>81468643</v>
      </c>
      <c r="H20" s="6"/>
      <c r="J20" s="6"/>
      <c r="L20" s="6"/>
      <c r="N20" s="6"/>
      <c r="P20" s="6"/>
      <c r="R20" s="6"/>
      <c r="T20" s="6"/>
      <c r="V20" s="6"/>
      <c r="X20" s="6">
        <f t="shared" ref="X20:X27" si="4">SUM(H20:W20)</f>
        <v>0</v>
      </c>
      <c r="AA20" s="8">
        <v>6</v>
      </c>
      <c r="AC20" s="63" t="s">
        <v>138</v>
      </c>
      <c r="AE20" s="6">
        <f t="shared" ref="AE20:AE27" si="5">+X20</f>
        <v>0</v>
      </c>
      <c r="AG20" s="6"/>
      <c r="AI20" s="6"/>
      <c r="AK20" s="6"/>
      <c r="AM20" s="6"/>
      <c r="AO20" s="6"/>
      <c r="AP20" s="9"/>
      <c r="AQ20" s="6"/>
      <c r="AS20" s="6"/>
      <c r="AU20" s="6"/>
      <c r="AW20" s="6">
        <f>SUM(AE20:AV20)</f>
        <v>0</v>
      </c>
      <c r="AY20" s="6">
        <f t="shared" si="3"/>
        <v>81468643</v>
      </c>
    </row>
    <row r="21" spans="2:53">
      <c r="B21" s="8">
        <v>7</v>
      </c>
      <c r="D21" s="65" t="s">
        <v>139</v>
      </c>
      <c r="F21" s="41">
        <f>+F19+F20</f>
        <v>3026142936</v>
      </c>
      <c r="H21" s="41">
        <f>+H19+H20</f>
        <v>-10460477</v>
      </c>
      <c r="J21" s="41">
        <f>+J19+J20</f>
        <v>0</v>
      </c>
      <c r="L21" s="41">
        <f>+L19+L20</f>
        <v>0</v>
      </c>
      <c r="N21" s="41">
        <f>+N19+N20</f>
        <v>0</v>
      </c>
      <c r="P21" s="41">
        <f>+P19+P20</f>
        <v>0</v>
      </c>
      <c r="R21" s="41">
        <f>+R19+R20</f>
        <v>0</v>
      </c>
      <c r="T21" s="41">
        <f>+T19+T20</f>
        <v>0</v>
      </c>
      <c r="V21" s="41">
        <f>+V19+V20</f>
        <v>0</v>
      </c>
      <c r="X21" s="41">
        <f>+X19+X20</f>
        <v>-10460477</v>
      </c>
      <c r="AA21" s="8">
        <v>7</v>
      </c>
      <c r="AC21" s="65" t="s">
        <v>139</v>
      </c>
      <c r="AE21" s="41">
        <f>+AE19+AE20</f>
        <v>-10460477</v>
      </c>
      <c r="AG21" s="41">
        <f>+AG19+AG20</f>
        <v>0</v>
      </c>
      <c r="AI21" s="41">
        <f>+AI19+AI20</f>
        <v>0</v>
      </c>
      <c r="AK21" s="41">
        <f>+AK19+AK20</f>
        <v>0</v>
      </c>
      <c r="AM21" s="41">
        <f>+AM19+AM20</f>
        <v>0</v>
      </c>
      <c r="AO21" s="41">
        <f>+AO19+AO20</f>
        <v>0</v>
      </c>
      <c r="AP21" s="9"/>
      <c r="AQ21" s="41">
        <f>+AQ19+AQ20</f>
        <v>0</v>
      </c>
      <c r="AS21" s="41">
        <f>+AS19+AS20</f>
        <v>0</v>
      </c>
      <c r="AU21" s="41">
        <f>+AU19+AU20</f>
        <v>0</v>
      </c>
      <c r="AW21" s="41">
        <f>+AW19+AW20</f>
        <v>-10460477</v>
      </c>
      <c r="AY21" s="41">
        <f>+AY19+AY20</f>
        <v>3015682459</v>
      </c>
    </row>
    <row r="22" spans="2:53">
      <c r="B22" s="8">
        <v>8</v>
      </c>
      <c r="D22" s="64" t="s">
        <v>97</v>
      </c>
      <c r="F22" s="9">
        <f>+'Sch 1.1'!F20</f>
        <v>114229325</v>
      </c>
      <c r="H22" s="9"/>
      <c r="J22" s="9">
        <f>+'3.5 CWC'!N31</f>
        <v>-30337019.140640631</v>
      </c>
      <c r="L22" s="9"/>
      <c r="N22" s="9"/>
      <c r="P22" s="9"/>
      <c r="R22" s="9"/>
      <c r="T22" s="9"/>
      <c r="V22" s="9"/>
      <c r="X22" s="9">
        <f t="shared" si="4"/>
        <v>-30337019.140640631</v>
      </c>
      <c r="AA22" s="8">
        <v>8</v>
      </c>
      <c r="AC22" s="64" t="s">
        <v>97</v>
      </c>
      <c r="AE22" s="9">
        <f t="shared" si="5"/>
        <v>-30337019.140640631</v>
      </c>
      <c r="AG22" s="9"/>
      <c r="AI22" s="9"/>
      <c r="AK22" s="9"/>
      <c r="AM22" s="9"/>
      <c r="AO22" s="9"/>
      <c r="AP22" s="9"/>
      <c r="AQ22" s="9"/>
      <c r="AS22" s="9"/>
      <c r="AU22" s="9"/>
      <c r="AW22" s="9">
        <f t="shared" ref="AW22:AW27" si="6">SUM(AE22:AV22)</f>
        <v>-30337019.140640631</v>
      </c>
      <c r="AY22" s="9">
        <f t="shared" ref="AY22:AY27" si="7">+F22+AW22</f>
        <v>83892305.859359369</v>
      </c>
    </row>
    <row r="23" spans="2:53">
      <c r="B23" s="8">
        <v>9</v>
      </c>
      <c r="D23" s="63" t="s">
        <v>171</v>
      </c>
      <c r="F23" s="9">
        <f>+'Sch 1.1'!F21</f>
        <v>86291871</v>
      </c>
      <c r="H23" s="9"/>
      <c r="J23" s="9">
        <f>+'3.5 CWC'!N33</f>
        <v>-13197915</v>
      </c>
      <c r="L23" s="9"/>
      <c r="N23" s="9"/>
      <c r="P23" s="9"/>
      <c r="R23" s="9"/>
      <c r="T23" s="9"/>
      <c r="V23" s="9"/>
      <c r="X23" s="9">
        <f t="shared" si="4"/>
        <v>-13197915</v>
      </c>
      <c r="AA23" s="8">
        <v>9</v>
      </c>
      <c r="AC23" s="63" t="s">
        <v>171</v>
      </c>
      <c r="AE23" s="9">
        <f t="shared" si="5"/>
        <v>-13197915</v>
      </c>
      <c r="AG23" s="9"/>
      <c r="AI23" s="9"/>
      <c r="AK23" s="9"/>
      <c r="AM23" s="9"/>
      <c r="AO23" s="9"/>
      <c r="AP23" s="9"/>
      <c r="AQ23" s="9"/>
      <c r="AS23" s="9"/>
      <c r="AU23" s="9"/>
      <c r="AW23" s="9">
        <f t="shared" si="6"/>
        <v>-13197915</v>
      </c>
      <c r="AY23" s="9">
        <f t="shared" si="7"/>
        <v>73093956</v>
      </c>
    </row>
    <row r="24" spans="2:53">
      <c r="B24" s="8">
        <v>10</v>
      </c>
      <c r="D24" s="63" t="s">
        <v>106</v>
      </c>
      <c r="F24" s="9">
        <f>+'Sch 1.1'!F22</f>
        <v>-6462455</v>
      </c>
      <c r="H24" s="9"/>
      <c r="J24" s="9"/>
      <c r="L24" s="9"/>
      <c r="N24" s="9"/>
      <c r="P24" s="9"/>
      <c r="R24" s="9"/>
      <c r="T24" s="9"/>
      <c r="V24" s="9"/>
      <c r="X24" s="9">
        <f t="shared" si="4"/>
        <v>0</v>
      </c>
      <c r="AA24" s="8">
        <v>10</v>
      </c>
      <c r="AC24" s="63" t="s">
        <v>106</v>
      </c>
      <c r="AE24" s="9">
        <f t="shared" si="5"/>
        <v>0</v>
      </c>
      <c r="AG24" s="9"/>
      <c r="AI24" s="9"/>
      <c r="AK24" s="9"/>
      <c r="AM24" s="9"/>
      <c r="AO24" s="9"/>
      <c r="AP24" s="38"/>
      <c r="AQ24" s="9"/>
      <c r="AS24" s="9"/>
      <c r="AU24" s="9"/>
      <c r="AW24" s="9">
        <f t="shared" si="6"/>
        <v>0</v>
      </c>
      <c r="AY24" s="9">
        <f t="shared" si="7"/>
        <v>-6462455</v>
      </c>
    </row>
    <row r="25" spans="2:53">
      <c r="B25" s="8">
        <v>11</v>
      </c>
      <c r="D25" s="64" t="s">
        <v>98</v>
      </c>
      <c r="F25" s="9">
        <f>+'Sch 1.1'!F23</f>
        <v>-672124527</v>
      </c>
      <c r="H25" s="9"/>
      <c r="J25" s="9"/>
      <c r="L25" s="9"/>
      <c r="N25" s="9"/>
      <c r="P25" s="9"/>
      <c r="R25" s="9"/>
      <c r="T25" s="9"/>
      <c r="V25" s="9"/>
      <c r="X25" s="9">
        <f t="shared" si="4"/>
        <v>0</v>
      </c>
      <c r="AA25" s="8">
        <v>11</v>
      </c>
      <c r="AC25" s="64" t="s">
        <v>98</v>
      </c>
      <c r="AE25" s="9">
        <f t="shared" si="5"/>
        <v>0</v>
      </c>
      <c r="AG25" s="9"/>
      <c r="AI25" s="9"/>
      <c r="AK25" s="9"/>
      <c r="AM25" s="9"/>
      <c r="AO25" s="9"/>
      <c r="AP25" s="38"/>
      <c r="AQ25" s="9"/>
      <c r="AS25" s="9"/>
      <c r="AU25" s="9"/>
      <c r="AW25" s="9">
        <f t="shared" si="6"/>
        <v>0</v>
      </c>
      <c r="AY25" s="9">
        <f t="shared" si="7"/>
        <v>-672124527</v>
      </c>
    </row>
    <row r="26" spans="2:53">
      <c r="B26" s="8">
        <v>12</v>
      </c>
      <c r="D26" s="63" t="s">
        <v>142</v>
      </c>
      <c r="F26" s="9">
        <f>+'Sch 1.1'!F24</f>
        <v>0</v>
      </c>
      <c r="H26" s="9"/>
      <c r="J26" s="9"/>
      <c r="L26" s="9"/>
      <c r="N26" s="9"/>
      <c r="P26" s="9"/>
      <c r="R26" s="9"/>
      <c r="T26" s="9"/>
      <c r="V26" s="9"/>
      <c r="X26" s="9">
        <f t="shared" si="4"/>
        <v>0</v>
      </c>
      <c r="AA26" s="8">
        <v>12</v>
      </c>
      <c r="AC26" s="63" t="s">
        <v>142</v>
      </c>
      <c r="AE26" s="9">
        <f t="shared" si="5"/>
        <v>0</v>
      </c>
      <c r="AG26" s="9"/>
      <c r="AI26" s="9"/>
      <c r="AK26" s="9"/>
      <c r="AM26" s="9"/>
      <c r="AO26" s="9"/>
      <c r="AP26" s="38"/>
      <c r="AQ26" s="9"/>
      <c r="AS26" s="9"/>
      <c r="AU26" s="9"/>
      <c r="AW26" s="9">
        <f t="shared" si="6"/>
        <v>0</v>
      </c>
      <c r="AY26" s="9">
        <f t="shared" si="7"/>
        <v>0</v>
      </c>
    </row>
    <row r="27" spans="2:53">
      <c r="B27" s="8">
        <v>13</v>
      </c>
      <c r="D27" s="63" t="s">
        <v>143</v>
      </c>
      <c r="F27" s="6">
        <f>+'Sch 1.1'!F25</f>
        <v>0</v>
      </c>
      <c r="H27" s="6"/>
      <c r="J27" s="6"/>
      <c r="L27" s="6"/>
      <c r="N27" s="6"/>
      <c r="P27" s="6"/>
      <c r="R27" s="6"/>
      <c r="T27" s="6"/>
      <c r="V27" s="6"/>
      <c r="X27" s="6">
        <f t="shared" si="4"/>
        <v>0</v>
      </c>
      <c r="AA27" s="8">
        <v>13</v>
      </c>
      <c r="AC27" s="63" t="s">
        <v>143</v>
      </c>
      <c r="AE27" s="6">
        <f t="shared" si="5"/>
        <v>0</v>
      </c>
      <c r="AG27" s="6"/>
      <c r="AI27" s="6"/>
      <c r="AK27" s="6"/>
      <c r="AM27" s="6"/>
      <c r="AO27" s="6"/>
      <c r="AP27" s="38"/>
      <c r="AQ27" s="6"/>
      <c r="AS27" s="6"/>
      <c r="AU27" s="6"/>
      <c r="AW27" s="6">
        <f t="shared" si="6"/>
        <v>0</v>
      </c>
      <c r="AY27" s="6">
        <f t="shared" si="7"/>
        <v>0</v>
      </c>
    </row>
    <row r="28" spans="2:53">
      <c r="B28" s="8">
        <v>14</v>
      </c>
      <c r="D28" s="65" t="s">
        <v>28</v>
      </c>
      <c r="F28" s="41">
        <f>SUM(F21:F27)</f>
        <v>2548077150</v>
      </c>
      <c r="H28" s="41">
        <f>SUM(H21:H27)</f>
        <v>-10460477</v>
      </c>
      <c r="I28" s="4"/>
      <c r="J28" s="41">
        <f>SUM(J21:J27)</f>
        <v>-43534934.140640631</v>
      </c>
      <c r="K28" s="4"/>
      <c r="L28" s="41">
        <f>SUM(L21:L27)</f>
        <v>0</v>
      </c>
      <c r="M28" s="4"/>
      <c r="N28" s="41">
        <f>SUM(N21:N27)</f>
        <v>0</v>
      </c>
      <c r="O28" s="4"/>
      <c r="P28" s="41">
        <f>SUM(P21:P27)</f>
        <v>0</v>
      </c>
      <c r="Q28" s="4"/>
      <c r="R28" s="41">
        <f>SUM(R21:R27)</f>
        <v>0</v>
      </c>
      <c r="S28" s="4"/>
      <c r="T28" s="41">
        <f>SUM(T21:T27)</f>
        <v>0</v>
      </c>
      <c r="U28" s="4"/>
      <c r="V28" s="41">
        <f>SUM(V21:V27)</f>
        <v>0</v>
      </c>
      <c r="X28" s="41">
        <f>SUM(X21:X27)</f>
        <v>-53995411.140640631</v>
      </c>
      <c r="AA28" s="8">
        <v>14</v>
      </c>
      <c r="AC28" s="65" t="s">
        <v>28</v>
      </c>
      <c r="AE28" s="41">
        <f>SUM(AE21:AE27)</f>
        <v>-53995411.140640631</v>
      </c>
      <c r="AG28" s="41">
        <f>SUM(AG21:AG27)</f>
        <v>0</v>
      </c>
      <c r="AI28" s="41">
        <f>SUM(AI21:AI27)</f>
        <v>0</v>
      </c>
      <c r="AK28" s="41">
        <f>SUM(AK21:AK27)</f>
        <v>0</v>
      </c>
      <c r="AM28" s="41">
        <f>SUM(AM21:AM27)</f>
        <v>0</v>
      </c>
      <c r="AO28" s="41">
        <f>SUM(AO21:AO27)</f>
        <v>0</v>
      </c>
      <c r="AP28" s="41"/>
      <c r="AQ28" s="41">
        <f>SUM(AQ21:AQ27)</f>
        <v>0</v>
      </c>
      <c r="AS28" s="41">
        <f>SUM(AS21:AS27)</f>
        <v>0</v>
      </c>
      <c r="AU28" s="41">
        <f>SUM(AU21:AU27)</f>
        <v>0</v>
      </c>
      <c r="AW28" s="41">
        <f>SUM(AW21:AW27)</f>
        <v>-53995411.140640631</v>
      </c>
      <c r="AY28" s="41">
        <f>SUM(AY21:AY27)</f>
        <v>2494081738.8593593</v>
      </c>
      <c r="BA28" s="296"/>
    </row>
    <row r="29" spans="2:53">
      <c r="B29" s="8"/>
      <c r="D29" s="65"/>
      <c r="F29" s="41"/>
      <c r="H29" s="41"/>
      <c r="I29" s="21"/>
      <c r="J29" s="41"/>
      <c r="K29" s="21"/>
      <c r="L29" s="41"/>
      <c r="M29" s="21"/>
      <c r="N29" s="41"/>
      <c r="O29" s="21"/>
      <c r="P29" s="41"/>
      <c r="Q29" s="21"/>
      <c r="R29" s="41"/>
      <c r="S29" s="21"/>
      <c r="T29" s="41"/>
      <c r="U29" s="21"/>
      <c r="V29" s="41"/>
      <c r="W29" s="21"/>
      <c r="X29" s="41"/>
      <c r="AA29" s="8"/>
      <c r="AC29" s="65"/>
      <c r="AE29" s="41"/>
      <c r="AG29" s="41"/>
      <c r="AI29" s="41"/>
      <c r="AK29" s="41"/>
      <c r="AM29" s="41"/>
      <c r="AO29" s="41"/>
      <c r="AP29" s="39"/>
      <c r="AQ29" s="41"/>
      <c r="AS29" s="41"/>
      <c r="AU29" s="41"/>
      <c r="AW29" s="41"/>
      <c r="AY29" s="41"/>
    </row>
    <row r="30" spans="2:53">
      <c r="B30" s="8">
        <v>15</v>
      </c>
      <c r="D30" s="37" t="s">
        <v>158</v>
      </c>
      <c r="F30" s="41">
        <f>+'Sch 1.1'!F28</f>
        <v>2593434547</v>
      </c>
      <c r="H30" s="41"/>
      <c r="I30" s="4"/>
      <c r="J30" s="41"/>
      <c r="K30" s="4"/>
      <c r="L30" s="41"/>
      <c r="M30" s="4"/>
      <c r="N30" s="41"/>
      <c r="O30" s="4"/>
      <c r="P30" s="41"/>
      <c r="Q30" s="4"/>
      <c r="R30" s="41"/>
      <c r="S30" s="4"/>
      <c r="T30" s="41"/>
      <c r="U30" s="4"/>
      <c r="V30" s="41"/>
      <c r="X30" s="41">
        <f t="shared" ref="X30" si="8">SUM(H30:W30)</f>
        <v>0</v>
      </c>
      <c r="AA30" s="8">
        <v>15</v>
      </c>
      <c r="AC30" s="37" t="s">
        <v>158</v>
      </c>
      <c r="AE30" s="41">
        <f t="shared" ref="AE30" si="9">+X30</f>
        <v>0</v>
      </c>
      <c r="AG30" s="41"/>
      <c r="AI30" s="41"/>
      <c r="AK30" s="41"/>
      <c r="AM30" s="41"/>
      <c r="AO30" s="41"/>
      <c r="AP30" s="40"/>
      <c r="AQ30" s="41"/>
      <c r="AS30" s="41"/>
      <c r="AU30" s="41"/>
      <c r="AW30" s="41">
        <f t="shared" ref="AW30" si="10">SUM(AE30:AV30)</f>
        <v>0</v>
      </c>
      <c r="AY30" s="41">
        <f t="shared" ref="AY30" si="11">+F30+AW30</f>
        <v>2593434547</v>
      </c>
      <c r="BA30" s="296"/>
    </row>
    <row r="31" spans="2:53">
      <c r="B31" s="8"/>
      <c r="D31" s="65"/>
      <c r="F31" s="41"/>
      <c r="H31" s="41"/>
      <c r="I31" s="4"/>
      <c r="J31" s="41"/>
      <c r="K31" s="4"/>
      <c r="L31" s="41"/>
      <c r="M31" s="4"/>
      <c r="N31" s="41"/>
      <c r="O31" s="4"/>
      <c r="P31" s="41"/>
      <c r="Q31" s="4"/>
      <c r="R31" s="41"/>
      <c r="S31" s="4"/>
      <c r="T31" s="41"/>
      <c r="U31" s="4"/>
      <c r="V31" s="41"/>
      <c r="X31" s="41"/>
      <c r="AA31" s="8"/>
      <c r="AC31" s="65"/>
      <c r="AE31" s="41"/>
      <c r="AG31" s="41"/>
      <c r="AI31" s="41"/>
      <c r="AK31" s="41"/>
      <c r="AM31" s="41"/>
      <c r="AO31" s="41"/>
      <c r="AP31" s="40"/>
      <c r="AQ31" s="41"/>
      <c r="AS31" s="41"/>
      <c r="AU31" s="41"/>
      <c r="AW31" s="41"/>
      <c r="AY31" s="41"/>
    </row>
    <row r="32" spans="2:53">
      <c r="B32" s="8">
        <v>16</v>
      </c>
      <c r="D32" s="37" t="s">
        <v>172</v>
      </c>
      <c r="F32" s="41">
        <f>+F30</f>
        <v>2593434547</v>
      </c>
      <c r="H32" s="41">
        <f>+H28</f>
        <v>-10460477</v>
      </c>
      <c r="I32" s="4"/>
      <c r="J32" s="41">
        <f>+J28</f>
        <v>-43534934.140640631</v>
      </c>
      <c r="K32" s="4"/>
      <c r="L32" s="41">
        <f>+L28</f>
        <v>0</v>
      </c>
      <c r="M32" s="4"/>
      <c r="N32" s="41">
        <f>+N28</f>
        <v>0</v>
      </c>
      <c r="O32" s="4"/>
      <c r="P32" s="41">
        <f>+P28</f>
        <v>0</v>
      </c>
      <c r="Q32" s="4"/>
      <c r="R32" s="41">
        <f>+R28</f>
        <v>0</v>
      </c>
      <c r="S32" s="4"/>
      <c r="T32" s="41">
        <f>+T28</f>
        <v>0</v>
      </c>
      <c r="U32" s="4"/>
      <c r="V32" s="41">
        <f>+V28</f>
        <v>0</v>
      </c>
      <c r="W32" s="4"/>
      <c r="X32" s="41">
        <f t="shared" ref="X32" si="12">SUM(H32:W32)</f>
        <v>-53995411.140640631</v>
      </c>
      <c r="AA32" s="8">
        <v>16</v>
      </c>
      <c r="AC32" s="37" t="s">
        <v>172</v>
      </c>
      <c r="AE32" s="41">
        <f t="shared" ref="AE32" si="13">+X32</f>
        <v>-53995411.140640631</v>
      </c>
      <c r="AG32" s="41">
        <f>+AG28</f>
        <v>0</v>
      </c>
      <c r="AI32" s="41">
        <f>+AI28</f>
        <v>0</v>
      </c>
      <c r="AK32" s="41">
        <f>+AK28</f>
        <v>0</v>
      </c>
      <c r="AM32" s="41">
        <f>+AM28</f>
        <v>0</v>
      </c>
      <c r="AO32" s="41">
        <f>+AO28</f>
        <v>0</v>
      </c>
      <c r="AP32" s="38"/>
      <c r="AQ32" s="41">
        <f>+AQ28</f>
        <v>0</v>
      </c>
      <c r="AS32" s="41">
        <f>+AS28</f>
        <v>0</v>
      </c>
      <c r="AU32" s="41">
        <f>+AU28</f>
        <v>0</v>
      </c>
      <c r="AW32" s="41">
        <f>SUM(AE32:AV32)</f>
        <v>-53995411.140640631</v>
      </c>
      <c r="AY32" s="41">
        <f t="shared" ref="AY32" si="14">+F32+AW32</f>
        <v>2539439135.8593593</v>
      </c>
      <c r="BA32" s="296"/>
    </row>
    <row r="33" spans="2:55" ht="14" thickBot="1">
      <c r="B33" s="8"/>
      <c r="D33" s="65"/>
      <c r="F33" s="41"/>
      <c r="H33" s="41"/>
      <c r="I33" s="4"/>
      <c r="J33" s="41"/>
      <c r="K33" s="4"/>
      <c r="L33" s="41"/>
      <c r="M33" s="4"/>
      <c r="N33" s="41"/>
      <c r="O33" s="4"/>
      <c r="P33" s="41"/>
      <c r="Q33" s="4"/>
      <c r="R33" s="41"/>
      <c r="S33" s="4"/>
      <c r="T33" s="41"/>
      <c r="U33" s="4"/>
      <c r="V33" s="41"/>
      <c r="W33" s="4"/>
      <c r="X33" s="41">
        <f>SUM(H33:W33)</f>
        <v>0</v>
      </c>
      <c r="AA33" s="8"/>
      <c r="AC33" s="65"/>
      <c r="AE33" s="41"/>
      <c r="AG33" s="41"/>
      <c r="AI33" s="41"/>
      <c r="AK33" s="41"/>
      <c r="AM33" s="41"/>
      <c r="AO33" s="41"/>
      <c r="AP33" s="40"/>
      <c r="AQ33" s="41"/>
      <c r="AS33" s="41"/>
      <c r="AU33" s="41"/>
      <c r="AW33" s="41"/>
      <c r="AY33" s="41"/>
    </row>
    <row r="34" spans="2:55" ht="14" thickBot="1">
      <c r="B34" s="8">
        <v>17</v>
      </c>
      <c r="D34" s="37" t="s">
        <v>22</v>
      </c>
      <c r="F34" s="7">
        <f>+'Sch 1.1'!F32</f>
        <v>7.6178470192420772E-2</v>
      </c>
      <c r="H34" s="7">
        <f>+$X$34</f>
        <v>7.2374214717142712E-2</v>
      </c>
      <c r="I34" s="4"/>
      <c r="J34" s="7">
        <f>+$X$34</f>
        <v>7.2374214717142712E-2</v>
      </c>
      <c r="K34" s="4"/>
      <c r="L34" s="7">
        <f>+$X$34</f>
        <v>7.2374214717142712E-2</v>
      </c>
      <c r="M34" s="4"/>
      <c r="N34" s="7">
        <f>+$X$34</f>
        <v>7.2374214717142712E-2</v>
      </c>
      <c r="O34" s="4"/>
      <c r="P34" s="7">
        <f>+$X$34</f>
        <v>7.2374214717142712E-2</v>
      </c>
      <c r="Q34" s="4"/>
      <c r="R34" s="7">
        <f>+$X$34</f>
        <v>7.2374214717142712E-2</v>
      </c>
      <c r="S34" s="4"/>
      <c r="T34" s="7">
        <f>+$X$34</f>
        <v>7.2374214717142712E-2</v>
      </c>
      <c r="U34" s="4"/>
      <c r="V34" s="7">
        <f>+$X$34</f>
        <v>7.2374214717142712E-2</v>
      </c>
      <c r="W34" s="4"/>
      <c r="X34" s="293">
        <f>+'Sch 1.1'!J32</f>
        <v>7.2374214717142712E-2</v>
      </c>
      <c r="AA34" s="8">
        <v>17</v>
      </c>
      <c r="AC34" s="37" t="s">
        <v>22</v>
      </c>
      <c r="AE34" s="7">
        <f>+$X$34</f>
        <v>7.2374214717142712E-2</v>
      </c>
      <c r="AG34" s="7">
        <f>+$X$34</f>
        <v>7.2374214717142712E-2</v>
      </c>
      <c r="AI34" s="7">
        <f>+$X$34</f>
        <v>7.2374214717142712E-2</v>
      </c>
      <c r="AK34" s="7">
        <f>+$X$34</f>
        <v>7.2374214717142712E-2</v>
      </c>
      <c r="AM34" s="7">
        <f>+$X$34</f>
        <v>7.2374214717142712E-2</v>
      </c>
      <c r="AO34" s="7">
        <f>+$X$34</f>
        <v>7.2374214717142712E-2</v>
      </c>
      <c r="AP34" s="40"/>
      <c r="AQ34" s="7">
        <f>+$X$34</f>
        <v>7.2374214717142712E-2</v>
      </c>
      <c r="AS34" s="7">
        <f>+$X$34</f>
        <v>7.2374214717142712E-2</v>
      </c>
      <c r="AU34" s="7">
        <f>+$X$34</f>
        <v>7.2374214717142712E-2</v>
      </c>
      <c r="AW34" s="7">
        <f>+$X$34</f>
        <v>7.2374214717142712E-2</v>
      </c>
      <c r="AY34" s="7">
        <f>+$X$34</f>
        <v>7.2374214717142712E-2</v>
      </c>
    </row>
    <row r="35" spans="2:55">
      <c r="B35" s="8">
        <v>18</v>
      </c>
      <c r="D35" s="37" t="s">
        <v>29</v>
      </c>
      <c r="F35" s="40">
        <f>+F32*F34</f>
        <v>197563876.33463377</v>
      </c>
      <c r="H35" s="40">
        <f>+H32*H34</f>
        <v>-757068.80844173289</v>
      </c>
      <c r="I35" s="4"/>
      <c r="J35" s="40">
        <f>+J32*J34</f>
        <v>-3150806.671191392</v>
      </c>
      <c r="K35" s="4"/>
      <c r="L35" s="40">
        <f>+L32*L34</f>
        <v>0</v>
      </c>
      <c r="M35" s="4"/>
      <c r="N35" s="40">
        <f>+N32*N34</f>
        <v>0</v>
      </c>
      <c r="O35" s="4"/>
      <c r="P35" s="40">
        <f>+P32*P34</f>
        <v>0</v>
      </c>
      <c r="Q35" s="4"/>
      <c r="R35" s="40">
        <f>+R32*R34</f>
        <v>0</v>
      </c>
      <c r="S35" s="4"/>
      <c r="T35" s="40">
        <f>+T32*T34</f>
        <v>0</v>
      </c>
      <c r="U35" s="4"/>
      <c r="V35" s="40">
        <f>+V32*V34</f>
        <v>0</v>
      </c>
      <c r="W35" s="4"/>
      <c r="X35" s="40">
        <f>+X32*X34</f>
        <v>-3907875.4796331245</v>
      </c>
      <c r="AA35" s="8">
        <v>18</v>
      </c>
      <c r="AC35" s="37" t="s">
        <v>29</v>
      </c>
      <c r="AE35" s="40">
        <f>+AE32*AE34</f>
        <v>-3907875.4796331245</v>
      </c>
      <c r="AG35" s="40">
        <f>+AG32*AG34</f>
        <v>0</v>
      </c>
      <c r="AI35" s="40">
        <f>+AI32*AI34</f>
        <v>0</v>
      </c>
      <c r="AK35" s="40">
        <f>+AK32*AK34</f>
        <v>0</v>
      </c>
      <c r="AM35" s="40">
        <f>+AM32*AM34</f>
        <v>0</v>
      </c>
      <c r="AO35" s="40">
        <f>+AO32*AO34</f>
        <v>0</v>
      </c>
      <c r="AP35" s="22"/>
      <c r="AQ35" s="40">
        <f>+AQ32*AQ34</f>
        <v>0</v>
      </c>
      <c r="AS35" s="40">
        <f>+AS32*AS34</f>
        <v>0</v>
      </c>
      <c r="AU35" s="40">
        <f>+AU32*AU34</f>
        <v>0</v>
      </c>
      <c r="AW35" s="40">
        <f>+AW32*AW34</f>
        <v>-3907875.4796331245</v>
      </c>
      <c r="AY35" s="40">
        <f>+AY32*AY34</f>
        <v>183789913.27980062</v>
      </c>
      <c r="BA35" s="296"/>
    </row>
    <row r="36" spans="2:55">
      <c r="B36" s="8"/>
      <c r="D36" s="37"/>
      <c r="F36" s="40"/>
      <c r="H36" s="40"/>
      <c r="J36" s="40"/>
      <c r="L36" s="40"/>
      <c r="N36" s="40"/>
      <c r="P36" s="40"/>
      <c r="R36" s="40"/>
      <c r="T36" s="40"/>
      <c r="V36" s="40"/>
      <c r="X36" s="40"/>
      <c r="AA36" s="8"/>
      <c r="AC36" s="37"/>
      <c r="AE36" s="40"/>
      <c r="AG36" s="40"/>
      <c r="AI36" s="40"/>
      <c r="AK36" s="40"/>
      <c r="AM36" s="40"/>
      <c r="AO36" s="40"/>
      <c r="AQ36" s="40"/>
      <c r="AS36" s="40"/>
      <c r="AU36" s="40"/>
      <c r="AW36" s="40"/>
      <c r="AY36" s="40"/>
    </row>
    <row r="37" spans="2:55">
      <c r="B37" s="8">
        <v>19</v>
      </c>
      <c r="D37" s="37" t="s">
        <v>99</v>
      </c>
      <c r="F37" s="38"/>
      <c r="G37" s="4"/>
      <c r="H37" s="38"/>
      <c r="I37" s="4"/>
      <c r="J37" s="38"/>
      <c r="K37" s="4"/>
      <c r="L37" s="38"/>
      <c r="M37" s="4"/>
      <c r="N37" s="38"/>
      <c r="O37" s="4"/>
      <c r="P37" s="38"/>
      <c r="Q37" s="4"/>
      <c r="R37" s="38"/>
      <c r="S37" s="4"/>
      <c r="T37" s="38"/>
      <c r="U37" s="4"/>
      <c r="V37" s="38"/>
      <c r="W37" s="4"/>
      <c r="X37" s="38"/>
      <c r="AA37" s="8">
        <v>19</v>
      </c>
      <c r="AC37" s="37" t="s">
        <v>99</v>
      </c>
      <c r="AE37" s="38"/>
      <c r="AG37" s="38"/>
      <c r="AI37" s="38"/>
      <c r="AK37" s="38"/>
      <c r="AM37" s="38"/>
      <c r="AO37" s="38"/>
      <c r="AP37" s="40"/>
      <c r="AQ37" s="38"/>
      <c r="AS37" s="38"/>
      <c r="AU37" s="38"/>
      <c r="AW37" s="38"/>
      <c r="AY37" s="38"/>
    </row>
    <row r="38" spans="2:55">
      <c r="B38" s="8">
        <v>20</v>
      </c>
      <c r="D38" s="63" t="s">
        <v>144</v>
      </c>
      <c r="F38" s="40">
        <f>+'Sch 1.1'!F36</f>
        <v>991948599</v>
      </c>
      <c r="G38" s="4"/>
      <c r="H38" s="40">
        <f>+'3.1 Slippage'!H18</f>
        <v>-1521</v>
      </c>
      <c r="I38" s="4"/>
      <c r="J38" s="40"/>
      <c r="K38" s="4"/>
      <c r="L38" s="40"/>
      <c r="M38" s="4"/>
      <c r="N38" s="40"/>
      <c r="O38" s="4"/>
      <c r="P38" s="40"/>
      <c r="Q38" s="4"/>
      <c r="R38" s="40"/>
      <c r="S38" s="4"/>
      <c r="T38" s="40"/>
      <c r="U38" s="4"/>
      <c r="V38" s="40"/>
      <c r="W38" s="4"/>
      <c r="X38" s="40">
        <f>SUM(H38:W38)</f>
        <v>-1521</v>
      </c>
      <c r="AA38" s="8">
        <v>20</v>
      </c>
      <c r="AC38" s="63" t="s">
        <v>144</v>
      </c>
      <c r="AE38" s="40">
        <f>+X38</f>
        <v>-1521</v>
      </c>
      <c r="AG38" s="40"/>
      <c r="AI38" s="40"/>
      <c r="AK38" s="40"/>
      <c r="AM38" s="40"/>
      <c r="AO38" s="40"/>
      <c r="AP38" s="40"/>
      <c r="AQ38" s="40"/>
      <c r="AS38" s="40"/>
      <c r="AU38" s="40"/>
      <c r="AW38" s="40">
        <f t="shared" ref="AW38:AW39" si="15">SUM(AE38:AV38)</f>
        <v>-1521</v>
      </c>
      <c r="AY38" s="9">
        <f t="shared" ref="AY38:AY39" si="16">+F38+AW38</f>
        <v>991947078</v>
      </c>
      <c r="BA38" s="296"/>
    </row>
    <row r="39" spans="2:55">
      <c r="B39" s="8">
        <v>21</v>
      </c>
      <c r="D39" s="64" t="s">
        <v>145</v>
      </c>
      <c r="F39" s="6">
        <f>+'Sch 1.1'!F37</f>
        <v>21774257</v>
      </c>
      <c r="G39" s="4"/>
      <c r="H39" s="6"/>
      <c r="I39" s="4"/>
      <c r="J39" s="6"/>
      <c r="K39" s="4"/>
      <c r="L39" s="6">
        <f>+'3.6 Late Pymt'!H13</f>
        <v>231059</v>
      </c>
      <c r="M39" s="4"/>
      <c r="N39" s="6"/>
      <c r="O39" s="4"/>
      <c r="P39" s="6"/>
      <c r="Q39" s="4"/>
      <c r="R39" s="6"/>
      <c r="S39" s="4"/>
      <c r="T39" s="6"/>
      <c r="U39" s="4"/>
      <c r="V39" s="6"/>
      <c r="W39" s="4"/>
      <c r="X39" s="6">
        <f>SUM(H39:W39)</f>
        <v>231059</v>
      </c>
      <c r="AA39" s="8">
        <v>21</v>
      </c>
      <c r="AC39" s="64" t="s">
        <v>145</v>
      </c>
      <c r="AE39" s="6">
        <f t="shared" ref="AE39" si="17">+X39</f>
        <v>231059</v>
      </c>
      <c r="AG39" s="6"/>
      <c r="AI39" s="6"/>
      <c r="AK39" s="6"/>
      <c r="AM39" s="6"/>
      <c r="AO39" s="6"/>
      <c r="AP39" s="4"/>
      <c r="AQ39" s="6"/>
      <c r="AS39" s="6"/>
      <c r="AU39" s="6"/>
      <c r="AW39" s="6">
        <f t="shared" si="15"/>
        <v>231059</v>
      </c>
      <c r="AY39" s="9">
        <f t="shared" si="16"/>
        <v>22005316</v>
      </c>
      <c r="BA39" s="296"/>
    </row>
    <row r="40" spans="2:55">
      <c r="B40" s="8">
        <v>22</v>
      </c>
      <c r="D40" s="67" t="s">
        <v>102</v>
      </c>
      <c r="F40" s="42">
        <f>SUM(F38:F39)</f>
        <v>1013722856</v>
      </c>
      <c r="G40" s="4"/>
      <c r="H40" s="42">
        <f>SUM(H38:H39)</f>
        <v>-1521</v>
      </c>
      <c r="I40" s="4"/>
      <c r="J40" s="42">
        <f>SUM(J38:J39)</f>
        <v>0</v>
      </c>
      <c r="K40" s="4"/>
      <c r="L40" s="42">
        <f>SUM(L38:L39)</f>
        <v>231059</v>
      </c>
      <c r="M40" s="4"/>
      <c r="N40" s="42">
        <f>SUM(N38:N39)</f>
        <v>0</v>
      </c>
      <c r="O40" s="4"/>
      <c r="P40" s="42">
        <f>SUM(P38:P39)</f>
        <v>0</v>
      </c>
      <c r="Q40" s="4"/>
      <c r="R40" s="42">
        <f>SUM(R38:R39)</f>
        <v>0</v>
      </c>
      <c r="S40" s="4"/>
      <c r="T40" s="42">
        <f>SUM(T38:T39)</f>
        <v>0</v>
      </c>
      <c r="U40" s="4"/>
      <c r="V40" s="42">
        <f>SUM(V38:V39)</f>
        <v>0</v>
      </c>
      <c r="W40" s="4"/>
      <c r="X40" s="42">
        <f>SUM(X38:X39)</f>
        <v>229538</v>
      </c>
      <c r="AA40" s="8">
        <v>22</v>
      </c>
      <c r="AC40" s="67" t="s">
        <v>102</v>
      </c>
      <c r="AE40" s="42">
        <f>SUM(AE38:AE39)</f>
        <v>229538</v>
      </c>
      <c r="AG40" s="42">
        <f>SUM(AG38:AG39)</f>
        <v>0</v>
      </c>
      <c r="AI40" s="42">
        <f>SUM(AI38:AI39)</f>
        <v>0</v>
      </c>
      <c r="AK40" s="42">
        <f>SUM(AK38:AK39)</f>
        <v>0</v>
      </c>
      <c r="AM40" s="42">
        <f>SUM(AM38:AM39)</f>
        <v>0</v>
      </c>
      <c r="AO40" s="42">
        <f>SUM(AO38:AO39)</f>
        <v>0</v>
      </c>
      <c r="AP40" s="4"/>
      <c r="AQ40" s="42">
        <f>SUM(AQ38:AQ39)</f>
        <v>0</v>
      </c>
      <c r="AS40" s="42">
        <f>SUM(AS38:AS39)</f>
        <v>0</v>
      </c>
      <c r="AU40" s="42">
        <f>SUM(AU38:AU39)</f>
        <v>0</v>
      </c>
      <c r="AW40" s="42">
        <f>SUM(AW38:AW39)</f>
        <v>229538</v>
      </c>
      <c r="AY40" s="42">
        <f>SUM(AY38:AY39)</f>
        <v>1013952394</v>
      </c>
      <c r="BA40" s="4"/>
      <c r="BB40" s="4"/>
      <c r="BC40" s="4"/>
    </row>
    <row r="41" spans="2:55">
      <c r="B41" s="8"/>
      <c r="D41" s="34"/>
      <c r="I41" s="4"/>
      <c r="K41" s="4"/>
      <c r="M41" s="4"/>
      <c r="O41" s="4"/>
      <c r="Q41" s="4"/>
      <c r="S41" s="4"/>
      <c r="U41" s="4"/>
      <c r="W41" s="4"/>
      <c r="AA41" s="8"/>
      <c r="AC41" s="34"/>
      <c r="AP41" s="40"/>
      <c r="BA41" s="403"/>
      <c r="BB41" s="4"/>
      <c r="BC41" s="403"/>
    </row>
    <row r="42" spans="2:55">
      <c r="B42" s="8">
        <v>23</v>
      </c>
      <c r="D42" s="37" t="s">
        <v>31</v>
      </c>
      <c r="F42" s="40"/>
      <c r="G42" s="4"/>
      <c r="H42" s="40"/>
      <c r="I42" s="4"/>
      <c r="J42" s="40"/>
      <c r="K42" s="4"/>
      <c r="L42" s="40"/>
      <c r="M42" s="4"/>
      <c r="N42" s="40"/>
      <c r="O42" s="4"/>
      <c r="P42" s="40"/>
      <c r="Q42" s="4"/>
      <c r="R42" s="40"/>
      <c r="S42" s="4"/>
      <c r="T42" s="40"/>
      <c r="U42" s="4"/>
      <c r="V42" s="40"/>
      <c r="W42" s="4"/>
      <c r="X42" s="40">
        <f t="shared" ref="X42:X48" si="18">SUM(H42:W42)</f>
        <v>0</v>
      </c>
      <c r="AA42" s="8">
        <v>23</v>
      </c>
      <c r="AC42" s="37" t="s">
        <v>31</v>
      </c>
      <c r="AE42" s="40"/>
      <c r="AG42" s="40"/>
      <c r="AI42" s="40"/>
      <c r="AK42" s="40"/>
      <c r="AM42" s="40"/>
      <c r="AO42" s="40"/>
      <c r="AP42" s="40"/>
      <c r="AQ42" s="40"/>
      <c r="AS42" s="40"/>
      <c r="AU42" s="40"/>
      <c r="AW42" s="40"/>
      <c r="AY42" s="41"/>
      <c r="BA42" s="4"/>
      <c r="BB42" s="4"/>
      <c r="BC42" s="4"/>
    </row>
    <row r="43" spans="2:55">
      <c r="B43" s="8">
        <v>24</v>
      </c>
      <c r="D43" s="63" t="s">
        <v>146</v>
      </c>
      <c r="F43" s="40">
        <f>+'Sch 1.1'!F41</f>
        <v>627292494</v>
      </c>
      <c r="G43" s="4"/>
      <c r="H43" s="40"/>
      <c r="I43" s="4"/>
      <c r="J43" s="40"/>
      <c r="K43" s="4"/>
      <c r="L43" s="40"/>
      <c r="M43" s="4"/>
      <c r="N43" s="40">
        <f>+'3.7 401(k)'!H13</f>
        <v>-1369708</v>
      </c>
      <c r="O43" s="4"/>
      <c r="P43" s="40">
        <f>+'3.8 D&amp;O'!H15</f>
        <v>-98216.387022052149</v>
      </c>
      <c r="Q43" s="4"/>
      <c r="R43" s="40">
        <f>+'3.9 Dues'!H20</f>
        <v>-1361007.4544599999</v>
      </c>
      <c r="S43" s="4"/>
      <c r="T43" s="40">
        <f>+'3.10 Legal'!H15</f>
        <v>-337972.36981934117</v>
      </c>
      <c r="U43" s="4"/>
      <c r="V43" s="40">
        <f>+'3.11 Rebate'!H15</f>
        <v>-239869.85122669872</v>
      </c>
      <c r="W43" s="4"/>
      <c r="X43" s="40">
        <f t="shared" si="18"/>
        <v>-3406774.0625280919</v>
      </c>
      <c r="AA43" s="8">
        <v>24</v>
      </c>
      <c r="AC43" s="63" t="s">
        <v>146</v>
      </c>
      <c r="AE43" s="40">
        <f t="shared" ref="AE43:AE48" si="19">+X43</f>
        <v>-3406774.0625280919</v>
      </c>
      <c r="AG43" s="40">
        <f>+'3.12 Econ Dev'!H15</f>
        <v>-551982.64339445776</v>
      </c>
      <c r="AI43" s="40">
        <f>+'3.13 Ed'!H15</f>
        <v>-579694.84392869112</v>
      </c>
      <c r="AK43" s="40">
        <f>+'3.15 MMD'!H13</f>
        <v>-8977509</v>
      </c>
      <c r="AM43" s="40">
        <f>+'3.16 Storm'!H20</f>
        <v>-232172.40000000002</v>
      </c>
      <c r="AP43" s="38"/>
      <c r="AQ43" s="40"/>
      <c r="AS43" s="40"/>
      <c r="AU43" s="40"/>
      <c r="AW43" s="40">
        <f t="shared" ref="AW43:AW48" si="20">SUM(AE43:AV43)</f>
        <v>-13748132.949851241</v>
      </c>
      <c r="AY43" s="41">
        <f t="shared" ref="AY43:AY48" si="21">+F43+AW43</f>
        <v>613544361.05014873</v>
      </c>
      <c r="BA43" s="296"/>
    </row>
    <row r="44" spans="2:55">
      <c r="B44" s="8">
        <v>25</v>
      </c>
      <c r="D44" s="63" t="s">
        <v>147</v>
      </c>
      <c r="F44" s="38">
        <f>+'Sch 1.1'!F42</f>
        <v>155800380</v>
      </c>
      <c r="G44" s="4"/>
      <c r="H44" s="38">
        <f>+'3.1 Slippage'!H23</f>
        <v>-320798</v>
      </c>
      <c r="I44" s="4"/>
      <c r="J44" s="38"/>
      <c r="K44" s="4"/>
      <c r="L44" s="38"/>
      <c r="M44" s="4"/>
      <c r="N44" s="38"/>
      <c r="O44" s="4"/>
      <c r="P44" s="38"/>
      <c r="Q44" s="4"/>
      <c r="R44" s="38"/>
      <c r="S44" s="4"/>
      <c r="T44" s="38"/>
      <c r="U44" s="4"/>
      <c r="V44" s="38"/>
      <c r="W44" s="4"/>
      <c r="X44" s="38">
        <f t="shared" si="18"/>
        <v>-320798</v>
      </c>
      <c r="AA44" s="8">
        <v>25</v>
      </c>
      <c r="AC44" s="63" t="s">
        <v>147</v>
      </c>
      <c r="AE44" s="38">
        <f t="shared" si="19"/>
        <v>-320798</v>
      </c>
      <c r="AG44" s="38"/>
      <c r="AI44" s="38"/>
      <c r="AK44" s="38"/>
      <c r="AM44" s="38"/>
      <c r="AO44" s="40">
        <f>+'3.17 EDIT'!H41</f>
        <v>-2453645.0731707318</v>
      </c>
      <c r="AP44" s="40"/>
      <c r="AQ44" s="38"/>
      <c r="AS44" s="38"/>
      <c r="AU44" s="38"/>
      <c r="AW44" s="38">
        <f t="shared" si="20"/>
        <v>-2774443.0731707318</v>
      </c>
      <c r="AY44" s="9">
        <f t="shared" si="21"/>
        <v>153025936.92682928</v>
      </c>
      <c r="BA44" s="296"/>
    </row>
    <row r="45" spans="2:55">
      <c r="B45" s="8">
        <v>26</v>
      </c>
      <c r="D45" s="63" t="s">
        <v>148</v>
      </c>
      <c r="F45" s="38">
        <f>+'Sch 1.1'!F43</f>
        <v>0</v>
      </c>
      <c r="G45" s="4"/>
      <c r="H45" s="38"/>
      <c r="I45" s="4"/>
      <c r="J45" s="38"/>
      <c r="K45" s="4"/>
      <c r="L45" s="38"/>
      <c r="M45" s="4"/>
      <c r="N45" s="38"/>
      <c r="O45" s="4"/>
      <c r="P45" s="38"/>
      <c r="Q45" s="38"/>
      <c r="S45" s="4"/>
      <c r="T45" s="38"/>
      <c r="U45" s="4"/>
      <c r="V45" s="38"/>
      <c r="W45" s="4"/>
      <c r="X45" s="38">
        <f t="shared" si="18"/>
        <v>0</v>
      </c>
      <c r="AA45" s="8">
        <v>26</v>
      </c>
      <c r="AC45" s="63" t="s">
        <v>148</v>
      </c>
      <c r="AE45" s="38">
        <f t="shared" si="19"/>
        <v>0</v>
      </c>
      <c r="AG45" s="38"/>
      <c r="AI45" s="38"/>
      <c r="AK45" s="38"/>
      <c r="AM45" s="38"/>
      <c r="AO45" s="38"/>
      <c r="AP45" s="38"/>
      <c r="AQ45" s="38"/>
      <c r="AS45" s="38"/>
      <c r="AU45" s="38"/>
      <c r="AW45" s="38">
        <f t="shared" si="20"/>
        <v>0</v>
      </c>
      <c r="AY45" s="9">
        <f t="shared" si="21"/>
        <v>0</v>
      </c>
      <c r="BA45" s="296"/>
    </row>
    <row r="46" spans="2:55">
      <c r="B46" s="8">
        <v>27</v>
      </c>
      <c r="D46" s="64" t="s">
        <v>101</v>
      </c>
      <c r="F46" s="38">
        <f>+'Sch 1.1'!F44</f>
        <v>34932925</v>
      </c>
      <c r="G46" s="4"/>
      <c r="H46" s="38">
        <f>+'3.1 Slippage'!H24</f>
        <v>-66860</v>
      </c>
      <c r="I46" s="4"/>
      <c r="J46" s="38"/>
      <c r="K46" s="4"/>
      <c r="L46" s="38"/>
      <c r="M46" s="4"/>
      <c r="N46" s="38"/>
      <c r="O46" s="4"/>
      <c r="P46" s="38"/>
      <c r="Q46" s="4"/>
      <c r="R46" s="38"/>
      <c r="S46" s="4"/>
      <c r="T46" s="38"/>
      <c r="U46" s="4"/>
      <c r="V46" s="38"/>
      <c r="W46" s="4"/>
      <c r="X46" s="38">
        <f t="shared" si="18"/>
        <v>-66860</v>
      </c>
      <c r="AA46" s="8">
        <v>27</v>
      </c>
      <c r="AC46" s="64" t="s">
        <v>101</v>
      </c>
      <c r="AE46" s="38">
        <f t="shared" si="19"/>
        <v>-66860</v>
      </c>
      <c r="AG46" s="38"/>
      <c r="AI46" s="38"/>
      <c r="AK46" s="38"/>
      <c r="AM46" s="38"/>
      <c r="AO46" s="38"/>
      <c r="AP46" s="22"/>
      <c r="AQ46" s="38"/>
      <c r="AS46" s="38"/>
      <c r="AU46" s="38"/>
      <c r="AW46" s="38">
        <f t="shared" si="20"/>
        <v>-66860</v>
      </c>
      <c r="AY46" s="9">
        <f t="shared" si="21"/>
        <v>34866065</v>
      </c>
      <c r="BA46" s="69" t="s">
        <v>116</v>
      </c>
      <c r="BC46" s="69" t="s">
        <v>70</v>
      </c>
    </row>
    <row r="47" spans="2:55">
      <c r="B47" s="8">
        <v>28</v>
      </c>
      <c r="D47" s="64" t="s">
        <v>82</v>
      </c>
      <c r="F47" s="38">
        <f>+'Sch 1.1'!F45</f>
        <v>25285777</v>
      </c>
      <c r="G47" s="4"/>
      <c r="H47" s="38">
        <f>+'3.1 Slippage'!H25</f>
        <v>142963</v>
      </c>
      <c r="I47" s="4"/>
      <c r="J47" s="38"/>
      <c r="K47" s="4"/>
      <c r="L47" s="38">
        <f>+'3.6 Late Pymt'!H22</f>
        <v>57649</v>
      </c>
      <c r="M47" s="4"/>
      <c r="N47" s="38">
        <f>+'3.7 401(k)'!H22</f>
        <v>341742</v>
      </c>
      <c r="O47" s="4"/>
      <c r="P47" s="38">
        <f>+'3.8 D&amp;O'!H24</f>
        <v>24505</v>
      </c>
      <c r="Q47" s="4"/>
      <c r="R47" s="38">
        <f>+'3.9 Dues'!H29</f>
        <v>406605</v>
      </c>
      <c r="S47" s="4"/>
      <c r="T47" s="38">
        <f>+'3.10 Legal'!H24</f>
        <v>84324</v>
      </c>
      <c r="U47" s="4"/>
      <c r="V47" s="38">
        <f>+'3.11 Rebate'!H24</f>
        <v>59847</v>
      </c>
      <c r="W47" s="4"/>
      <c r="X47" s="38">
        <f t="shared" si="18"/>
        <v>1117635</v>
      </c>
      <c r="AA47" s="8">
        <v>28</v>
      </c>
      <c r="AC47" s="64" t="s">
        <v>82</v>
      </c>
      <c r="AE47" s="38">
        <f t="shared" si="19"/>
        <v>1117635</v>
      </c>
      <c r="AG47" s="38">
        <f>+'3.12 Econ Dev'!H24</f>
        <v>137720</v>
      </c>
      <c r="AI47" s="38">
        <f>+'3.13 Ed'!H24</f>
        <v>144634</v>
      </c>
      <c r="AK47" s="38">
        <f>+'3.15 MMD'!H22</f>
        <v>2239888</v>
      </c>
      <c r="AM47" s="38">
        <f>+'3.16 Storm'!H29</f>
        <v>57928</v>
      </c>
      <c r="AO47" s="38">
        <f>+'3.17 EDIT'!H43</f>
        <v>23542</v>
      </c>
      <c r="AP47" s="88"/>
      <c r="AQ47" s="38">
        <f>+'3.18 Int Sychn'!H28</f>
        <v>284559</v>
      </c>
      <c r="AS47" s="38"/>
      <c r="AU47" s="38"/>
      <c r="AW47" s="38">
        <f t="shared" si="20"/>
        <v>4005906</v>
      </c>
      <c r="AY47" s="9">
        <f t="shared" si="21"/>
        <v>29291683</v>
      </c>
      <c r="BA47" s="200">
        <f>SUM(AE47:AO47)</f>
        <v>3721347</v>
      </c>
      <c r="BC47" s="200">
        <f>SUM(AE47:AU47)</f>
        <v>4005906</v>
      </c>
    </row>
    <row r="48" spans="2:55">
      <c r="B48" s="8">
        <v>29</v>
      </c>
      <c r="D48" s="64" t="s">
        <v>142</v>
      </c>
      <c r="F48" s="38">
        <f>+'Sch 1.1'!F46</f>
        <v>-1004121</v>
      </c>
      <c r="G48" s="4"/>
      <c r="H48" s="38"/>
      <c r="I48" s="4"/>
      <c r="J48" s="38"/>
      <c r="K48" s="4"/>
      <c r="L48" s="38"/>
      <c r="M48" s="4"/>
      <c r="N48" s="38"/>
      <c r="O48" s="4"/>
      <c r="P48" s="38"/>
      <c r="Q48" s="4"/>
      <c r="R48" s="38"/>
      <c r="S48" s="4"/>
      <c r="T48" s="38"/>
      <c r="U48" s="4"/>
      <c r="V48" s="38"/>
      <c r="W48" s="4"/>
      <c r="X48" s="38">
        <f t="shared" si="18"/>
        <v>0</v>
      </c>
      <c r="AA48" s="8">
        <v>29</v>
      </c>
      <c r="AC48" s="64" t="s">
        <v>142</v>
      </c>
      <c r="AE48" s="38">
        <f t="shared" si="19"/>
        <v>0</v>
      </c>
      <c r="AG48" s="38"/>
      <c r="AI48" s="38"/>
      <c r="AK48" s="38"/>
      <c r="AM48" s="38"/>
      <c r="AO48" s="38"/>
      <c r="AP48" s="40"/>
      <c r="AQ48" s="38"/>
      <c r="AS48" s="38"/>
      <c r="AU48" s="38"/>
      <c r="AW48" s="38">
        <f t="shared" si="20"/>
        <v>0</v>
      </c>
      <c r="AY48" s="9">
        <f t="shared" si="21"/>
        <v>-1004121</v>
      </c>
      <c r="BA48" s="296"/>
    </row>
    <row r="49" spans="2:53">
      <c r="B49" s="8">
        <v>30</v>
      </c>
      <c r="D49" s="65" t="s">
        <v>36</v>
      </c>
      <c r="F49" s="66">
        <f>SUM(F43:F48)</f>
        <v>842307455</v>
      </c>
      <c r="G49" s="4"/>
      <c r="H49" s="66">
        <f>SUM(H43:H48)</f>
        <v>-244695</v>
      </c>
      <c r="I49" s="4"/>
      <c r="J49" s="66">
        <f>SUM(J43:J48)</f>
        <v>0</v>
      </c>
      <c r="K49" s="4"/>
      <c r="L49" s="66">
        <f>SUM(L43:L48)</f>
        <v>57649</v>
      </c>
      <c r="M49" s="4"/>
      <c r="N49" s="66">
        <f>SUM(N43:N48)</f>
        <v>-1027966</v>
      </c>
      <c r="O49" s="4"/>
      <c r="P49" s="66">
        <f>SUM(P43:P48)</f>
        <v>-73711.387022052149</v>
      </c>
      <c r="Q49" s="4"/>
      <c r="R49" s="66">
        <f>SUM(R43:R48)</f>
        <v>-954402.45445999992</v>
      </c>
      <c r="S49" s="4"/>
      <c r="T49" s="66">
        <f>SUM(T43:T48)</f>
        <v>-253648.36981934117</v>
      </c>
      <c r="U49" s="4"/>
      <c r="V49" s="66">
        <f>SUM(V43:V48)</f>
        <v>-180022.85122669872</v>
      </c>
      <c r="W49" s="4"/>
      <c r="X49" s="66">
        <f>SUM(X43:X48)</f>
        <v>-2676797.0625280919</v>
      </c>
      <c r="AA49" s="8">
        <v>30</v>
      </c>
      <c r="AC49" s="65" t="s">
        <v>36</v>
      </c>
      <c r="AE49" s="66">
        <f>SUM(AE43:AE48)</f>
        <v>-2676797.0625280919</v>
      </c>
      <c r="AG49" s="66">
        <f>SUM(AG43:AG48)</f>
        <v>-414262.64339445776</v>
      </c>
      <c r="AI49" s="66">
        <f>SUM(AI43:AI48)</f>
        <v>-435060.84392869112</v>
      </c>
      <c r="AK49" s="66">
        <f>SUM(AK43:AK48)</f>
        <v>-6737621</v>
      </c>
      <c r="AM49" s="66">
        <f>SUM(AM43:AM48)</f>
        <v>-174244.40000000002</v>
      </c>
      <c r="AO49" s="66">
        <f>SUM(AO44:AO48)</f>
        <v>-2430103.0731707318</v>
      </c>
      <c r="AP49" s="40"/>
      <c r="AQ49" s="66">
        <f>SUM(AQ43:AQ48)</f>
        <v>284559</v>
      </c>
      <c r="AS49" s="66">
        <f>SUM(AS43:AS48)</f>
        <v>0</v>
      </c>
      <c r="AU49" s="66">
        <f>SUM(AU43:AU48)</f>
        <v>0</v>
      </c>
      <c r="AW49" s="66">
        <f>SUM(AW43:AW48)</f>
        <v>-12583530.023021974</v>
      </c>
      <c r="AY49" s="66">
        <f>SUM(AY43:AY48)</f>
        <v>829723924.97697806</v>
      </c>
      <c r="BA49" s="296"/>
    </row>
    <row r="50" spans="2:53">
      <c r="B50" s="8"/>
      <c r="D50" s="34"/>
      <c r="F50" s="38"/>
      <c r="G50" s="4"/>
      <c r="H50" s="38"/>
      <c r="I50" s="4"/>
      <c r="J50" s="38"/>
      <c r="K50" s="4"/>
      <c r="L50" s="38"/>
      <c r="M50" s="4"/>
      <c r="N50" s="38"/>
      <c r="O50" s="4"/>
      <c r="P50" s="38"/>
      <c r="Q50" s="4"/>
      <c r="R50" s="38"/>
      <c r="S50" s="4"/>
      <c r="T50" s="38"/>
      <c r="U50" s="4"/>
      <c r="V50" s="38"/>
      <c r="W50" s="4"/>
      <c r="X50" s="38"/>
      <c r="AA50" s="8"/>
      <c r="AC50" s="34"/>
      <c r="AE50" s="38"/>
      <c r="AG50" s="38"/>
      <c r="AI50" s="38"/>
      <c r="AK50" s="38"/>
      <c r="AM50" s="38"/>
      <c r="AO50" s="38"/>
      <c r="AP50" s="22"/>
      <c r="AQ50" s="38"/>
      <c r="AS50" s="38"/>
      <c r="AU50" s="38"/>
      <c r="AW50" s="38"/>
      <c r="AY50" s="38"/>
    </row>
    <row r="51" spans="2:53">
      <c r="B51" s="8">
        <v>31</v>
      </c>
      <c r="D51" s="37" t="s">
        <v>62</v>
      </c>
      <c r="F51" s="10">
        <f>+F40-F49</f>
        <v>171415401</v>
      </c>
      <c r="G51" s="4"/>
      <c r="H51" s="10">
        <f>+H40-H49</f>
        <v>243174</v>
      </c>
      <c r="I51" s="4"/>
      <c r="J51" s="10">
        <f>+J40-J49</f>
        <v>0</v>
      </c>
      <c r="K51" s="4"/>
      <c r="L51" s="10">
        <f>+L40-L49</f>
        <v>173410</v>
      </c>
      <c r="M51" s="39"/>
      <c r="N51" s="10">
        <f>+N40-N49</f>
        <v>1027966</v>
      </c>
      <c r="O51" s="39"/>
      <c r="P51" s="10">
        <f>+P40-P49</f>
        <v>73711.387022052149</v>
      </c>
      <c r="Q51" s="39"/>
      <c r="R51" s="10">
        <f>+R40-R49</f>
        <v>954402.45445999992</v>
      </c>
      <c r="S51" s="39"/>
      <c r="T51" s="10">
        <f>+T40-T49</f>
        <v>253648.36981934117</v>
      </c>
      <c r="U51" s="39"/>
      <c r="V51" s="10">
        <f>+V40-V49</f>
        <v>180022.85122669872</v>
      </c>
      <c r="W51" s="4"/>
      <c r="X51" s="10">
        <f>+X40-X49</f>
        <v>2906335.0625280919</v>
      </c>
      <c r="AA51" s="8">
        <v>31</v>
      </c>
      <c r="AC51" s="37" t="s">
        <v>62</v>
      </c>
      <c r="AE51" s="10">
        <f>+AE40-AE49</f>
        <v>2906335.0625280919</v>
      </c>
      <c r="AG51" s="10">
        <f>+AG40-AG49</f>
        <v>414262.64339445776</v>
      </c>
      <c r="AH51" s="92"/>
      <c r="AI51" s="10">
        <f>+AI40-AI49</f>
        <v>435060.84392869112</v>
      </c>
      <c r="AJ51" s="92"/>
      <c r="AK51" s="10">
        <f>+AK40-AK49</f>
        <v>6737621</v>
      </c>
      <c r="AL51" s="92"/>
      <c r="AM51" s="10">
        <f>+AM40-AM49</f>
        <v>174244.40000000002</v>
      </c>
      <c r="AN51" s="92"/>
      <c r="AO51" s="10">
        <f>+AO40-AO49</f>
        <v>2430103.0731707318</v>
      </c>
      <c r="AP51" s="74"/>
      <c r="AQ51" s="10">
        <f>+AQ40-AQ49</f>
        <v>-284559</v>
      </c>
      <c r="AR51" s="92"/>
      <c r="AS51" s="10">
        <f>+AS40-AS49</f>
        <v>0</v>
      </c>
      <c r="AT51" s="92"/>
      <c r="AU51" s="10">
        <f>+AU40-AU49</f>
        <v>0</v>
      </c>
      <c r="AW51" s="10">
        <f>+AW40-AW49</f>
        <v>12813068.023021974</v>
      </c>
      <c r="AY51" s="10">
        <f>+AY40-AY49</f>
        <v>184228469.02302194</v>
      </c>
      <c r="BA51" s="296"/>
    </row>
    <row r="52" spans="2:53" ht="14" thickBot="1">
      <c r="B52" s="8">
        <v>32</v>
      </c>
      <c r="D52" s="37" t="s">
        <v>23</v>
      </c>
      <c r="F52" s="22">
        <f>+F35-F51</f>
        <v>26148475.334633768</v>
      </c>
      <c r="G52" s="4"/>
      <c r="H52" s="22">
        <f>+H35-H51</f>
        <v>-1000242.8084417329</v>
      </c>
      <c r="J52" s="22">
        <f>+J35-J51</f>
        <v>-3150806.671191392</v>
      </c>
      <c r="L52" s="22">
        <f>+L35-L51</f>
        <v>-173410</v>
      </c>
      <c r="N52" s="22">
        <f>+N35-N51</f>
        <v>-1027966</v>
      </c>
      <c r="P52" s="22">
        <f>+P35-P51</f>
        <v>-73711.387022052149</v>
      </c>
      <c r="R52" s="22">
        <f>+R35-R51</f>
        <v>-954402.45445999992</v>
      </c>
      <c r="T52" s="22">
        <f>+T35-T51</f>
        <v>-253648.36981934117</v>
      </c>
      <c r="V52" s="22">
        <f>+V35-V51</f>
        <v>-180022.85122669872</v>
      </c>
      <c r="X52" s="22">
        <f>+X35-X51</f>
        <v>-6814210.542161217</v>
      </c>
      <c r="AA52" s="8">
        <v>32</v>
      </c>
      <c r="AC52" s="37" t="s">
        <v>23</v>
      </c>
      <c r="AE52" s="22">
        <f>+AE35-AE51</f>
        <v>-6814210.542161217</v>
      </c>
      <c r="AG52" s="22">
        <f>+AG35-AG51</f>
        <v>-414262.64339445776</v>
      </c>
      <c r="AI52" s="22">
        <f>+AI35-AI51</f>
        <v>-435060.84392869112</v>
      </c>
      <c r="AK52" s="22">
        <f>+AK35-AK51</f>
        <v>-6737621</v>
      </c>
      <c r="AM52" s="22">
        <f>+AM35-AM51</f>
        <v>-174244.40000000002</v>
      </c>
      <c r="AO52" s="22">
        <f>+AO35-AO51</f>
        <v>-2430103.0731707318</v>
      </c>
      <c r="AQ52" s="22">
        <f>+AQ35-AQ51</f>
        <v>284559</v>
      </c>
      <c r="AS52" s="22">
        <f>+AS35-AS51</f>
        <v>0</v>
      </c>
      <c r="AU52" s="22">
        <f>+AU35-AU51</f>
        <v>0</v>
      </c>
      <c r="AW52" s="22">
        <f>+AW35-AW51</f>
        <v>-16720943.502655098</v>
      </c>
      <c r="AY52" s="22">
        <f>+AY35-AY51</f>
        <v>-438555.74322131276</v>
      </c>
      <c r="BA52" s="296"/>
    </row>
    <row r="53" spans="2:53" ht="14" thickBot="1">
      <c r="B53" s="8">
        <v>33</v>
      </c>
      <c r="D53" s="64" t="s">
        <v>605</v>
      </c>
      <c r="F53" s="18">
        <f>+'Sch 1.1'!F52</f>
        <v>1.3375544948124221</v>
      </c>
      <c r="G53" s="4"/>
      <c r="H53" s="18">
        <f>+$X$53</f>
        <v>1.3379036836716185</v>
      </c>
      <c r="J53" s="18">
        <f>+$X$53</f>
        <v>1.3379036836716185</v>
      </c>
      <c r="L53" s="18">
        <f>+$X$53</f>
        <v>1.3379036836716185</v>
      </c>
      <c r="N53" s="18">
        <f>+$X$53</f>
        <v>1.3379036836716185</v>
      </c>
      <c r="P53" s="18">
        <f>+$X$53</f>
        <v>1.3379036836716185</v>
      </c>
      <c r="R53" s="18">
        <f>+$X$53</f>
        <v>1.3379036836716185</v>
      </c>
      <c r="T53" s="18">
        <f>+$X$53</f>
        <v>1.3379036836716185</v>
      </c>
      <c r="V53" s="18">
        <f>+$X$53</f>
        <v>1.3379036836716185</v>
      </c>
      <c r="X53" s="292">
        <f>+'Sch 1.1'!J52</f>
        <v>1.3379036836716185</v>
      </c>
      <c r="AA53" s="8">
        <v>33</v>
      </c>
      <c r="AC53" s="64" t="s">
        <v>605</v>
      </c>
      <c r="AE53" s="18">
        <f>+$X$53</f>
        <v>1.3379036836716185</v>
      </c>
      <c r="AG53" s="18">
        <f>+$X$53</f>
        <v>1.3379036836716185</v>
      </c>
      <c r="AI53" s="18">
        <f>+$X$53</f>
        <v>1.3379036836716185</v>
      </c>
      <c r="AK53" s="18">
        <f>+$X$53</f>
        <v>1.3379036836716185</v>
      </c>
      <c r="AM53" s="18">
        <f>+$X$53</f>
        <v>1.3379036836716185</v>
      </c>
      <c r="AO53" s="18">
        <f>+$X$53</f>
        <v>1.3379036836716185</v>
      </c>
      <c r="AQ53" s="18">
        <f>+$X$53</f>
        <v>1.3379036836716185</v>
      </c>
      <c r="AS53" s="18">
        <f>+$X$53</f>
        <v>1.3379036836716185</v>
      </c>
      <c r="AU53" s="18">
        <f>+$X$53</f>
        <v>1.3379036836716185</v>
      </c>
      <c r="AW53" s="18">
        <f>+$X$53</f>
        <v>1.3379036836716185</v>
      </c>
      <c r="AY53" s="18">
        <f>+$X$53</f>
        <v>1.3379036836716185</v>
      </c>
    </row>
    <row r="54" spans="2:53" ht="14">
      <c r="B54" s="8"/>
      <c r="D54" s="34"/>
      <c r="E54" s="23"/>
      <c r="G54" s="4"/>
      <c r="I54" s="23"/>
      <c r="K54" s="23"/>
      <c r="M54" s="23"/>
      <c r="O54" s="23"/>
      <c r="Q54" s="23"/>
      <c r="S54" s="23"/>
      <c r="U54" s="23"/>
      <c r="W54" s="23"/>
      <c r="AA54" s="8"/>
      <c r="AB54" s="23"/>
      <c r="AC54" s="34"/>
      <c r="AD54" s="23"/>
      <c r="AP54" s="23"/>
      <c r="AR54" s="23"/>
      <c r="AT54" s="23"/>
      <c r="AV54" s="23"/>
      <c r="AX54" s="23"/>
    </row>
    <row r="55" spans="2:53" ht="14" thickBot="1">
      <c r="B55" s="8">
        <v>34</v>
      </c>
      <c r="D55" s="37" t="s">
        <v>84</v>
      </c>
      <c r="F55" s="14">
        <f>+F52*F53+1</f>
        <v>34975011.716331147</v>
      </c>
      <c r="G55" s="4"/>
      <c r="H55" s="14">
        <f>+H52*H53</f>
        <v>-1338228.5379802396</v>
      </c>
      <c r="J55" s="14">
        <f>+J52*J53</f>
        <v>-4215475.851924073</v>
      </c>
      <c r="L55" s="14">
        <f>+L52*L53</f>
        <v>-232005.87778549537</v>
      </c>
      <c r="N55" s="14">
        <f>+N52*N53</f>
        <v>-1375319.4980891789</v>
      </c>
      <c r="P55" s="14">
        <f>+P52*P53</f>
        <v>-98618.736225347908</v>
      </c>
      <c r="R55" s="14">
        <f>+R52*R53</f>
        <v>-1276898.5595272679</v>
      </c>
      <c r="T55" s="14">
        <f>+T52*T53</f>
        <v>-339357.0883385975</v>
      </c>
      <c r="V55" s="14">
        <f>+V52*V53</f>
        <v>-240853.23580126796</v>
      </c>
      <c r="X55" s="14">
        <f>+X52*X53</f>
        <v>-9116757.3856714685</v>
      </c>
      <c r="AA55" s="8">
        <v>34</v>
      </c>
      <c r="AC55" s="37" t="s">
        <v>84</v>
      </c>
      <c r="AE55" s="14">
        <f>+AE52*AE53</f>
        <v>-9116757.3856714685</v>
      </c>
      <c r="AG55" s="14">
        <f>+AG52*AG53</f>
        <v>-554243.51660498709</v>
      </c>
      <c r="AI55" s="14">
        <f>+AI52*AI53</f>
        <v>-582069.50571347889</v>
      </c>
      <c r="AK55" s="14">
        <f>+AK52*AK53</f>
        <v>-9014287.9550832547</v>
      </c>
      <c r="AM55" s="14">
        <f>+AM52*AM53</f>
        <v>-233122.22461915101</v>
      </c>
      <c r="AO55" s="14">
        <f>+AO52*AO53</f>
        <v>-3251243.8532968429</v>
      </c>
      <c r="AQ55" s="14">
        <f>+AQ52*AQ53</f>
        <v>380712.5343219121</v>
      </c>
      <c r="AS55" s="14">
        <f>+AS52*AS53</f>
        <v>0</v>
      </c>
      <c r="AU55" s="14">
        <f>+AU52*AU53</f>
        <v>0</v>
      </c>
      <c r="AW55" s="14">
        <f>+AW52*AW53</f>
        <v>-22371011.90666727</v>
      </c>
      <c r="AY55" s="14">
        <f>+AY52*AY53+1</f>
        <v>-586744.3443511388</v>
      </c>
      <c r="BA55" s="296"/>
    </row>
    <row r="56" spans="2:53" ht="14" thickTop="1">
      <c r="B56" s="8"/>
      <c r="D56" s="90" t="s">
        <v>81</v>
      </c>
      <c r="F56" s="280">
        <f>+'Sch 1.1'!F53</f>
        <v>34975012.053885646</v>
      </c>
      <c r="G56" s="4"/>
      <c r="H56" s="4"/>
      <c r="J56" s="4"/>
      <c r="L56" s="4"/>
      <c r="N56" s="4"/>
      <c r="P56" s="4"/>
      <c r="R56" s="4"/>
      <c r="T56" s="4"/>
      <c r="V56" s="4"/>
      <c r="AA56" s="8"/>
      <c r="AC56" s="90" t="s">
        <v>81</v>
      </c>
      <c r="AG56" s="4"/>
      <c r="AI56" s="4"/>
      <c r="AK56" s="4"/>
      <c r="AM56" s="4"/>
      <c r="AO56" s="4"/>
      <c r="AQ56" s="4"/>
      <c r="AS56" s="4"/>
      <c r="AU56" s="4"/>
      <c r="AW56" s="4"/>
      <c r="AY56" s="295">
        <f>+'Sch 1.1'!J53</f>
        <v>-586744.00644745515</v>
      </c>
    </row>
    <row r="57" spans="2:53">
      <c r="B57" s="8">
        <v>35</v>
      </c>
      <c r="D57" s="32" t="s">
        <v>63</v>
      </c>
      <c r="H57" s="74">
        <f>+H55/$F$55</f>
        <v>-3.8262418575699016E-2</v>
      </c>
      <c r="J57" s="74">
        <f>+J55/$F$55</f>
        <v>-0.12052821843532675</v>
      </c>
      <c r="L57" s="74">
        <f>+L55/$F$55</f>
        <v>-6.633475341401047E-3</v>
      </c>
      <c r="N57" s="74">
        <f>+N55/$F$55</f>
        <v>-3.9322917437279677E-2</v>
      </c>
      <c r="P57" s="74">
        <f>+P55/$F$55</f>
        <v>-2.819691299182585E-3</v>
      </c>
      <c r="R57" s="74">
        <f>+R55/$F$55</f>
        <v>-3.6508881537587481E-2</v>
      </c>
      <c r="T57" s="74">
        <f>+T55/$F$55</f>
        <v>-9.7028441645993484E-3</v>
      </c>
      <c r="V57" s="74">
        <f>+V55/$F$55</f>
        <v>-6.8864376016435913E-3</v>
      </c>
      <c r="AA57" s="8">
        <v>35</v>
      </c>
      <c r="AC57" s="32" t="s">
        <v>63</v>
      </c>
      <c r="AG57" s="74">
        <f>+AG55/$F$55</f>
        <v>-1.5846842914599795E-2</v>
      </c>
      <c r="AI57" s="74">
        <f>+AI55/$F$55</f>
        <v>-1.66424391915697E-2</v>
      </c>
      <c r="AK57" s="74">
        <f>+AK55/$F$55</f>
        <v>-0.25773509464970801</v>
      </c>
      <c r="AM57" s="74">
        <f>+AM55/$F$55</f>
        <v>-6.6653937534007311E-3</v>
      </c>
      <c r="AO57" s="74">
        <f>+AO55/$F$55</f>
        <v>-9.295904972574219E-2</v>
      </c>
      <c r="AQ57" s="74">
        <f>+AQ55/$F$55</f>
        <v>1.0885272531421143E-2</v>
      </c>
      <c r="AS57" s="74">
        <f>+AS55/$F$55</f>
        <v>0</v>
      </c>
      <c r="AU57" s="74">
        <f>+AU55/$F$55</f>
        <v>0</v>
      </c>
      <c r="AY57" s="91">
        <f>+AY56-AY55</f>
        <v>0.33790368365589529</v>
      </c>
    </row>
    <row r="58" spans="2:53">
      <c r="B58" s="8"/>
      <c r="AA58" s="8"/>
    </row>
    <row r="59" spans="2:53">
      <c r="B59" s="8"/>
      <c r="F59" s="32" t="s">
        <v>43</v>
      </c>
      <c r="H59" s="32" t="str">
        <f>+'3.1 Slippage'!B7</f>
        <v>Slippage</v>
      </c>
      <c r="P59" s="32" t="s">
        <v>51</v>
      </c>
      <c r="R59" s="32" t="str">
        <f>+'3.8 D&amp;O'!B7</f>
        <v>Directors and Officers Liability Insurance</v>
      </c>
      <c r="AE59" s="26" t="s">
        <v>57</v>
      </c>
      <c r="AG59" s="32" t="str">
        <f>+'3.12 Econ Dev'!B7</f>
        <v>Economic Development</v>
      </c>
      <c r="AM59" s="26" t="s">
        <v>347</v>
      </c>
      <c r="AO59" s="32" t="str">
        <f>+'3.16 Storm'!B7</f>
        <v>Amortization of Storm Damage Regulatory Asset</v>
      </c>
    </row>
    <row r="60" spans="2:53">
      <c r="B60" s="8"/>
      <c r="F60" s="32" t="s">
        <v>47</v>
      </c>
      <c r="H60" s="32" t="str">
        <f>+'3.5 CWC'!B7</f>
        <v xml:space="preserve">Working Capital </v>
      </c>
      <c r="P60" s="32" t="s">
        <v>54</v>
      </c>
      <c r="R60" s="32" t="str">
        <f>+'3.9 Dues'!B7</f>
        <v>Dues for EEI and EPRI</v>
      </c>
      <c r="AE60" s="26" t="s">
        <v>58</v>
      </c>
      <c r="AG60" s="32" t="str">
        <f>+'3.13 Ed'!B7</f>
        <v>Customer Education</v>
      </c>
      <c r="AM60" s="26" t="s">
        <v>349</v>
      </c>
      <c r="AO60" s="32" t="str">
        <f>+'3.17 EDIT'!B7</f>
        <v>Amortization of Tax Reform Regulatory Liability</v>
      </c>
    </row>
    <row r="61" spans="2:53">
      <c r="B61" s="8"/>
      <c r="F61" s="32" t="s">
        <v>48</v>
      </c>
      <c r="H61" s="32" t="str">
        <f>+'3.6 Late Pymt'!B7</f>
        <v>Late Payment Credit</v>
      </c>
      <c r="P61" s="32" t="s">
        <v>55</v>
      </c>
      <c r="R61" s="32" t="str">
        <f>+'3.10 Legal'!B7</f>
        <v>Outside Counsel Expense</v>
      </c>
      <c r="AE61" s="26" t="s">
        <v>60</v>
      </c>
      <c r="AG61" s="32" t="str">
        <f>+'3.15 MMD'!B7</f>
        <v xml:space="preserve">Merger Mitigation Depancaking </v>
      </c>
      <c r="AM61" s="26" t="s">
        <v>352</v>
      </c>
      <c r="AO61" s="32" t="str">
        <f>+'3.18 Int Sychn'!B7</f>
        <v>Interest Synchronization</v>
      </c>
    </row>
    <row r="62" spans="2:53">
      <c r="B62" s="8"/>
      <c r="F62" s="32" t="s">
        <v>50</v>
      </c>
      <c r="H62" s="32" t="str">
        <f>+'3.7 401(k)'!B7</f>
        <v>Employee Retirement Plans</v>
      </c>
      <c r="P62" s="32" t="s">
        <v>56</v>
      </c>
      <c r="R62" s="32" t="str">
        <f>+'3.11 Rebate'!B7</f>
        <v>Credit Card Rebate</v>
      </c>
    </row>
    <row r="63" spans="2:53">
      <c r="B63" s="8"/>
    </row>
    <row r="64" spans="2:53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</sheetData>
  <mergeCells count="2">
    <mergeCell ref="B1:X1"/>
    <mergeCell ref="AA1:AY1"/>
  </mergeCells>
  <phoneticPr fontId="4" type="noConversion"/>
  <printOptions horizontalCentered="1"/>
  <pageMargins left="0.7" right="0.7" top="0.75" bottom="0.75" header="0.3" footer="0.3"/>
  <pageSetup scale="52" fitToHeight="2" orientation="landscape"/>
  <colBreaks count="2" manualBreakCount="2">
    <brk id="25" max="1048575" man="1"/>
    <brk id="52" max="1048575" man="1"/>
  </colBreaks>
  <ignoredErrors>
    <ignoredError sqref="AW23:AW27 AW36:AW39 AW31" evalError="1"/>
    <ignoredError sqref="AY19:AY21 AE19:AE21 AW21 AW19" formula="1"/>
    <ignoredError sqref="AY31 AY36:AY37" evalError="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7</vt:i4>
      </vt:variant>
    </vt:vector>
  </HeadingPairs>
  <TitlesOfParts>
    <vt:vector size="38" baseType="lpstr">
      <vt:lpstr>Tables</vt:lpstr>
      <vt:lpstr>Index</vt:lpstr>
      <vt:lpstr>Sch 1</vt:lpstr>
      <vt:lpstr>Sch 1.1</vt:lpstr>
      <vt:lpstr>Sch 1.2</vt:lpstr>
      <vt:lpstr>Sch 1.2.1</vt:lpstr>
      <vt:lpstr>Sch 2</vt:lpstr>
      <vt:lpstr>Sch 2.1</vt:lpstr>
      <vt:lpstr>Sch 3</vt:lpstr>
      <vt:lpstr>3.1 Slippage</vt:lpstr>
      <vt:lpstr>3.2</vt:lpstr>
      <vt:lpstr>3.3</vt:lpstr>
      <vt:lpstr>3.4</vt:lpstr>
      <vt:lpstr>3.5 CWC</vt:lpstr>
      <vt:lpstr>3.5.1 CWC WP</vt:lpstr>
      <vt:lpstr>3.5.1 WP Other O&amp;M Lead</vt:lpstr>
      <vt:lpstr>3.6 Late Pymt</vt:lpstr>
      <vt:lpstr>3.7 401(k)</vt:lpstr>
      <vt:lpstr>3.8 D&amp;O</vt:lpstr>
      <vt:lpstr>3.9 Dues</vt:lpstr>
      <vt:lpstr>3.10 Legal</vt:lpstr>
      <vt:lpstr>3.11 Rebate</vt:lpstr>
      <vt:lpstr>3.12 Econ Dev</vt:lpstr>
      <vt:lpstr>3.13 Ed</vt:lpstr>
      <vt:lpstr>3.14</vt:lpstr>
      <vt:lpstr>3.15 MMD</vt:lpstr>
      <vt:lpstr>3.16 Storm</vt:lpstr>
      <vt:lpstr>3.17 EDIT</vt:lpstr>
      <vt:lpstr>3.18 Int Sychn</vt:lpstr>
      <vt:lpstr>Template Exp</vt:lpstr>
      <vt:lpstr>Template RB-Exp</vt:lpstr>
      <vt:lpstr>'3.1 Slippage'!Print_Area</vt:lpstr>
      <vt:lpstr>'3.18 Int Sychn'!Print_Area</vt:lpstr>
      <vt:lpstr>'3.5 CWC'!Print_Area</vt:lpstr>
      <vt:lpstr>'Sch 1'!Print_Area</vt:lpstr>
      <vt:lpstr>'Sch 1.1'!Print_Area</vt:lpstr>
      <vt:lpstr>Tables!Print_Area</vt:lpstr>
      <vt:lpstr>Index!Print_Titles</vt:lpstr>
    </vt:vector>
  </TitlesOfParts>
  <Company>Blue Ridge Consulting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 Mullinax</dc:creator>
  <cp:lastModifiedBy>Donna H. Mullinax</cp:lastModifiedBy>
  <cp:lastPrinted>2019-01-15T15:14:38Z</cp:lastPrinted>
  <dcterms:created xsi:type="dcterms:W3CDTF">2006-01-30T18:40:13Z</dcterms:created>
  <dcterms:modified xsi:type="dcterms:W3CDTF">2019-01-15T20:43:35Z</dcterms:modified>
</cp:coreProperties>
</file>