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200" windowHeight="24900"/>
  </bookViews>
  <sheets>
    <sheet name="LGE" sheetId="1" r:id="rId1"/>
  </sheets>
  <definedNames>
    <definedName name="_xlnm.Print_Area" localSheetId="0">LGE!$B$1:$F$57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E28" i="1"/>
  <c r="F28" i="1" s="1"/>
  <c r="F18" i="1"/>
  <c r="E17" i="1"/>
  <c r="F17" i="1" s="1"/>
  <c r="E12" i="1"/>
  <c r="F12" i="1" s="1"/>
  <c r="E11" i="1"/>
  <c r="E34" i="1" s="1"/>
  <c r="F34" i="1" s="1"/>
  <c r="F11" i="1"/>
  <c r="E10" i="1"/>
  <c r="E33" i="1" s="1"/>
  <c r="F33" i="1" s="1"/>
  <c r="D36" i="1"/>
  <c r="F35" i="1"/>
  <c r="D19" i="1"/>
  <c r="F36" i="1" l="1"/>
  <c r="E24" i="1"/>
  <c r="F24" i="1" s="1"/>
  <c r="E29" i="1"/>
  <c r="F29" i="1" s="1"/>
  <c r="F10" i="1"/>
  <c r="E16" i="1"/>
  <c r="D30" i="1"/>
  <c r="F13" i="1"/>
  <c r="D13" i="1"/>
  <c r="E25" i="1" l="1"/>
  <c r="F25" i="1" s="1"/>
  <c r="F16" i="1"/>
  <c r="F19" i="1" s="1"/>
  <c r="E26" i="1"/>
  <c r="F26" i="1" s="1"/>
  <c r="F61" i="1"/>
  <c r="G61" i="1" s="1"/>
  <c r="D21" i="1"/>
  <c r="H62" i="1" l="1"/>
  <c r="H63" i="1" s="1"/>
  <c r="F55" i="1"/>
  <c r="F48" i="1"/>
  <c r="F30" i="1" l="1"/>
  <c r="F47" i="1" s="1"/>
  <c r="F21" i="1"/>
  <c r="F41" i="1" l="1"/>
  <c r="F40" i="1"/>
  <c r="F43" i="1" l="1"/>
  <c r="F42" i="1" s="1"/>
  <c r="F45" i="1" s="1"/>
  <c r="F50" i="1" s="1"/>
  <c r="F52" i="1" s="1"/>
  <c r="F57" i="1" s="1"/>
</calcChain>
</file>

<file path=xl/sharedStrings.xml><?xml version="1.0" encoding="utf-8"?>
<sst xmlns="http://schemas.openxmlformats.org/spreadsheetml/2006/main" count="51" uniqueCount="43">
  <si>
    <t>Residential</t>
  </si>
  <si>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</si>
  <si>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</si>
  <si>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</si>
  <si>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</si>
  <si>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</si>
  <si>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</si>
  <si>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</si>
  <si>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</si>
  <si>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Meter Reading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</si>
  <si>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</si>
  <si>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</si>
  <si>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</si>
  <si>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</si>
  <si>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</si>
  <si>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</si>
  <si>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</si>
  <si>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</si>
  <si>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</si>
  <si>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</si>
  <si>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</si>
  <si>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</si>
  <si>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</si>
  <si>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</si>
  <si>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Total</t>
  </si>
  <si>
    <t>Cost of Capital</t>
  </si>
  <si>
    <t>Debt</t>
  </si>
  <si>
    <t>Equity</t>
  </si>
  <si>
    <t>Gas Residential Customer Cost Analysis</t>
  </si>
  <si>
    <t>House Regulators</t>
  </si>
  <si>
    <t>Meter &amp; House Regulator Expense</t>
  </si>
  <si>
    <t>Customer Installations</t>
  </si>
  <si>
    <t>Maintenance of Services</t>
  </si>
  <si>
    <t xml:space="preserve">Maintenance of Meters &amp; House Regulators </t>
  </si>
  <si>
    <t>LOUISVILLE GAS &amp; ELECTRIC - GAS OPERATIONS</t>
  </si>
  <si>
    <t>Allocation</t>
  </si>
  <si>
    <t xml:space="preserve">Company </t>
  </si>
  <si>
    <t>Factor</t>
  </si>
  <si>
    <t xml:space="preserve">Depreciation Expense </t>
  </si>
  <si>
    <t>Included in Meters</t>
  </si>
  <si>
    <t>State Income Taxes @ 5.00%</t>
  </si>
  <si>
    <t>Federal Income Tax @21.00%</t>
  </si>
  <si>
    <t>Schedule GAW-6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</si>
</sst>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 wrapText="1"/>
    </xf>
    <xf numFmtId="0" fontId="6" fillId="0" borderId="0" xfId="3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3" applyNumberFormat="1" applyFont="1" applyAlignment="1"/>
    <xf numFmtId="0" fontId="5" fillId="0" borderId="0" xfId="3" applyNumberFormat="1" applyFont="1" applyBorder="1" applyAlignment="1"/>
    <xf numFmtId="1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right"/>
    </xf>
    <xf numFmtId="0" fontId="6" fillId="0" borderId="0" xfId="3" applyNumberFormat="1" applyFont="1" applyAlignment="1"/>
    <xf numFmtId="164" fontId="6" fillId="0" borderId="0" xfId="3" applyNumberFormat="1" applyFont="1" applyAlignment="1"/>
    <xf numFmtId="164" fontId="2" fillId="0" borderId="0" xfId="0" applyNumberFormat="1" applyFont="1"/>
    <xf numFmtId="0" fontId="5" fillId="0" borderId="2" xfId="3" applyNumberFormat="1" applyFont="1" applyBorder="1" applyAlignment="1"/>
    <xf numFmtId="164" fontId="5" fillId="0" borderId="2" xfId="3" applyNumberFormat="1" applyFont="1" applyBorder="1" applyAlignment="1"/>
    <xf numFmtId="164" fontId="5" fillId="0" borderId="0" xfId="3" applyNumberFormat="1" applyFont="1" applyAlignment="1">
      <alignment horizontal="center"/>
    </xf>
    <xf numFmtId="164" fontId="5" fillId="0" borderId="0" xfId="3" applyNumberFormat="1" applyFont="1" applyAlignment="1"/>
    <xf numFmtId="165" fontId="5" fillId="0" borderId="2" xfId="3" applyNumberFormat="1" applyFont="1" applyBorder="1" applyAlignment="1"/>
    <xf numFmtId="165" fontId="6" fillId="0" borderId="0" xfId="3" applyNumberFormat="1" applyFont="1" applyAlignment="1"/>
    <xf numFmtId="165" fontId="5" fillId="0" borderId="0" xfId="3" applyNumberFormat="1" applyFont="1" applyAlignment="1"/>
    <xf numFmtId="164" fontId="6" fillId="0" borderId="1" xfId="3" applyNumberFormat="1" applyFont="1" applyBorder="1" applyAlignment="1"/>
    <xf numFmtId="165" fontId="2" fillId="0" borderId="0" xfId="0" applyNumberFormat="1" applyFont="1"/>
    <xf numFmtId="3" fontId="6" fillId="0" borderId="0" xfId="3" applyNumberFormat="1" applyFont="1" applyAlignment="1"/>
    <xf numFmtId="3" fontId="2" fillId="0" borderId="0" xfId="0" applyNumberFormat="1" applyFont="1"/>
    <xf numFmtId="3" fontId="6" fillId="0" borderId="0" xfId="3" applyNumberFormat="1" applyFont="1"/>
    <xf numFmtId="0" fontId="6" fillId="0" borderId="3" xfId="3" applyFont="1" applyBorder="1"/>
    <xf numFmtId="0" fontId="2" fillId="0" borderId="3" xfId="0" applyFont="1" applyBorder="1"/>
    <xf numFmtId="0" fontId="5" fillId="0" borderId="0" xfId="3" applyFont="1"/>
    <xf numFmtId="7" fontId="6" fillId="0" borderId="0" xfId="1" applyNumberFormat="1" applyFont="1"/>
    <xf numFmtId="166" fontId="2" fillId="0" borderId="0" xfId="0" applyNumberFormat="1" applyFont="1"/>
    <xf numFmtId="10" fontId="2" fillId="0" borderId="0" xfId="2" applyNumberFormat="1" applyFont="1"/>
    <xf numFmtId="10" fontId="2" fillId="0" borderId="1" xfId="2" applyNumberFormat="1" applyFont="1" applyBorder="1"/>
    <xf numFmtId="0" fontId="5" fillId="0" borderId="0" xfId="3" applyNumberFormat="1" applyFont="1" applyAlignment="1">
      <alignment wrapText="1"/>
    </xf>
    <xf numFmtId="0" fontId="5" fillId="0" borderId="1" xfId="3" applyNumberFormat="1" applyFont="1" applyBorder="1" applyAlignment="1"/>
    <xf numFmtId="164" fontId="6" fillId="0" borderId="0" xfId="3" applyNumberFormat="1" applyFont="1" applyAlignment="1">
      <alignment horizontal="center"/>
    </xf>
    <xf numFmtId="167" fontId="3" fillId="0" borderId="0" xfId="2" applyNumberFormat="1" applyFont="1"/>
    <xf numFmtId="167" fontId="6" fillId="0" borderId="0" xfId="2" applyNumberFormat="1" applyFont="1" applyAlignment="1">
      <alignment horizontal="centerContinuous" wrapText="1"/>
    </xf>
    <xf numFmtId="167" fontId="3" fillId="0" borderId="0" xfId="2" applyNumberFormat="1" applyFont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167" fontId="5" fillId="0" borderId="0" xfId="2" applyNumberFormat="1" applyFont="1" applyBorder="1" applyAlignment="1"/>
    <xf numFmtId="167" fontId="6" fillId="0" borderId="0" xfId="2" applyNumberFormat="1" applyFont="1" applyAlignment="1"/>
    <xf numFmtId="167" fontId="5" fillId="0" borderId="2" xfId="2" applyNumberFormat="1" applyFont="1" applyBorder="1" applyAlignment="1"/>
    <xf numFmtId="167" fontId="6" fillId="0" borderId="0" xfId="2" applyNumberFormat="1" applyFont="1"/>
    <xf numFmtId="167" fontId="5" fillId="0" borderId="0" xfId="2" applyNumberFormat="1" applyFont="1" applyAlignment="1"/>
    <xf numFmtId="167" fontId="6" fillId="0" borderId="1" xfId="2" applyNumberFormat="1" applyFont="1" applyBorder="1" applyAlignment="1"/>
    <xf numFmtId="167" fontId="2" fillId="0" borderId="0" xfId="2" applyNumberFormat="1" applyFont="1"/>
    <xf numFmtId="167" fontId="6" fillId="0" borderId="3" xfId="2" applyNumberFormat="1" applyFont="1" applyBorder="1"/>
    <xf numFmtId="167" fontId="2" fillId="0" borderId="1" xfId="2" applyNumberFormat="1" applyFont="1" applyBorder="1"/>
    <xf numFmtId="164" fontId="2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0" xfId="3" applyNumberFormat="1" applyFont="1" applyAlignment="1">
      <alignment horizontal="center" wrapText="1"/>
    </xf>
    <xf numFmtId="0" fontId="5" fillId="0" borderId="1" xfId="3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pane xSplit="3" ySplit="8" topLeftCell="D46" activePane="bottomRight" state="frozen"/>
      <selection pane="topRight" activeCell="D1" sqref="D1"/>
      <selection pane="bottomLeft" activeCell="A9" sqref="A9"/>
      <selection pane="bottomRight" activeCell="F2" sqref="F2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50" style="1" bestFit="1" customWidth="1"/>
    <col min="4" max="4" width="16.28515625" style="1" bestFit="1" customWidth="1"/>
    <col min="5" max="5" width="12.7109375" style="52" customWidth="1"/>
    <col min="6" max="6" width="16.28515625" style="1" bestFit="1" customWidth="1"/>
    <col min="7" max="7" width="17.85546875" style="1" customWidth="1"/>
    <col min="8" max="9" width="9.140625" style="1"/>
    <col min="10" max="10" width="10.140625" style="1" bestFit="1" customWidth="1"/>
    <col min="11" max="11" width="11.140625" style="1" bestFit="1" customWidth="1"/>
    <col min="12" max="12" width="12.7109375" style="1" bestFit="1" customWidth="1"/>
    <col min="13" max="16384" width="9.140625" style="1"/>
  </cols>
  <sheetData>
    <row r="1" spans="1:7" x14ac:dyDescent="0.2">
      <c r="D1" s="2"/>
      <c r="E1" s="42"/>
      <c r="F1" s="2" t="s">
        <v>42</v>
      </c>
    </row>
    <row r="2" spans="1:7" x14ac:dyDescent="0.2">
      <c r="D2" s="2"/>
      <c r="E2" s="42"/>
      <c r="G2" s="2"/>
    </row>
    <row r="3" spans="1:7" x14ac:dyDescent="0.2">
      <c r="D3" s="2"/>
      <c r="E3" s="42"/>
      <c r="F3" s="2"/>
    </row>
    <row r="4" spans="1:7" x14ac:dyDescent="0.2">
      <c r="A4" s="3"/>
      <c r="B4" s="4"/>
      <c r="C4" s="4"/>
      <c r="D4" s="4"/>
      <c r="E4" s="43"/>
    </row>
    <row r="5" spans="1:7" ht="15.75" customHeight="1" x14ac:dyDescent="0.2">
      <c r="A5" s="3"/>
      <c r="B5" s="57" t="s">
        <v>34</v>
      </c>
      <c r="C5" s="57"/>
      <c r="D5" s="57"/>
      <c r="E5" s="57"/>
      <c r="F5" s="57"/>
      <c r="G5" s="39"/>
    </row>
    <row r="6" spans="1:7" ht="15.75" customHeight="1" x14ac:dyDescent="0.2">
      <c r="A6" s="3"/>
      <c r="B6" s="58" t="s">
        <v>28</v>
      </c>
      <c r="C6" s="58"/>
      <c r="D6" s="58"/>
      <c r="E6" s="58"/>
      <c r="F6" s="58"/>
      <c r="G6" s="40"/>
    </row>
    <row r="7" spans="1:7" x14ac:dyDescent="0.2">
      <c r="A7" s="3"/>
      <c r="B7" s="5"/>
      <c r="C7" s="3"/>
      <c r="D7" s="6" t="s">
        <v>24</v>
      </c>
      <c r="E7" s="44" t="s">
        <v>35</v>
      </c>
      <c r="F7" s="7"/>
      <c r="G7" s="7"/>
    </row>
    <row r="8" spans="1:7" s="12" customFormat="1" x14ac:dyDescent="0.2">
      <c r="A8" s="8"/>
      <c r="B8" s="9"/>
      <c r="C8" s="8"/>
      <c r="D8" s="10" t="s">
        <v>36</v>
      </c>
      <c r="E8" s="45" t="s">
        <v>37</v>
      </c>
      <c r="F8" s="11" t="s">
        <v>0</v>
      </c>
      <c r="G8" s="11"/>
    </row>
    <row r="9" spans="1:7" x14ac:dyDescent="0.2">
      <c r="A9" s="3"/>
      <c r="B9" s="13" t="s">
        <v>1</v>
      </c>
      <c r="C9" s="13"/>
      <c r="D9" s="14"/>
      <c r="E9" s="46"/>
    </row>
    <row r="10" spans="1:7" x14ac:dyDescent="0.2">
      <c r="A10" s="15"/>
      <c r="B10" s="16">
        <v>380</v>
      </c>
      <c r="C10" s="17" t="s">
        <v>2</v>
      </c>
      <c r="D10" s="18">
        <v>390754787</v>
      </c>
      <c r="E10" s="47">
        <f>+(215982417/291897259)</f>
        <v>0.73992615668926165</v>
      </c>
      <c r="F10" s="19">
        <f>D10*E10</f>
        <v>289129687.75284106</v>
      </c>
      <c r="G10" s="19"/>
    </row>
    <row r="11" spans="1:7" x14ac:dyDescent="0.2">
      <c r="A11" s="15"/>
      <c r="B11" s="16">
        <v>381</v>
      </c>
      <c r="C11" s="17" t="s">
        <v>3</v>
      </c>
      <c r="D11" s="18">
        <v>64986993</v>
      </c>
      <c r="E11" s="47">
        <f>103186281/156342229</f>
        <v>0.66000262155658529</v>
      </c>
      <c r="F11" s="19">
        <f>D11*E11</f>
        <v>42891585.747079454</v>
      </c>
      <c r="G11" s="19"/>
    </row>
    <row r="12" spans="1:7" x14ac:dyDescent="0.2">
      <c r="A12" s="15"/>
      <c r="B12" s="17">
        <v>383</v>
      </c>
      <c r="C12" s="17" t="s">
        <v>29</v>
      </c>
      <c r="D12" s="18">
        <v>26848132</v>
      </c>
      <c r="E12" s="47">
        <f>E11</f>
        <v>0.66000262155658529</v>
      </c>
      <c r="F12" s="19">
        <f>D12*E12</f>
        <v>17719837.503897246</v>
      </c>
      <c r="G12" s="19"/>
    </row>
    <row r="13" spans="1:7" x14ac:dyDescent="0.2">
      <c r="A13" s="15"/>
      <c r="B13" s="13"/>
      <c r="C13" s="20" t="s">
        <v>4</v>
      </c>
      <c r="D13" s="21">
        <f>SUM(D10:D12)</f>
        <v>482589912</v>
      </c>
      <c r="E13" s="48"/>
      <c r="F13" s="21">
        <f>SUM(F10:F12)</f>
        <v>349741111.00381774</v>
      </c>
      <c r="G13" s="21"/>
    </row>
    <row r="14" spans="1:7" x14ac:dyDescent="0.2">
      <c r="A14" s="15"/>
      <c r="B14" s="13"/>
      <c r="C14" s="5"/>
      <c r="D14" s="18"/>
      <c r="E14" s="47"/>
    </row>
    <row r="15" spans="1:7" x14ac:dyDescent="0.2">
      <c r="A15" s="3"/>
      <c r="B15" s="13" t="s">
        <v>5</v>
      </c>
      <c r="C15" s="5"/>
      <c r="D15" s="5"/>
      <c r="E15" s="49"/>
    </row>
    <row r="16" spans="1:7" s="19" customFormat="1" x14ac:dyDescent="0.2">
      <c r="A16" s="22"/>
      <c r="B16" s="23"/>
      <c r="C16" s="18" t="s">
        <v>2</v>
      </c>
      <c r="D16" s="18">
        <v>117005313</v>
      </c>
      <c r="E16" s="47">
        <f>E10</f>
        <v>0.73992615668926165</v>
      </c>
      <c r="F16" s="19">
        <f>D16*E16</f>
        <v>86575291.560314104</v>
      </c>
    </row>
    <row r="17" spans="1:7" s="19" customFormat="1" x14ac:dyDescent="0.2">
      <c r="A17" s="22"/>
      <c r="B17" s="23"/>
      <c r="C17" s="18" t="s">
        <v>3</v>
      </c>
      <c r="D17" s="18">
        <v>24334111</v>
      </c>
      <c r="E17" s="47">
        <f>E11</f>
        <v>0.66000262155658529</v>
      </c>
      <c r="F17" s="19">
        <f>D17*E17</f>
        <v>16060577.05324894</v>
      </c>
    </row>
    <row r="18" spans="1:7" s="19" customFormat="1" x14ac:dyDescent="0.2">
      <c r="A18" s="22"/>
      <c r="B18" s="23"/>
      <c r="C18" s="18" t="s">
        <v>29</v>
      </c>
      <c r="D18" s="41" t="s">
        <v>39</v>
      </c>
      <c r="E18" s="47"/>
      <c r="F18" s="19" t="str">
        <f>D18</f>
        <v>Included in Meters</v>
      </c>
    </row>
    <row r="19" spans="1:7" x14ac:dyDescent="0.2">
      <c r="A19" s="15"/>
      <c r="B19" s="13"/>
      <c r="C19" s="20" t="s">
        <v>6</v>
      </c>
      <c r="D19" s="24">
        <f>D16+D17</f>
        <v>141339424</v>
      </c>
      <c r="E19" s="48"/>
      <c r="F19" s="24">
        <f>F16+F17</f>
        <v>102635868.61356305</v>
      </c>
      <c r="G19" s="24"/>
    </row>
    <row r="20" spans="1:7" x14ac:dyDescent="0.2">
      <c r="A20" s="15"/>
      <c r="B20" s="13"/>
      <c r="C20" s="5"/>
      <c r="D20" s="25"/>
      <c r="E20" s="47"/>
    </row>
    <row r="21" spans="1:7" x14ac:dyDescent="0.2">
      <c r="A21" s="15"/>
      <c r="B21" s="13" t="s">
        <v>7</v>
      </c>
      <c r="C21" s="5"/>
      <c r="D21" s="26">
        <f>D13-D19</f>
        <v>341250488</v>
      </c>
      <c r="E21" s="50"/>
      <c r="F21" s="26">
        <f>F13-F19</f>
        <v>247105242.39025468</v>
      </c>
      <c r="G21" s="26"/>
    </row>
    <row r="22" spans="1:7" x14ac:dyDescent="0.2">
      <c r="A22" s="15"/>
      <c r="B22" s="13"/>
      <c r="C22" s="5"/>
      <c r="D22" s="18"/>
      <c r="E22" s="47"/>
    </row>
    <row r="23" spans="1:7" x14ac:dyDescent="0.2">
      <c r="A23" s="3"/>
      <c r="B23" s="13" t="s">
        <v>8</v>
      </c>
      <c r="C23" s="5"/>
      <c r="D23" s="18"/>
      <c r="E23" s="47"/>
    </row>
    <row r="24" spans="1:7" x14ac:dyDescent="0.2">
      <c r="A24" s="3"/>
      <c r="B24" s="17">
        <v>878</v>
      </c>
      <c r="C24" s="17" t="s">
        <v>30</v>
      </c>
      <c r="D24" s="18">
        <v>2193210</v>
      </c>
      <c r="E24" s="47">
        <f>E17</f>
        <v>0.66000262155658529</v>
      </c>
      <c r="F24" s="19">
        <f>D24*E24</f>
        <v>1447524.3496241185</v>
      </c>
      <c r="G24" s="19"/>
    </row>
    <row r="25" spans="1:7" x14ac:dyDescent="0.2">
      <c r="A25" s="3"/>
      <c r="B25" s="17">
        <v>879</v>
      </c>
      <c r="C25" s="17" t="s">
        <v>31</v>
      </c>
      <c r="D25" s="18">
        <v>179575</v>
      </c>
      <c r="E25" s="47">
        <f>E16</f>
        <v>0.73992615668926165</v>
      </c>
      <c r="F25" s="19">
        <f>D25*E25</f>
        <v>132872.23958747415</v>
      </c>
      <c r="G25" s="19"/>
    </row>
    <row r="26" spans="1:7" x14ac:dyDescent="0.2">
      <c r="A26" s="3"/>
      <c r="B26" s="17">
        <v>892</v>
      </c>
      <c r="C26" s="17" t="s">
        <v>32</v>
      </c>
      <c r="D26" s="18">
        <v>784684</v>
      </c>
      <c r="E26" s="47">
        <f>E16</f>
        <v>0.73992615668926165</v>
      </c>
      <c r="F26" s="19">
        <f>D26*E26</f>
        <v>580608.21633555659</v>
      </c>
      <c r="G26" s="19"/>
    </row>
    <row r="27" spans="1:7" x14ac:dyDescent="0.2">
      <c r="A27" s="3"/>
      <c r="B27" s="17">
        <v>893</v>
      </c>
      <c r="C27" s="17" t="s">
        <v>33</v>
      </c>
      <c r="D27" s="18">
        <v>0</v>
      </c>
      <c r="E27" s="47"/>
      <c r="F27" s="19">
        <v>0</v>
      </c>
      <c r="G27" s="19"/>
    </row>
    <row r="28" spans="1:7" x14ac:dyDescent="0.2">
      <c r="A28" s="3"/>
      <c r="B28" s="17">
        <v>902</v>
      </c>
      <c r="C28" s="17" t="s">
        <v>9</v>
      </c>
      <c r="D28" s="18">
        <v>2708980</v>
      </c>
      <c r="E28" s="47">
        <f>+(298980/350423)</f>
        <v>0.85319742140213395</v>
      </c>
      <c r="F28" s="19">
        <f>D28*E28</f>
        <v>2311294.7506299526</v>
      </c>
      <c r="G28" s="19"/>
    </row>
    <row r="29" spans="1:7" x14ac:dyDescent="0.2">
      <c r="A29" s="3"/>
      <c r="B29" s="17">
        <v>903</v>
      </c>
      <c r="C29" s="17" t="s">
        <v>10</v>
      </c>
      <c r="D29" s="18">
        <v>5535920</v>
      </c>
      <c r="E29" s="47">
        <f>E28</f>
        <v>0.85319742140213395</v>
      </c>
      <c r="F29" s="19">
        <f>D29*E29</f>
        <v>4723232.6690885015</v>
      </c>
      <c r="G29" s="19"/>
    </row>
    <row r="30" spans="1:7" x14ac:dyDescent="0.2">
      <c r="A30" s="15"/>
      <c r="B30" s="13"/>
      <c r="C30" s="20" t="s">
        <v>11</v>
      </c>
      <c r="D30" s="21">
        <f>SUM(D24:D29)</f>
        <v>11402369</v>
      </c>
      <c r="E30" s="48"/>
      <c r="F30" s="21">
        <f>SUM(F24:F29)</f>
        <v>9195532.2252656035</v>
      </c>
      <c r="G30" s="21"/>
    </row>
    <row r="31" spans="1:7" x14ac:dyDescent="0.2">
      <c r="A31" s="15"/>
      <c r="B31" s="13"/>
      <c r="C31" s="5"/>
      <c r="D31" s="18"/>
      <c r="E31" s="47"/>
    </row>
    <row r="32" spans="1:7" x14ac:dyDescent="0.2">
      <c r="A32" s="15"/>
      <c r="B32" s="13" t="s">
        <v>38</v>
      </c>
      <c r="C32" s="5"/>
      <c r="D32" s="18"/>
      <c r="E32" s="47"/>
    </row>
    <row r="33" spans="1:12" x14ac:dyDescent="0.2">
      <c r="A33" s="15"/>
      <c r="B33" s="17"/>
      <c r="C33" s="17" t="s">
        <v>2</v>
      </c>
      <c r="D33" s="18">
        <v>12660955</v>
      </c>
      <c r="E33" s="47">
        <f>E10</f>
        <v>0.73992615668926165</v>
      </c>
      <c r="F33" s="19">
        <f>D33*E33</f>
        <v>9368171.7731656916</v>
      </c>
      <c r="G33" s="18"/>
      <c r="H33" s="19"/>
    </row>
    <row r="34" spans="1:12" x14ac:dyDescent="0.2">
      <c r="A34" s="15"/>
      <c r="B34" s="17"/>
      <c r="C34" s="17" t="s">
        <v>3</v>
      </c>
      <c r="D34" s="18">
        <v>2488624</v>
      </c>
      <c r="E34" s="47">
        <f>E11</f>
        <v>0.66000262155658529</v>
      </c>
      <c r="F34" s="19">
        <f>D34*E34</f>
        <v>1642498.3640686355</v>
      </c>
      <c r="G34" s="18"/>
      <c r="H34" s="19"/>
    </row>
    <row r="35" spans="1:12" x14ac:dyDescent="0.2">
      <c r="A35" s="15"/>
      <c r="B35" s="17"/>
      <c r="C35" s="17" t="s">
        <v>29</v>
      </c>
      <c r="D35" s="27" t="s">
        <v>39</v>
      </c>
      <c r="E35" s="51"/>
      <c r="F35" s="55" t="str">
        <f>D35</f>
        <v>Included in Meters</v>
      </c>
      <c r="G35" s="18"/>
      <c r="H35" s="19"/>
    </row>
    <row r="36" spans="1:12" x14ac:dyDescent="0.2">
      <c r="A36" s="15"/>
      <c r="B36" s="13"/>
      <c r="C36" s="20" t="s">
        <v>13</v>
      </c>
      <c r="D36" s="19">
        <f>D33+D34</f>
        <v>15149579</v>
      </c>
      <c r="F36" s="19">
        <f>F33+F34</f>
        <v>11010670.137234326</v>
      </c>
      <c r="G36" s="19"/>
    </row>
    <row r="37" spans="1:12" x14ac:dyDescent="0.2">
      <c r="A37" s="15"/>
      <c r="B37" s="13"/>
      <c r="C37" s="5"/>
      <c r="D37" s="18"/>
      <c r="E37" s="47"/>
    </row>
    <row r="38" spans="1:12" x14ac:dyDescent="0.2">
      <c r="A38" s="15"/>
      <c r="B38" s="13" t="s">
        <v>14</v>
      </c>
      <c r="C38" s="5"/>
      <c r="D38" s="5"/>
      <c r="E38" s="49"/>
    </row>
    <row r="39" spans="1:12" x14ac:dyDescent="0.2">
      <c r="A39" s="15"/>
      <c r="B39" s="13"/>
      <c r="C39" s="5"/>
      <c r="D39" s="5"/>
      <c r="E39" s="49"/>
    </row>
    <row r="40" spans="1:12" x14ac:dyDescent="0.2">
      <c r="A40" s="15"/>
      <c r="B40" s="13"/>
      <c r="C40" s="17" t="s">
        <v>15</v>
      </c>
      <c r="D40" s="25"/>
      <c r="E40" s="47"/>
      <c r="F40" s="19">
        <f>F21*H61</f>
        <v>5213920.6144343736</v>
      </c>
      <c r="G40" s="28"/>
    </row>
    <row r="41" spans="1:12" x14ac:dyDescent="0.2">
      <c r="A41" s="15"/>
      <c r="B41" s="13"/>
      <c r="C41" s="17" t="s">
        <v>16</v>
      </c>
      <c r="D41" s="25"/>
      <c r="E41" s="47"/>
      <c r="F41" s="19">
        <f>F21*H62</f>
        <v>13605436.7302329</v>
      </c>
      <c r="G41" s="19"/>
    </row>
    <row r="42" spans="1:12" x14ac:dyDescent="0.2">
      <c r="A42" s="15"/>
      <c r="B42" s="13"/>
      <c r="C42" s="17" t="s">
        <v>40</v>
      </c>
      <c r="D42" s="25"/>
      <c r="E42" s="47"/>
      <c r="F42" s="19">
        <f>(F41+F43)*(0.05/(1-0.05))</f>
        <v>906424.83212744177</v>
      </c>
      <c r="G42" s="28"/>
    </row>
    <row r="43" spans="1:12" x14ac:dyDescent="0.2">
      <c r="A43" s="15"/>
      <c r="B43" s="13"/>
      <c r="C43" s="17" t="s">
        <v>41</v>
      </c>
      <c r="D43" s="25"/>
      <c r="E43" s="47"/>
      <c r="F43" s="19">
        <f>(F41)*(0.21/(1-0.21))</f>
        <v>3616635.0801884918</v>
      </c>
      <c r="G43" s="28"/>
      <c r="J43" s="19"/>
      <c r="K43" s="36"/>
      <c r="L43" s="36"/>
    </row>
    <row r="44" spans="1:12" x14ac:dyDescent="0.2">
      <c r="A44" s="15"/>
      <c r="B44" s="13"/>
      <c r="C44" s="5"/>
      <c r="D44" s="25"/>
      <c r="E44" s="47"/>
      <c r="F44" s="19"/>
    </row>
    <row r="45" spans="1:12" x14ac:dyDescent="0.2">
      <c r="A45" s="15"/>
      <c r="B45" s="13"/>
      <c r="C45" s="17" t="s">
        <v>17</v>
      </c>
      <c r="D45" s="29"/>
      <c r="E45" s="47"/>
      <c r="F45" s="19">
        <f>SUM(F40:F43)</f>
        <v>23342417.256983206</v>
      </c>
      <c r="G45" s="19"/>
    </row>
    <row r="46" spans="1:12" x14ac:dyDescent="0.2">
      <c r="A46" s="15"/>
      <c r="B46" s="13"/>
      <c r="C46" s="5"/>
      <c r="D46" s="5"/>
      <c r="E46" s="49"/>
      <c r="F46" s="19"/>
    </row>
    <row r="47" spans="1:12" x14ac:dyDescent="0.2">
      <c r="A47" s="15"/>
      <c r="B47" s="13"/>
      <c r="C47" s="17" t="s">
        <v>18</v>
      </c>
      <c r="D47" s="18"/>
      <c r="E47" s="47"/>
      <c r="F47" s="19">
        <f>F30</f>
        <v>9195532.2252656035</v>
      </c>
      <c r="G47" s="19"/>
    </row>
    <row r="48" spans="1:12" x14ac:dyDescent="0.2">
      <c r="A48" s="15"/>
      <c r="B48" s="13"/>
      <c r="C48" s="17" t="s">
        <v>12</v>
      </c>
      <c r="D48" s="18"/>
      <c r="E48" s="47"/>
      <c r="F48" s="19">
        <f>F36</f>
        <v>11010670.137234326</v>
      </c>
      <c r="G48" s="19"/>
    </row>
    <row r="49" spans="1:8" x14ac:dyDescent="0.2">
      <c r="A49" s="15"/>
      <c r="B49" s="13"/>
      <c r="C49" s="5"/>
      <c r="D49" s="5"/>
      <c r="E49" s="49"/>
      <c r="F49" s="19"/>
    </row>
    <row r="50" spans="1:8" x14ac:dyDescent="0.2">
      <c r="A50" s="15"/>
      <c r="B50" s="13"/>
      <c r="C50" s="17" t="s">
        <v>19</v>
      </c>
      <c r="D50" s="18"/>
      <c r="E50" s="47"/>
      <c r="F50" s="19">
        <f>SUM(F45:F48)</f>
        <v>43548619.619483136</v>
      </c>
      <c r="G50" s="19"/>
    </row>
    <row r="51" spans="1:8" x14ac:dyDescent="0.2">
      <c r="A51" s="15"/>
      <c r="B51" s="13"/>
      <c r="C51" s="17"/>
      <c r="D51" s="18"/>
      <c r="E51" s="47"/>
      <c r="F51" s="19"/>
    </row>
    <row r="52" spans="1:8" x14ac:dyDescent="0.2">
      <c r="A52" s="15"/>
      <c r="B52" s="13"/>
      <c r="C52" s="20" t="s">
        <v>20</v>
      </c>
      <c r="D52" s="21"/>
      <c r="E52" s="48"/>
      <c r="F52" s="21">
        <f>F50</f>
        <v>43548619.619483136</v>
      </c>
      <c r="G52" s="21"/>
    </row>
    <row r="53" spans="1:8" x14ac:dyDescent="0.2">
      <c r="A53" s="15"/>
      <c r="B53" s="13"/>
      <c r="C53" s="5"/>
      <c r="D53" s="18"/>
      <c r="E53" s="47"/>
    </row>
    <row r="54" spans="1:8" x14ac:dyDescent="0.2">
      <c r="A54" s="15"/>
      <c r="B54" s="13"/>
      <c r="C54" s="5" t="s">
        <v>21</v>
      </c>
      <c r="D54" s="29"/>
      <c r="E54" s="47"/>
      <c r="F54" s="30">
        <v>298980</v>
      </c>
      <c r="G54" s="30"/>
    </row>
    <row r="55" spans="1:8" x14ac:dyDescent="0.2">
      <c r="A55" s="15"/>
      <c r="B55" s="13"/>
      <c r="C55" s="17" t="s">
        <v>22</v>
      </c>
      <c r="D55" s="31"/>
      <c r="E55" s="49"/>
      <c r="F55" s="30">
        <f>F54*12</f>
        <v>3587760</v>
      </c>
      <c r="G55" s="30"/>
    </row>
    <row r="56" spans="1:8" ht="13.5" thickBot="1" x14ac:dyDescent="0.25">
      <c r="A56" s="15"/>
      <c r="B56" s="13"/>
      <c r="C56" s="32"/>
      <c r="D56" s="32"/>
      <c r="E56" s="53"/>
      <c r="F56" s="33"/>
      <c r="G56" s="33"/>
    </row>
    <row r="57" spans="1:8" ht="13.5" thickTop="1" x14ac:dyDescent="0.2">
      <c r="A57" s="15"/>
      <c r="B57" s="13"/>
      <c r="C57" s="34" t="s">
        <v>23</v>
      </c>
      <c r="D57" s="35"/>
      <c r="E57" s="49"/>
      <c r="F57" s="36">
        <f>F52/F55</f>
        <v>12.138108351585149</v>
      </c>
      <c r="G57" s="36"/>
    </row>
    <row r="58" spans="1:8" x14ac:dyDescent="0.2">
      <c r="A58" s="15"/>
      <c r="B58" s="13"/>
      <c r="C58" s="5"/>
      <c r="D58" s="5"/>
      <c r="E58" s="49"/>
    </row>
    <row r="59" spans="1:8" x14ac:dyDescent="0.2">
      <c r="A59" s="15"/>
      <c r="B59" s="13"/>
      <c r="C59" s="19"/>
      <c r="D59" s="5"/>
      <c r="E59" s="49"/>
    </row>
    <row r="60" spans="1:8" x14ac:dyDescent="0.2">
      <c r="A60" s="15"/>
      <c r="B60" s="13"/>
      <c r="C60" s="5"/>
      <c r="D60" s="56" t="s">
        <v>25</v>
      </c>
      <c r="E60" s="56"/>
      <c r="F60" s="56"/>
      <c r="G60" s="56"/>
      <c r="H60" s="56"/>
    </row>
    <row r="61" spans="1:8" x14ac:dyDescent="0.2">
      <c r="D61" s="1" t="s">
        <v>26</v>
      </c>
      <c r="F61" s="37">
        <f>1-F62</f>
        <v>0.47160000000000002</v>
      </c>
      <c r="G61" s="37">
        <f>H61/F61</f>
        <v>4.4741306191687868E-2</v>
      </c>
      <c r="H61" s="37">
        <f>0.0006+0.0205</f>
        <v>2.1100000000000001E-2</v>
      </c>
    </row>
    <row r="62" spans="1:8" x14ac:dyDescent="0.2">
      <c r="D62" s="12" t="s">
        <v>27</v>
      </c>
      <c r="E62" s="54"/>
      <c r="F62" s="38">
        <v>0.52839999999999998</v>
      </c>
      <c r="G62" s="38">
        <v>0.1042</v>
      </c>
      <c r="H62" s="38">
        <f>G62*F62</f>
        <v>5.5059279999999995E-2</v>
      </c>
    </row>
    <row r="63" spans="1:8" x14ac:dyDescent="0.2">
      <c r="D63" s="1" t="s">
        <v>24</v>
      </c>
      <c r="F63" s="37"/>
      <c r="G63" s="37"/>
      <c r="H63" s="37">
        <f>H62+H61</f>
        <v>7.6159279999999996E-2</v>
      </c>
    </row>
  </sheetData>
  <mergeCells count="3">
    <mergeCell ref="D60:H60"/>
    <mergeCell ref="B5:F5"/>
    <mergeCell ref="B6:F6"/>
  </mergeCells>
  <printOptions horizontalCentered="1"/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</vt:lpstr>
      <vt:lpstr>LGE!Print_Area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2019-01-16T21:38:32Z</dcterms:created>
  <dcterms:modified xsi:type="dcterms:W3CDTF">2019-01-16T21:38:35Z</dcterms:modified>
</cp:coreProperties>
</file>