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8 LGE-KU\Testimony\"/>
    </mc:Choice>
  </mc:AlternateContent>
  <xr:revisionPtr revIDLastSave="0" documentId="13_ncr:1_{5BFAF0F0-A9EF-4A26-AC42-71DE70DEF7CA}" xr6:coauthVersionLast="40" xr6:coauthVersionMax="40" xr10:uidLastSave="{00000000-0000-0000-0000-000000000000}"/>
  <bookViews>
    <workbookView xWindow="0" yWindow="0" windowWidth="24000" windowHeight="9465" xr2:uid="{33AAB1E6-5FEB-4007-B929-675CB83CD584}"/>
  </bookViews>
  <sheets>
    <sheet name="Sched 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2" l="1"/>
  <c r="L52" i="2"/>
  <c r="L50" i="2"/>
  <c r="J115" i="2" l="1"/>
  <c r="G115" i="2"/>
  <c r="G109" i="2"/>
  <c r="G64" i="2"/>
  <c r="J93" i="2" l="1"/>
  <c r="J92" i="2"/>
  <c r="G121" i="2"/>
  <c r="J121" i="2" s="1"/>
  <c r="J120" i="2"/>
  <c r="J119" i="2"/>
  <c r="J118" i="2"/>
  <c r="J117" i="2"/>
  <c r="J113" i="2"/>
  <c r="J106" i="2"/>
  <c r="I100" i="2"/>
  <c r="J100" i="2" s="1"/>
  <c r="I99" i="2"/>
  <c r="G98" i="2"/>
  <c r="C97" i="2"/>
  <c r="J97" i="2" s="1"/>
  <c r="G96" i="2"/>
  <c r="I94" i="2"/>
  <c r="I103" i="2" s="1"/>
  <c r="J103" i="2" s="1"/>
  <c r="G91" i="2"/>
  <c r="C90" i="2"/>
  <c r="J90" i="2" s="1"/>
  <c r="G89" i="2"/>
  <c r="G76" i="2"/>
  <c r="J76" i="2" s="1"/>
  <c r="J75" i="2"/>
  <c r="J74" i="2"/>
  <c r="J73" i="2"/>
  <c r="J72" i="2"/>
  <c r="J68" i="2"/>
  <c r="J61" i="2"/>
  <c r="J58" i="2"/>
  <c r="I57" i="2"/>
  <c r="J57" i="2" s="1"/>
  <c r="F57" i="2"/>
  <c r="D55" i="2"/>
  <c r="J55" i="2" s="1"/>
  <c r="J54" i="2"/>
  <c r="G53" i="2"/>
  <c r="J52" i="2"/>
  <c r="G51" i="2"/>
  <c r="J50" i="2"/>
  <c r="G49" i="2"/>
  <c r="J47" i="2"/>
  <c r="G47" i="2"/>
  <c r="C46" i="2"/>
  <c r="J46" i="2" s="1"/>
  <c r="G45" i="2"/>
  <c r="G60" i="2" s="1"/>
  <c r="G62" i="2" s="1"/>
  <c r="G66" i="2" s="1"/>
  <c r="G70" i="2" s="1"/>
  <c r="G78" i="2" s="1"/>
  <c r="G32" i="2"/>
  <c r="J32" i="2" s="1"/>
  <c r="J31" i="2"/>
  <c r="J30" i="2"/>
  <c r="J29" i="2"/>
  <c r="J28" i="2"/>
  <c r="J24" i="2"/>
  <c r="J17" i="2"/>
  <c r="I14" i="2"/>
  <c r="J14" i="2" s="1"/>
  <c r="F14" i="2"/>
  <c r="D12" i="2"/>
  <c r="J12" i="2" s="1"/>
  <c r="J11" i="2"/>
  <c r="G11" i="2"/>
  <c r="J10" i="2"/>
  <c r="G10" i="2"/>
  <c r="J8" i="2"/>
  <c r="G8" i="2"/>
  <c r="C7" i="2"/>
  <c r="J7" i="2" s="1"/>
  <c r="G6" i="2"/>
  <c r="I101" i="2" l="1"/>
  <c r="G16" i="2"/>
  <c r="G18" i="2" s="1"/>
  <c r="J99" i="2"/>
  <c r="J105" i="2" s="1"/>
  <c r="J107" i="2" s="1"/>
  <c r="G105" i="2"/>
  <c r="G107" i="2" s="1"/>
  <c r="J60" i="2"/>
  <c r="J62" i="2" s="1"/>
  <c r="J66" i="2" s="1"/>
  <c r="J16" i="2"/>
  <c r="J18" i="2" s="1"/>
  <c r="J111" i="2" l="1"/>
  <c r="G111" i="2"/>
  <c r="G123" i="2" s="1"/>
  <c r="L66" i="2"/>
  <c r="L67" i="2" s="1"/>
  <c r="J70" i="2"/>
  <c r="J78" i="2" s="1"/>
  <c r="J80" i="2" s="1"/>
  <c r="J81" i="2" s="1"/>
  <c r="J22" i="2"/>
  <c r="J26" i="2" s="1"/>
  <c r="G82" i="2"/>
  <c r="G20" i="2"/>
  <c r="G22" i="2" s="1"/>
  <c r="G26" i="2" s="1"/>
  <c r="G34" i="2" s="1"/>
  <c r="J123" i="2" l="1"/>
  <c r="J125" i="2" s="1"/>
  <c r="J126" i="2" s="1"/>
  <c r="L111" i="2"/>
  <c r="L112" i="2" s="1"/>
  <c r="L22" i="2"/>
  <c r="L23" i="2" s="1"/>
  <c r="J34" i="2"/>
  <c r="J36" i="2" l="1"/>
  <c r="J37" i="2" s="1"/>
</calcChain>
</file>

<file path=xl/sharedStrings.xml><?xml version="1.0" encoding="utf-8"?>
<sst xmlns="http://schemas.openxmlformats.org/spreadsheetml/2006/main" count="127" uniqueCount="60">
  <si>
    <t>Present Rates</t>
  </si>
  <si>
    <t xml:space="preserve">Calculated </t>
  </si>
  <si>
    <t>Billing Periods</t>
  </si>
  <si>
    <t>Demand</t>
  </si>
  <si>
    <t>Total</t>
  </si>
  <si>
    <t xml:space="preserve">Unit </t>
  </si>
  <si>
    <t xml:space="preserve">Revenue at </t>
  </si>
  <si>
    <t>Proposed</t>
  </si>
  <si>
    <t>kW</t>
  </si>
  <si>
    <t>kWh</t>
  </si>
  <si>
    <t>Charges</t>
  </si>
  <si>
    <t>Rates</t>
  </si>
  <si>
    <t>Proposed Rates</t>
  </si>
  <si>
    <t>Basic Service Charge, Monthly</t>
  </si>
  <si>
    <t>Basic Service Charge, Daily</t>
  </si>
  <si>
    <t>Energy Charge</t>
  </si>
  <si>
    <t>Summer Demand, kW</t>
  </si>
  <si>
    <t>Winter Demand, kW</t>
  </si>
  <si>
    <t>Redundant Capacity Rider</t>
  </si>
  <si>
    <t>Total Calculated at Base Rates</t>
  </si>
  <si>
    <t>Correction Factor</t>
  </si>
  <si>
    <t>Total After Application of Correction Factor</t>
  </si>
  <si>
    <t>Adjustment to Reflect Removal of Base ECR Revenue</t>
  </si>
  <si>
    <t>Total Base Revenues Net of ECR</t>
  </si>
  <si>
    <t>FAC Mechanism Revenue</t>
  </si>
  <si>
    <t>DSM Mechanism Revenue</t>
  </si>
  <si>
    <t>ECR Mechanism Revenue</t>
  </si>
  <si>
    <t>OSS Mechanism Revenue</t>
  </si>
  <si>
    <t>ECR Base Revenue</t>
  </si>
  <si>
    <t>Total Base Revenues Inclusive of ECR</t>
  </si>
  <si>
    <t>Proposed Increase</t>
  </si>
  <si>
    <t>Percentage Increase</t>
  </si>
  <si>
    <t>TIME OF DAY SECONDARY SERVICE RATE TODS</t>
  </si>
  <si>
    <t>Demand kW Base</t>
  </si>
  <si>
    <t>Demand kVA Base</t>
  </si>
  <si>
    <t>Demand kW Intermediate</t>
  </si>
  <si>
    <t>Demand kVA Intermediate</t>
  </si>
  <si>
    <t>Demand kW Peak</t>
  </si>
  <si>
    <t>Demand kVA Peak</t>
  </si>
  <si>
    <t>Solar Energy Credit (Base Energy Charge or SQF Charge, as applicable)</t>
  </si>
  <si>
    <t>Economic Development Rider</t>
  </si>
  <si>
    <t>Total Base Revenues Inclusive of Base ECR</t>
  </si>
  <si>
    <t>Single Phase Energy Charge</t>
  </si>
  <si>
    <t>Single Phase Infrastructure Energy Charge</t>
  </si>
  <si>
    <t>Single Phase Variable Energy Charge</t>
  </si>
  <si>
    <t xml:space="preserve">    Single Phase Total Energy Charge</t>
  </si>
  <si>
    <t>Three Phase Customer Charge, Monthly</t>
  </si>
  <si>
    <t>Three Phase Customer Charge, Daily</t>
  </si>
  <si>
    <t>Three Phase Energy Charge</t>
  </si>
  <si>
    <t>Three Phase Infrastructure Energy Charge</t>
  </si>
  <si>
    <t>Three Phase Variable Energy Charge</t>
  </si>
  <si>
    <t xml:space="preserve">    Three Phase Total Energy Charge</t>
  </si>
  <si>
    <t>JCTA</t>
  </si>
  <si>
    <t>POWER SERVICE RATE PS-SECONDARY</t>
  </si>
  <si>
    <t>Adjustment to Reflect Removal of Base ECR Revenues</t>
  </si>
  <si>
    <t>ALL ELECTRIC SCHOOLS RATE AES</t>
  </si>
  <si>
    <t>Single Phase Customer Charge, Monthly</t>
  </si>
  <si>
    <t>Single Phase Customer Charge, Daily</t>
  </si>
  <si>
    <t>Kentucky Utilities</t>
  </si>
  <si>
    <t>per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</si>
</sst>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&quot;$&quot;#,##0.000_);[Red]\(&quot;$&quot;#,##0.0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0" fontId="0" fillId="0" borderId="0" xfId="3" applyNumberFormat="1" applyFont="1"/>
    <xf numFmtId="0" fontId="0" fillId="0" borderId="0" xfId="0" applyAlignment="1">
      <alignment horizontal="center"/>
    </xf>
    <xf numFmtId="4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44" fontId="0" fillId="0" borderId="0" xfId="2" applyFont="1"/>
    <xf numFmtId="166" fontId="0" fillId="0" borderId="0" xfId="2" applyNumberFormat="1" applyFont="1"/>
    <xf numFmtId="43" fontId="0" fillId="0" borderId="0" xfId="0" applyNumberFormat="1"/>
    <xf numFmtId="0" fontId="2" fillId="0" borderId="0" xfId="0" applyFont="1"/>
    <xf numFmtId="164" fontId="0" fillId="0" borderId="0" xfId="0" applyNumberFormat="1"/>
    <xf numFmtId="168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729B-BD6E-45C9-9374-1999944810AF}">
  <dimension ref="A1:L126"/>
  <sheetViews>
    <sheetView tabSelected="1" topLeftCell="A43" zoomScaleNormal="100" workbookViewId="0">
      <selection activeCell="N51" sqref="N51"/>
    </sheetView>
  </sheetViews>
  <sheetFormatPr defaultRowHeight="15" x14ac:dyDescent="0.25"/>
  <cols>
    <col min="2" max="2" width="64" customWidth="1"/>
    <col min="3" max="3" width="15.28515625" customWidth="1"/>
    <col min="4" max="4" width="13.85546875" customWidth="1"/>
    <col min="5" max="5" width="15" customWidth="1"/>
    <col min="6" max="6" width="12.7109375" customWidth="1"/>
    <col min="7" max="7" width="16.5703125" customWidth="1"/>
    <col min="8" max="8" width="3.5703125" customWidth="1"/>
    <col min="9" max="9" width="11" bestFit="1" customWidth="1"/>
    <col min="10" max="10" width="21.140625" customWidth="1"/>
    <col min="11" max="11" width="4.7109375" customWidth="1"/>
    <col min="12" max="12" width="12.5703125" bestFit="1" customWidth="1"/>
  </cols>
  <sheetData>
    <row r="1" spans="1:10" x14ac:dyDescent="0.25">
      <c r="C1" s="3"/>
      <c r="D1" s="3"/>
      <c r="E1" s="3"/>
      <c r="F1" s="3" t="s">
        <v>0</v>
      </c>
      <c r="G1" s="3" t="s">
        <v>1</v>
      </c>
      <c r="H1" s="3"/>
      <c r="I1" s="3"/>
      <c r="J1" s="3" t="s">
        <v>1</v>
      </c>
    </row>
    <row r="2" spans="1:10" x14ac:dyDescent="0.25">
      <c r="B2" s="12" t="s">
        <v>58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/>
      <c r="I2" s="3" t="s">
        <v>7</v>
      </c>
      <c r="J2" s="3" t="s">
        <v>6</v>
      </c>
    </row>
    <row r="3" spans="1:10" x14ac:dyDescent="0.25">
      <c r="C3" s="3"/>
      <c r="D3" s="3" t="s">
        <v>8</v>
      </c>
      <c r="E3" s="3" t="s">
        <v>9</v>
      </c>
      <c r="F3" s="3" t="s">
        <v>10</v>
      </c>
      <c r="G3" s="3" t="s">
        <v>0</v>
      </c>
      <c r="H3" s="3"/>
      <c r="I3" s="3" t="s">
        <v>11</v>
      </c>
      <c r="J3" s="3" t="s">
        <v>12</v>
      </c>
    </row>
    <row r="5" spans="1:10" x14ac:dyDescent="0.25">
      <c r="A5" s="12" t="s">
        <v>53</v>
      </c>
    </row>
    <row r="6" spans="1:10" x14ac:dyDescent="0.25">
      <c r="B6" t="s">
        <v>13</v>
      </c>
      <c r="C6" s="1">
        <v>53636</v>
      </c>
      <c r="D6" s="1"/>
      <c r="F6" s="4">
        <v>90</v>
      </c>
      <c r="G6" s="7">
        <f>ROUND(F6*C6,2)</f>
        <v>4827240</v>
      </c>
    </row>
    <row r="7" spans="1:10" x14ac:dyDescent="0.25">
      <c r="B7" t="s">
        <v>14</v>
      </c>
      <c r="C7" s="1">
        <f>C6*365.25/12</f>
        <v>1632545.75</v>
      </c>
      <c r="D7" s="1"/>
      <c r="F7" s="4"/>
      <c r="G7" s="7"/>
      <c r="I7" s="4">
        <v>2.96</v>
      </c>
      <c r="J7" s="7">
        <f>ROUND(I7*C7,2)</f>
        <v>4832335.42</v>
      </c>
    </row>
    <row r="8" spans="1:10" x14ac:dyDescent="0.25">
      <c r="B8" t="s">
        <v>15</v>
      </c>
      <c r="C8" s="1"/>
      <c r="D8" s="1"/>
      <c r="E8" s="1">
        <v>1808874932.0823293</v>
      </c>
      <c r="F8" s="6">
        <v>3.27E-2</v>
      </c>
      <c r="G8" s="7">
        <f>ROUND(F8*E8,2)</f>
        <v>59150210.280000001</v>
      </c>
      <c r="I8" s="6">
        <v>3.27E-2</v>
      </c>
      <c r="J8" s="7">
        <f>ROUND(I8*E8,2)</f>
        <v>59150210.280000001</v>
      </c>
    </row>
    <row r="9" spans="1:10" x14ac:dyDescent="0.25">
      <c r="C9" s="1"/>
      <c r="D9" s="1"/>
      <c r="E9" s="1"/>
      <c r="F9" s="4"/>
      <c r="G9" s="7"/>
      <c r="I9" s="4"/>
      <c r="J9" s="7"/>
    </row>
    <row r="10" spans="1:10" x14ac:dyDescent="0.25">
      <c r="B10" t="s">
        <v>16</v>
      </c>
      <c r="C10" s="1"/>
      <c r="D10" s="1">
        <v>2282012.2622153522</v>
      </c>
      <c r="E10" s="1"/>
      <c r="F10" s="4">
        <v>21.03</v>
      </c>
      <c r="G10" s="7">
        <f>ROUND(D10*F10,2)</f>
        <v>47990717.869999997</v>
      </c>
      <c r="I10" s="4">
        <v>23.22</v>
      </c>
      <c r="J10" s="7">
        <f>ROUND(I10*D10,2)</f>
        <v>52988324.729999997</v>
      </c>
    </row>
    <row r="11" spans="1:10" x14ac:dyDescent="0.25">
      <c r="B11" t="s">
        <v>17</v>
      </c>
      <c r="C11" s="1"/>
      <c r="D11" s="1">
        <v>3191835.2069565346</v>
      </c>
      <c r="E11" s="1"/>
      <c r="F11" s="4">
        <v>18.809999999999999</v>
      </c>
      <c r="G11" s="7">
        <f>ROUND(D11*F11,2)</f>
        <v>60038420.240000002</v>
      </c>
      <c r="I11" s="4">
        <v>20.78</v>
      </c>
      <c r="J11" s="7">
        <f>ROUND(I11*D11,2)</f>
        <v>66326335.600000001</v>
      </c>
    </row>
    <row r="12" spans="1:10" x14ac:dyDescent="0.25">
      <c r="B12" t="s">
        <v>18</v>
      </c>
      <c r="C12" s="1"/>
      <c r="D12" s="1">
        <f>G12/F12</f>
        <v>7740.0000000000009</v>
      </c>
      <c r="E12" s="1"/>
      <c r="F12" s="4">
        <v>1.04</v>
      </c>
      <c r="G12" s="7">
        <v>8049.6000000000013</v>
      </c>
      <c r="I12" s="4">
        <v>1.1599999999999999</v>
      </c>
      <c r="J12" s="7">
        <f>ROUND(I12*D12,2)</f>
        <v>8978.4</v>
      </c>
    </row>
    <row r="13" spans="1:10" x14ac:dyDescent="0.25">
      <c r="E13" s="1"/>
      <c r="F13" s="4"/>
      <c r="G13" s="7"/>
      <c r="I13" s="4"/>
      <c r="J13" s="7"/>
    </row>
    <row r="14" spans="1:10" x14ac:dyDescent="0.25">
      <c r="B14" t="s">
        <v>39</v>
      </c>
      <c r="E14" s="1">
        <v>0</v>
      </c>
      <c r="F14" s="6">
        <f>F8</f>
        <v>3.27E-2</v>
      </c>
      <c r="G14" s="7">
        <v>0</v>
      </c>
      <c r="I14" s="6">
        <f>I8</f>
        <v>3.27E-2</v>
      </c>
      <c r="J14" s="7">
        <f>E14*I14</f>
        <v>0</v>
      </c>
    </row>
    <row r="15" spans="1:10" x14ac:dyDescent="0.25">
      <c r="G15" s="7"/>
      <c r="J15" s="7"/>
    </row>
    <row r="16" spans="1:10" x14ac:dyDescent="0.25">
      <c r="B16" t="s">
        <v>19</v>
      </c>
      <c r="G16" s="7">
        <f>SUM(G6:G15)</f>
        <v>172014637.99000001</v>
      </c>
      <c r="J16" s="7">
        <f>SUM(J6:J15)</f>
        <v>183306184.43000001</v>
      </c>
    </row>
    <row r="17" spans="2:12" x14ac:dyDescent="0.25">
      <c r="B17" t="s">
        <v>20</v>
      </c>
      <c r="G17" s="7">
        <v>1</v>
      </c>
      <c r="J17" s="7">
        <f>G17</f>
        <v>1</v>
      </c>
    </row>
    <row r="18" spans="2:12" x14ac:dyDescent="0.25">
      <c r="B18" t="s">
        <v>21</v>
      </c>
      <c r="G18" s="7">
        <f>+ROUND(G16/G17,2)</f>
        <v>172014637.99000001</v>
      </c>
      <c r="J18" s="7">
        <f>+ROUND(J16/J17,2)</f>
        <v>183306184.43000001</v>
      </c>
    </row>
    <row r="19" spans="2:12" x14ac:dyDescent="0.25">
      <c r="G19" s="7"/>
      <c r="J19" s="7"/>
    </row>
    <row r="20" spans="2:12" x14ac:dyDescent="0.25">
      <c r="B20" t="s">
        <v>52</v>
      </c>
      <c r="F20" s="10">
        <v>-4.2199999999999998E-3</v>
      </c>
      <c r="G20" s="11">
        <f>F20*(E8)</f>
        <v>-7633452.2133874288</v>
      </c>
    </row>
    <row r="21" spans="2:12" x14ac:dyDescent="0.25">
      <c r="G21" s="7"/>
      <c r="J21" s="7"/>
    </row>
    <row r="22" spans="2:12" x14ac:dyDescent="0.25">
      <c r="G22" s="7">
        <f>SUM(G18:G21)</f>
        <v>164381185.77661258</v>
      </c>
      <c r="J22" s="7">
        <f>SUM(J18:J21)</f>
        <v>183306184.43000001</v>
      </c>
      <c r="L22" s="8">
        <f>J26-G26</f>
        <v>18924998.653387427</v>
      </c>
    </row>
    <row r="23" spans="2:12" x14ac:dyDescent="0.25">
      <c r="G23" s="7"/>
      <c r="J23" s="7"/>
      <c r="L23" s="2">
        <f>L22/G22</f>
        <v>0.11512873911924287</v>
      </c>
    </row>
    <row r="24" spans="2:12" x14ac:dyDescent="0.25">
      <c r="B24" t="s">
        <v>22</v>
      </c>
      <c r="G24" s="7">
        <v>-18830035.289999999</v>
      </c>
      <c r="J24" s="7">
        <f>G24</f>
        <v>-18830035.289999999</v>
      </c>
    </row>
    <row r="25" spans="2:12" x14ac:dyDescent="0.25">
      <c r="G25" s="7"/>
      <c r="J25" s="7"/>
    </row>
    <row r="26" spans="2:12" x14ac:dyDescent="0.25">
      <c r="B26" t="s">
        <v>23</v>
      </c>
      <c r="G26" s="7">
        <f>SUM(G22:G25)</f>
        <v>145551150.48661259</v>
      </c>
      <c r="J26" s="7">
        <f>SUM(J22:J25)</f>
        <v>164476149.14000002</v>
      </c>
    </row>
    <row r="27" spans="2:12" x14ac:dyDescent="0.25">
      <c r="G27" s="7"/>
      <c r="J27" s="7"/>
    </row>
    <row r="28" spans="2:12" x14ac:dyDescent="0.25">
      <c r="B28" t="s">
        <v>24</v>
      </c>
      <c r="G28" s="7">
        <v>-3430803.88</v>
      </c>
      <c r="J28" s="7">
        <f t="shared" ref="J28:J31" si="0">G28</f>
        <v>-3430803.88</v>
      </c>
    </row>
    <row r="29" spans="2:12" x14ac:dyDescent="0.25">
      <c r="B29" t="s">
        <v>25</v>
      </c>
      <c r="G29" s="7">
        <v>132434.32</v>
      </c>
      <c r="J29" s="7">
        <f t="shared" si="0"/>
        <v>132434.32</v>
      </c>
    </row>
    <row r="30" spans="2:12" x14ac:dyDescent="0.25">
      <c r="B30" t="s">
        <v>26</v>
      </c>
      <c r="G30" s="7">
        <v>2142298.63</v>
      </c>
      <c r="J30" s="7">
        <f t="shared" si="0"/>
        <v>2142298.63</v>
      </c>
    </row>
    <row r="31" spans="2:12" x14ac:dyDescent="0.25">
      <c r="B31" t="s">
        <v>27</v>
      </c>
      <c r="G31" s="7">
        <v>-33822.29</v>
      </c>
      <c r="J31" s="7">
        <f t="shared" si="0"/>
        <v>-33822.29</v>
      </c>
    </row>
    <row r="32" spans="2:12" x14ac:dyDescent="0.25">
      <c r="B32" t="s">
        <v>28</v>
      </c>
      <c r="G32" s="7">
        <f>G24*-1</f>
        <v>18830035.289999999</v>
      </c>
      <c r="J32" s="7">
        <f>G32</f>
        <v>18830035.289999999</v>
      </c>
    </row>
    <row r="33" spans="1:10" x14ac:dyDescent="0.25">
      <c r="G33" s="8"/>
      <c r="J33" s="7"/>
    </row>
    <row r="34" spans="1:10" x14ac:dyDescent="0.25">
      <c r="B34" t="s">
        <v>29</v>
      </c>
      <c r="G34" s="8">
        <f>SUM(G26:G32)</f>
        <v>163191292.55661258</v>
      </c>
      <c r="J34" s="7">
        <f>SUM(J26:J32)</f>
        <v>182116291.21000001</v>
      </c>
    </row>
    <row r="35" spans="1:10" x14ac:dyDescent="0.25">
      <c r="J35" s="7"/>
    </row>
    <row r="36" spans="1:10" x14ac:dyDescent="0.25">
      <c r="B36" t="s">
        <v>30</v>
      </c>
      <c r="J36" s="7">
        <f>J34-G34</f>
        <v>18924998.653387427</v>
      </c>
    </row>
    <row r="37" spans="1:10" x14ac:dyDescent="0.25">
      <c r="B37" t="s">
        <v>31</v>
      </c>
      <c r="J37" s="2">
        <f>J36/G34</f>
        <v>0.115968188969532</v>
      </c>
    </row>
    <row r="40" spans="1:10" x14ac:dyDescent="0.25">
      <c r="C40" s="3"/>
      <c r="D40" s="3"/>
      <c r="E40" s="3"/>
      <c r="F40" s="3" t="s">
        <v>0</v>
      </c>
      <c r="G40" s="3" t="s">
        <v>1</v>
      </c>
      <c r="H40" s="3"/>
      <c r="I40" s="3"/>
      <c r="J40" s="3" t="s">
        <v>1</v>
      </c>
    </row>
    <row r="41" spans="1:10" x14ac:dyDescent="0.25">
      <c r="B41" s="12" t="s">
        <v>58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/>
      <c r="I41" s="3" t="s">
        <v>7</v>
      </c>
      <c r="J41" s="3" t="s">
        <v>6</v>
      </c>
    </row>
    <row r="42" spans="1:10" x14ac:dyDescent="0.25">
      <c r="C42" s="3"/>
      <c r="D42" s="3"/>
      <c r="E42" s="3" t="s">
        <v>9</v>
      </c>
      <c r="F42" s="3" t="s">
        <v>10</v>
      </c>
      <c r="G42" s="3" t="s">
        <v>0</v>
      </c>
      <c r="H42" s="3"/>
      <c r="I42" s="3" t="s">
        <v>11</v>
      </c>
      <c r="J42" s="3" t="s">
        <v>12</v>
      </c>
    </row>
    <row r="44" spans="1:10" x14ac:dyDescent="0.25">
      <c r="A44" s="12" t="s">
        <v>32</v>
      </c>
    </row>
    <row r="45" spans="1:10" x14ac:dyDescent="0.25">
      <c r="B45" t="s">
        <v>13</v>
      </c>
      <c r="C45" s="1">
        <v>8832</v>
      </c>
      <c r="D45" s="1"/>
      <c r="E45" s="1"/>
      <c r="F45" s="4">
        <v>200</v>
      </c>
      <c r="G45" s="4">
        <f>ROUND(F45*C45,2)</f>
        <v>1766400</v>
      </c>
      <c r="H45" s="4"/>
      <c r="I45" s="4"/>
      <c r="J45" s="4"/>
    </row>
    <row r="46" spans="1:10" x14ac:dyDescent="0.25">
      <c r="B46" t="s">
        <v>14</v>
      </c>
      <c r="C46" s="1">
        <f>C45*365.25/12</f>
        <v>268824</v>
      </c>
      <c r="D46" s="1"/>
      <c r="E46" s="1"/>
      <c r="F46" s="4"/>
      <c r="G46" s="4"/>
      <c r="H46" s="4"/>
      <c r="I46" s="4">
        <v>6.58</v>
      </c>
      <c r="J46" s="8">
        <f>ROUND(I46*C46,2)</f>
        <v>1768861.92</v>
      </c>
    </row>
    <row r="47" spans="1:10" x14ac:dyDescent="0.25">
      <c r="B47" t="s">
        <v>15</v>
      </c>
      <c r="C47" s="1"/>
      <c r="D47" s="1"/>
      <c r="E47" s="1">
        <v>1838229887.4507535</v>
      </c>
      <c r="F47" s="6">
        <v>3.2289999999999999E-2</v>
      </c>
      <c r="G47" s="4">
        <f>ROUND(E47*F47,2)</f>
        <v>59356443.07</v>
      </c>
      <c r="H47" s="4"/>
      <c r="I47" s="6">
        <v>3.2480000000000002E-2</v>
      </c>
      <c r="J47" s="8">
        <f>ROUND(I47*E47,2)</f>
        <v>59705706.740000002</v>
      </c>
    </row>
    <row r="48" spans="1:10" x14ac:dyDescent="0.25">
      <c r="C48" s="1"/>
      <c r="D48" s="1"/>
      <c r="E48" s="1"/>
      <c r="F48" s="4"/>
      <c r="G48" s="4"/>
      <c r="H48" s="4"/>
      <c r="I48" s="4"/>
      <c r="J48" s="8"/>
    </row>
    <row r="49" spans="2:12" x14ac:dyDescent="0.25">
      <c r="B49" t="s">
        <v>33</v>
      </c>
      <c r="C49" s="1"/>
      <c r="D49" s="1">
        <v>5598302.9148150692</v>
      </c>
      <c r="E49" s="1"/>
      <c r="F49" s="4">
        <v>3.03</v>
      </c>
      <c r="G49" s="4">
        <f>ROUND(F49*D49,2)</f>
        <v>16962857.829999998</v>
      </c>
      <c r="H49" s="4"/>
      <c r="I49" s="4"/>
      <c r="J49" s="8"/>
      <c r="L49" t="s">
        <v>59</v>
      </c>
    </row>
    <row r="50" spans="2:12" x14ac:dyDescent="0.25">
      <c r="B50" t="s">
        <v>34</v>
      </c>
      <c r="C50" s="1"/>
      <c r="D50" s="1">
        <v>6303689.0800000001</v>
      </c>
      <c r="E50" s="1"/>
      <c r="F50" s="4"/>
      <c r="G50" s="4"/>
      <c r="H50" s="4"/>
      <c r="I50" s="4">
        <v>2.65</v>
      </c>
      <c r="J50" s="8">
        <f>ROUND(D50*I50,2)</f>
        <v>16704776.060000001</v>
      </c>
      <c r="L50" s="14">
        <f>D50/D49*I50</f>
        <v>2.9838999990145791</v>
      </c>
    </row>
    <row r="51" spans="2:12" x14ac:dyDescent="0.25">
      <c r="B51" t="s">
        <v>35</v>
      </c>
      <c r="C51" s="1"/>
      <c r="D51" s="1">
        <v>4173971.038978524</v>
      </c>
      <c r="E51" s="1"/>
      <c r="F51" s="4">
        <v>6.41</v>
      </c>
      <c r="G51" s="4">
        <f>ROUND(F51*D51,2)</f>
        <v>26755154.359999999</v>
      </c>
      <c r="H51" s="4"/>
      <c r="I51" s="4"/>
      <c r="J51" s="8"/>
      <c r="L51" s="14"/>
    </row>
    <row r="52" spans="2:12" x14ac:dyDescent="0.25">
      <c r="B52" t="s">
        <v>36</v>
      </c>
      <c r="C52" s="1"/>
      <c r="D52" s="1">
        <v>4707404.54</v>
      </c>
      <c r="E52" s="1"/>
      <c r="F52" s="4"/>
      <c r="G52" s="4"/>
      <c r="H52" s="4"/>
      <c r="I52" s="4">
        <v>6.47</v>
      </c>
      <c r="J52" s="8">
        <f>ROUND(D52*I52,2)</f>
        <v>30456907.370000001</v>
      </c>
      <c r="L52" s="14">
        <f>D52/D51*I52</f>
        <v>7.2968660034722168</v>
      </c>
    </row>
    <row r="53" spans="2:12" x14ac:dyDescent="0.25">
      <c r="B53" t="s">
        <v>37</v>
      </c>
      <c r="C53" s="1"/>
      <c r="D53" s="1">
        <v>4068245.0488340119</v>
      </c>
      <c r="E53" s="1"/>
      <c r="F53" s="4">
        <v>8.09</v>
      </c>
      <c r="G53" s="4">
        <f>ROUND(F53*D53,2)</f>
        <v>32912102.449999999</v>
      </c>
      <c r="H53" s="4"/>
      <c r="I53" s="4"/>
      <c r="J53" s="8"/>
      <c r="L53" s="14"/>
    </row>
    <row r="54" spans="2:12" x14ac:dyDescent="0.25">
      <c r="B54" t="s">
        <v>38</v>
      </c>
      <c r="C54" s="1"/>
      <c r="D54" s="1">
        <v>4588573.59</v>
      </c>
      <c r="E54" s="1"/>
      <c r="F54" s="4"/>
      <c r="G54" s="4"/>
      <c r="H54" s="4"/>
      <c r="I54" s="4">
        <v>8.17</v>
      </c>
      <c r="J54" s="8">
        <f>ROUND(D54*I54,2)</f>
        <v>37488646.229999997</v>
      </c>
      <c r="L54" s="14">
        <f>D54/D53*I54</f>
        <v>9.2149429988354576</v>
      </c>
    </row>
    <row r="55" spans="2:12" x14ac:dyDescent="0.25">
      <c r="B55" t="s">
        <v>18</v>
      </c>
      <c r="C55" s="1"/>
      <c r="D55" s="1">
        <f>G55/F55</f>
        <v>82643.999999999971</v>
      </c>
      <c r="E55" s="1"/>
      <c r="F55" s="4">
        <v>1.04</v>
      </c>
      <c r="G55" s="4">
        <v>85949.759999999966</v>
      </c>
      <c r="H55" s="4"/>
      <c r="I55" s="4">
        <v>1.1599999999999999</v>
      </c>
      <c r="J55" s="8">
        <f>ROUND(D55*I55,2)</f>
        <v>95867.04</v>
      </c>
    </row>
    <row r="56" spans="2:12" x14ac:dyDescent="0.25">
      <c r="C56" s="1"/>
      <c r="D56" s="1"/>
      <c r="E56" s="1"/>
      <c r="F56" s="4"/>
      <c r="G56" s="4"/>
      <c r="H56" s="4"/>
      <c r="I56" s="4"/>
      <c r="J56" s="8"/>
    </row>
    <row r="57" spans="2:12" x14ac:dyDescent="0.25">
      <c r="B57" t="s">
        <v>39</v>
      </c>
      <c r="C57" s="1"/>
      <c r="D57" s="1"/>
      <c r="E57" s="1">
        <v>0</v>
      </c>
      <c r="F57" s="6">
        <f>F47</f>
        <v>3.2289999999999999E-2</v>
      </c>
      <c r="G57" s="4">
        <v>0</v>
      </c>
      <c r="H57" s="4"/>
      <c r="I57" s="6">
        <f>I47</f>
        <v>3.2480000000000002E-2</v>
      </c>
      <c r="J57" s="8">
        <f>E57*I57</f>
        <v>0</v>
      </c>
    </row>
    <row r="58" spans="2:12" x14ac:dyDescent="0.25">
      <c r="B58" t="s">
        <v>40</v>
      </c>
      <c r="F58" s="4"/>
      <c r="G58" s="4">
        <v>0</v>
      </c>
      <c r="H58" s="4"/>
      <c r="I58" s="4"/>
      <c r="J58" s="8">
        <f>G58</f>
        <v>0</v>
      </c>
    </row>
    <row r="59" spans="2:12" x14ac:dyDescent="0.25">
      <c r="F59" s="4"/>
      <c r="G59" s="4"/>
      <c r="H59" s="4"/>
      <c r="I59" s="4"/>
      <c r="J59" s="8"/>
    </row>
    <row r="60" spans="2:12" x14ac:dyDescent="0.25">
      <c r="B60" t="s">
        <v>19</v>
      </c>
      <c r="F60" s="4"/>
      <c r="G60" s="4">
        <f>SUM(G45:G59)</f>
        <v>137838907.47</v>
      </c>
      <c r="H60" s="4"/>
      <c r="I60" s="4"/>
      <c r="J60" s="8">
        <f>SUM(J45:J59)</f>
        <v>146220765.35999998</v>
      </c>
    </row>
    <row r="61" spans="2:12" x14ac:dyDescent="0.25">
      <c r="B61" t="s">
        <v>20</v>
      </c>
      <c r="F61" s="4"/>
      <c r="G61" s="4">
        <v>1.0000000000541014</v>
      </c>
      <c r="H61" s="4"/>
      <c r="I61" s="4"/>
      <c r="J61" s="4">
        <f>G61</f>
        <v>1.0000000000541014</v>
      </c>
    </row>
    <row r="62" spans="2:12" x14ac:dyDescent="0.25">
      <c r="B62" t="s">
        <v>21</v>
      </c>
      <c r="F62" s="4"/>
      <c r="G62" s="4">
        <f>+ROUND(G60/G61,2)</f>
        <v>137838907.46000001</v>
      </c>
      <c r="H62" s="4"/>
      <c r="I62" s="4"/>
      <c r="J62" s="8">
        <f>+ROUND(J60/J61,2)</f>
        <v>146220765.34999999</v>
      </c>
    </row>
    <row r="63" spans="2:12" x14ac:dyDescent="0.25">
      <c r="F63" s="4"/>
      <c r="G63" s="4"/>
      <c r="H63" s="4"/>
      <c r="I63" s="4"/>
      <c r="J63" s="8"/>
    </row>
    <row r="64" spans="2:12" x14ac:dyDescent="0.25">
      <c r="B64" t="s">
        <v>52</v>
      </c>
      <c r="F64" s="10">
        <v>-4.2199999999999998E-3</v>
      </c>
      <c r="G64" s="11">
        <f>F64*(E47)</f>
        <v>-7757330.1250421796</v>
      </c>
    </row>
    <row r="65" spans="2:12" x14ac:dyDescent="0.25">
      <c r="G65" s="7"/>
      <c r="J65" s="7"/>
    </row>
    <row r="66" spans="2:12" x14ac:dyDescent="0.25">
      <c r="G66" s="7">
        <f>SUM(G62:G65)</f>
        <v>130081577.33495782</v>
      </c>
      <c r="J66" s="7">
        <f>SUM(J62:J65)</f>
        <v>146220765.34999999</v>
      </c>
      <c r="L66" s="8">
        <f>J66-G66</f>
        <v>16139188.015042171</v>
      </c>
    </row>
    <row r="67" spans="2:12" x14ac:dyDescent="0.25">
      <c r="G67" s="7"/>
      <c r="J67" s="7"/>
      <c r="L67" s="2">
        <f>L66/G66</f>
        <v>0.1240697441228287</v>
      </c>
    </row>
    <row r="68" spans="2:12" x14ac:dyDescent="0.25">
      <c r="B68" t="s">
        <v>54</v>
      </c>
      <c r="F68" s="4"/>
      <c r="G68" s="4">
        <v>-13978924.190000001</v>
      </c>
      <c r="H68" s="4"/>
      <c r="I68" s="4"/>
      <c r="J68" s="8">
        <f>G68</f>
        <v>-13978924.190000001</v>
      </c>
    </row>
    <row r="69" spans="2:12" x14ac:dyDescent="0.25">
      <c r="F69" s="4"/>
      <c r="G69" s="4"/>
      <c r="H69" s="4"/>
      <c r="I69" s="4"/>
      <c r="J69" s="8"/>
    </row>
    <row r="70" spans="2:12" x14ac:dyDescent="0.25">
      <c r="B70" t="s">
        <v>23</v>
      </c>
      <c r="F70" s="4"/>
      <c r="G70" s="7">
        <f>SUM(G66:G69)</f>
        <v>116102653.14495783</v>
      </c>
      <c r="J70" s="7">
        <f>SUM(J66:J69)</f>
        <v>132241841.16</v>
      </c>
    </row>
    <row r="71" spans="2:12" x14ac:dyDescent="0.25">
      <c r="F71" s="4"/>
      <c r="G71" s="4"/>
      <c r="H71" s="4"/>
      <c r="I71" s="4"/>
      <c r="J71" s="8"/>
    </row>
    <row r="72" spans="2:12" x14ac:dyDescent="0.25">
      <c r="B72" t="s">
        <v>24</v>
      </c>
      <c r="F72" s="4"/>
      <c r="G72" s="4">
        <v>-3483837.84</v>
      </c>
      <c r="H72" s="4"/>
      <c r="I72" s="4"/>
      <c r="J72" s="8">
        <f t="shared" ref="J72:J75" si="1">G72</f>
        <v>-3483837.84</v>
      </c>
    </row>
    <row r="73" spans="2:12" x14ac:dyDescent="0.25">
      <c r="B73" t="s">
        <v>25</v>
      </c>
      <c r="F73" s="4"/>
      <c r="G73" s="4">
        <v>82927.899999999994</v>
      </c>
      <c r="H73" s="4"/>
      <c r="I73" s="4"/>
      <c r="J73" s="8">
        <f t="shared" si="1"/>
        <v>82927.899999999994</v>
      </c>
    </row>
    <row r="74" spans="2:12" x14ac:dyDescent="0.25">
      <c r="B74" t="s">
        <v>26</v>
      </c>
      <c r="F74" s="4"/>
      <c r="G74" s="4">
        <v>2774221.6</v>
      </c>
      <c r="H74" s="4"/>
      <c r="I74" s="4"/>
      <c r="J74" s="8">
        <f t="shared" si="1"/>
        <v>2774221.6</v>
      </c>
    </row>
    <row r="75" spans="2:12" x14ac:dyDescent="0.25">
      <c r="B75" t="s">
        <v>27</v>
      </c>
      <c r="F75" s="4"/>
      <c r="G75" s="4">
        <v>-34277.599999999999</v>
      </c>
      <c r="H75" s="4"/>
      <c r="I75" s="4"/>
      <c r="J75" s="8">
        <f t="shared" si="1"/>
        <v>-34277.599999999999</v>
      </c>
    </row>
    <row r="76" spans="2:12" x14ac:dyDescent="0.25">
      <c r="B76" t="s">
        <v>28</v>
      </c>
      <c r="F76" s="4"/>
      <c r="G76" s="4">
        <f>G68*-1</f>
        <v>13978924.190000001</v>
      </c>
      <c r="H76" s="4"/>
      <c r="I76" s="4"/>
      <c r="J76" s="8">
        <f>G76</f>
        <v>13978924.190000001</v>
      </c>
    </row>
    <row r="77" spans="2:12" x14ac:dyDescent="0.25">
      <c r="F77" s="4"/>
      <c r="G77" s="4"/>
      <c r="H77" s="4"/>
      <c r="I77" s="4"/>
      <c r="J77" s="8"/>
    </row>
    <row r="78" spans="2:12" x14ac:dyDescent="0.25">
      <c r="B78" t="s">
        <v>41</v>
      </c>
      <c r="F78" s="4"/>
      <c r="G78" s="8">
        <f>SUM(G70:G76)</f>
        <v>129420611.39495783</v>
      </c>
      <c r="J78" s="7">
        <f>SUM(J70:J76)</f>
        <v>145559799.41</v>
      </c>
    </row>
    <row r="79" spans="2:12" x14ac:dyDescent="0.25">
      <c r="F79" s="4"/>
      <c r="G79" s="4"/>
      <c r="H79" s="4"/>
      <c r="I79" s="4"/>
      <c r="J79" s="8"/>
    </row>
    <row r="80" spans="2:12" x14ac:dyDescent="0.25">
      <c r="B80" t="s">
        <v>30</v>
      </c>
      <c r="F80" s="4"/>
      <c r="G80" s="4"/>
      <c r="H80" s="4"/>
      <c r="I80" s="4"/>
      <c r="J80" s="8">
        <f>J78-G78</f>
        <v>16139188.015042171</v>
      </c>
    </row>
    <row r="81" spans="1:10" x14ac:dyDescent="0.25">
      <c r="B81" t="s">
        <v>31</v>
      </c>
      <c r="J81" s="2">
        <f>J80/G78</f>
        <v>0.12470338256855852</v>
      </c>
    </row>
    <row r="82" spans="1:10" x14ac:dyDescent="0.25">
      <c r="E82" t="s">
        <v>52</v>
      </c>
      <c r="F82" s="10">
        <v>-4.2199999999999998E-3</v>
      </c>
      <c r="G82" s="11">
        <f>F82*(E47)</f>
        <v>-7757330.1250421796</v>
      </c>
    </row>
    <row r="84" spans="1:10" x14ac:dyDescent="0.25">
      <c r="C84" s="3"/>
      <c r="D84" s="3"/>
      <c r="E84" s="3"/>
      <c r="F84" s="3" t="s">
        <v>0</v>
      </c>
      <c r="G84" s="3" t="s">
        <v>1</v>
      </c>
      <c r="H84" s="3"/>
      <c r="I84" s="3"/>
      <c r="J84" s="3" t="s">
        <v>1</v>
      </c>
    </row>
    <row r="85" spans="1:10" x14ac:dyDescent="0.25">
      <c r="B85" s="12" t="s">
        <v>58</v>
      </c>
      <c r="C85" s="3" t="s">
        <v>2</v>
      </c>
      <c r="D85" s="3"/>
      <c r="E85" s="3" t="s">
        <v>4</v>
      </c>
      <c r="F85" s="3" t="s">
        <v>5</v>
      </c>
      <c r="G85" s="3" t="s">
        <v>6</v>
      </c>
      <c r="H85" s="3"/>
      <c r="I85" s="3" t="s">
        <v>7</v>
      </c>
      <c r="J85" s="3" t="s">
        <v>6</v>
      </c>
    </row>
    <row r="86" spans="1:10" x14ac:dyDescent="0.25">
      <c r="C86" s="3"/>
      <c r="D86" s="3"/>
      <c r="E86" s="3" t="s">
        <v>9</v>
      </c>
      <c r="F86" s="3" t="s">
        <v>10</v>
      </c>
      <c r="G86" s="3" t="s">
        <v>0</v>
      </c>
      <c r="H86" s="3"/>
      <c r="I86" s="3" t="s">
        <v>11</v>
      </c>
      <c r="J86" s="3" t="s">
        <v>12</v>
      </c>
    </row>
    <row r="88" spans="1:10" x14ac:dyDescent="0.25">
      <c r="A88" s="12" t="s">
        <v>55</v>
      </c>
    </row>
    <row r="89" spans="1:10" x14ac:dyDescent="0.25">
      <c r="B89" t="s">
        <v>56</v>
      </c>
      <c r="C89" s="1">
        <v>3516</v>
      </c>
      <c r="D89" s="1"/>
      <c r="E89" s="1"/>
      <c r="F89" s="9">
        <v>85</v>
      </c>
      <c r="G89" s="8">
        <f>ROUND(C89*F89,2)</f>
        <v>298860</v>
      </c>
    </row>
    <row r="90" spans="1:10" x14ac:dyDescent="0.25">
      <c r="B90" t="s">
        <v>57</v>
      </c>
      <c r="C90" s="1">
        <f>C89*365.25/12</f>
        <v>107018.25</v>
      </c>
      <c r="D90" s="1"/>
      <c r="E90" s="1"/>
      <c r="F90" s="9"/>
      <c r="G90" s="8"/>
      <c r="I90" s="4">
        <v>2.8</v>
      </c>
      <c r="J90" s="8">
        <f>ROUND(I90*C90,2)</f>
        <v>299651.09999999998</v>
      </c>
    </row>
    <row r="91" spans="1:10" x14ac:dyDescent="0.25">
      <c r="B91" t="s">
        <v>42</v>
      </c>
      <c r="C91" s="1"/>
      <c r="D91" s="1"/>
      <c r="E91" s="1">
        <v>6910431.0490360716</v>
      </c>
      <c r="F91" s="10">
        <v>8.2439999999999999E-2</v>
      </c>
      <c r="G91" s="8">
        <f>ROUND(F91*E91,2)</f>
        <v>569695.93999999994</v>
      </c>
      <c r="I91" s="5"/>
      <c r="J91" s="8"/>
    </row>
    <row r="92" spans="1:10" x14ac:dyDescent="0.25">
      <c r="B92" t="s">
        <v>43</v>
      </c>
      <c r="C92" s="1"/>
      <c r="D92" s="1"/>
      <c r="E92" s="1"/>
      <c r="F92" s="9"/>
      <c r="G92" s="8"/>
      <c r="I92" s="6">
        <v>5.6370000000000003E-2</v>
      </c>
      <c r="J92" s="8">
        <f>ROUND(I92*$E$91,2)</f>
        <v>389541</v>
      </c>
    </row>
    <row r="93" spans="1:10" x14ac:dyDescent="0.25">
      <c r="B93" t="s">
        <v>44</v>
      </c>
      <c r="C93" s="1"/>
      <c r="D93" s="1"/>
      <c r="E93" s="1"/>
      <c r="F93" s="9"/>
      <c r="G93" s="8"/>
      <c r="I93" s="6">
        <v>3.2509999999999997E-2</v>
      </c>
      <c r="J93" s="8">
        <f t="shared" ref="J93" si="2">ROUND(I93*$E$91,2)</f>
        <v>224658.11</v>
      </c>
    </row>
    <row r="94" spans="1:10" x14ac:dyDescent="0.25">
      <c r="B94" t="s">
        <v>45</v>
      </c>
      <c r="C94" s="1"/>
      <c r="D94" s="1"/>
      <c r="E94" s="1"/>
      <c r="F94" s="9"/>
      <c r="G94" s="8"/>
      <c r="I94" s="6">
        <f>SUM(I92:I93)</f>
        <v>8.8880000000000001E-2</v>
      </c>
      <c r="J94" s="8"/>
    </row>
    <row r="95" spans="1:10" x14ac:dyDescent="0.25">
      <c r="C95" s="1"/>
      <c r="D95" s="1"/>
      <c r="E95" s="1"/>
      <c r="F95" s="9"/>
      <c r="G95" s="8"/>
      <c r="I95" s="5"/>
      <c r="J95" s="8"/>
    </row>
    <row r="96" spans="1:10" x14ac:dyDescent="0.25">
      <c r="B96" t="s">
        <v>46</v>
      </c>
      <c r="C96" s="1">
        <v>3180</v>
      </c>
      <c r="D96" s="1"/>
      <c r="E96" s="1"/>
      <c r="F96" s="9">
        <v>140</v>
      </c>
      <c r="G96" s="8">
        <f>ROUND(C96*F96,2)</f>
        <v>445200</v>
      </c>
      <c r="I96" s="5"/>
      <c r="J96" s="8"/>
    </row>
    <row r="97" spans="2:12" x14ac:dyDescent="0.25">
      <c r="B97" t="s">
        <v>47</v>
      </c>
      <c r="C97" s="1">
        <f>C96*365.25/12</f>
        <v>96791.25</v>
      </c>
      <c r="D97" s="1"/>
      <c r="E97" s="1"/>
      <c r="F97" s="9"/>
      <c r="G97" s="8"/>
      <c r="I97" s="4">
        <v>4.5999999999999996</v>
      </c>
      <c r="J97" s="8">
        <f>ROUND(I97*C97,2)</f>
        <v>445239.75</v>
      </c>
    </row>
    <row r="98" spans="2:12" x14ac:dyDescent="0.25">
      <c r="B98" t="s">
        <v>48</v>
      </c>
      <c r="C98" s="1"/>
      <c r="D98" s="1"/>
      <c r="E98" s="1">
        <v>125297830.12918575</v>
      </c>
      <c r="F98" s="10">
        <v>8.2439999999999999E-2</v>
      </c>
      <c r="G98" s="8">
        <f>ROUND(F98*E98,2)</f>
        <v>10329553.119999999</v>
      </c>
      <c r="I98" s="5"/>
      <c r="J98" s="8"/>
    </row>
    <row r="99" spans="2:12" x14ac:dyDescent="0.25">
      <c r="B99" t="s">
        <v>49</v>
      </c>
      <c r="C99" s="1"/>
      <c r="D99" s="1"/>
      <c r="E99" s="1"/>
      <c r="F99" s="9"/>
      <c r="G99" s="8"/>
      <c r="I99" s="6">
        <f>I92</f>
        <v>5.6370000000000003E-2</v>
      </c>
      <c r="J99" s="8">
        <f>ROUND(I99*$E$98,2)</f>
        <v>7063038.6799999997</v>
      </c>
    </row>
    <row r="100" spans="2:12" x14ac:dyDescent="0.25">
      <c r="B100" t="s">
        <v>50</v>
      </c>
      <c r="C100" s="1"/>
      <c r="D100" s="1"/>
      <c r="E100" s="1"/>
      <c r="F100" s="9"/>
      <c r="G100" s="8"/>
      <c r="I100" s="6">
        <f>I93</f>
        <v>3.2509999999999997E-2</v>
      </c>
      <c r="J100" s="8">
        <f t="shared" ref="J100" si="3">ROUND(I100*$E$98,2)</f>
        <v>4073432.46</v>
      </c>
    </row>
    <row r="101" spans="2:12" x14ac:dyDescent="0.25">
      <c r="B101" t="s">
        <v>51</v>
      </c>
      <c r="C101" s="1"/>
      <c r="D101" s="1"/>
      <c r="E101" s="1"/>
      <c r="F101" s="9"/>
      <c r="G101" s="8"/>
      <c r="I101" s="6">
        <f>SUM(I99:I100)</f>
        <v>8.8880000000000001E-2</v>
      </c>
      <c r="J101" s="8"/>
    </row>
    <row r="102" spans="2:12" x14ac:dyDescent="0.25">
      <c r="C102" s="1"/>
      <c r="D102" s="1"/>
      <c r="E102" s="1"/>
      <c r="F102" s="9"/>
      <c r="G102" s="8"/>
      <c r="I102" s="5"/>
      <c r="J102" s="8"/>
    </row>
    <row r="103" spans="2:12" x14ac:dyDescent="0.25">
      <c r="B103" t="s">
        <v>39</v>
      </c>
      <c r="C103" s="1"/>
      <c r="D103" s="1"/>
      <c r="E103" s="1">
        <v>0</v>
      </c>
      <c r="F103" s="10">
        <v>3.243E-2</v>
      </c>
      <c r="G103" s="8">
        <v>0</v>
      </c>
      <c r="I103" s="6">
        <f>I94</f>
        <v>8.8880000000000001E-2</v>
      </c>
      <c r="J103" s="8">
        <f>E103*I103</f>
        <v>0</v>
      </c>
    </row>
    <row r="104" spans="2:12" x14ac:dyDescent="0.25">
      <c r="G104" s="8"/>
      <c r="J104" s="8"/>
    </row>
    <row r="105" spans="2:12" x14ac:dyDescent="0.25">
      <c r="B105" t="s">
        <v>19</v>
      </c>
      <c r="G105" s="8">
        <f>SUM(G89:G104)</f>
        <v>11643309.059999999</v>
      </c>
      <c r="J105" s="8">
        <f>SUM(J89:J104)</f>
        <v>12495561.100000001</v>
      </c>
    </row>
    <row r="106" spans="2:12" x14ac:dyDescent="0.25">
      <c r="B106" t="s">
        <v>20</v>
      </c>
      <c r="G106" s="8">
        <v>1.0000000245550082</v>
      </c>
      <c r="J106" s="8">
        <f>G106</f>
        <v>1.0000000245550082</v>
      </c>
    </row>
    <row r="107" spans="2:12" x14ac:dyDescent="0.25">
      <c r="B107" t="s">
        <v>21</v>
      </c>
      <c r="G107" s="8">
        <f>+ROUND(G105/G106,2)</f>
        <v>11643308.77</v>
      </c>
      <c r="J107" s="8">
        <f>+ROUND(J105/J106,2)</f>
        <v>12495560.789999999</v>
      </c>
    </row>
    <row r="108" spans="2:12" x14ac:dyDescent="0.25">
      <c r="G108" s="8"/>
      <c r="J108" s="8"/>
    </row>
    <row r="109" spans="2:12" x14ac:dyDescent="0.25">
      <c r="E109" t="s">
        <v>52</v>
      </c>
      <c r="F109" s="10">
        <v>-4.2199999999999998E-3</v>
      </c>
      <c r="G109" s="13">
        <f>F109*(E91+E98)</f>
        <v>-557918.86217209604</v>
      </c>
    </row>
    <row r="110" spans="2:12" x14ac:dyDescent="0.25">
      <c r="G110" s="7"/>
      <c r="J110" s="7"/>
    </row>
    <row r="111" spans="2:12" x14ac:dyDescent="0.25">
      <c r="G111" s="7">
        <f>SUM(G107:G110)</f>
        <v>11085389.907827903</v>
      </c>
      <c r="J111" s="7">
        <f>SUM(J107:J110)</f>
        <v>12495560.789999999</v>
      </c>
      <c r="L111" s="8">
        <f>J115-G115</f>
        <v>1410170.8821720965</v>
      </c>
    </row>
    <row r="112" spans="2:12" x14ac:dyDescent="0.25">
      <c r="G112" s="7"/>
      <c r="J112" s="7"/>
      <c r="L112" s="2">
        <f>L111/G111</f>
        <v>0.12720985855231939</v>
      </c>
    </row>
    <row r="113" spans="2:10" x14ac:dyDescent="0.25">
      <c r="B113" t="s">
        <v>22</v>
      </c>
      <c r="G113" s="8">
        <v>-1062954.4200000002</v>
      </c>
      <c r="J113" s="8">
        <f>G113</f>
        <v>-1062954.4200000002</v>
      </c>
    </row>
    <row r="114" spans="2:10" x14ac:dyDescent="0.25">
      <c r="G114" s="8"/>
      <c r="J114" s="8"/>
    </row>
    <row r="115" spans="2:10" x14ac:dyDescent="0.25">
      <c r="B115" t="s">
        <v>23</v>
      </c>
      <c r="G115" s="8">
        <f>SUM(G111:G114)</f>
        <v>10022435.487827903</v>
      </c>
      <c r="J115" s="8">
        <f>SUM(J111:J114)</f>
        <v>11432606.369999999</v>
      </c>
    </row>
    <row r="116" spans="2:10" x14ac:dyDescent="0.25">
      <c r="G116" s="8"/>
      <c r="J116" s="8"/>
    </row>
    <row r="117" spans="2:10" x14ac:dyDescent="0.25">
      <c r="B117" t="s">
        <v>24</v>
      </c>
      <c r="G117" s="8">
        <v>-243013.87</v>
      </c>
      <c r="J117" s="8">
        <f t="shared" ref="J117:J120" si="4">G117</f>
        <v>-243013.87</v>
      </c>
    </row>
    <row r="118" spans="2:10" x14ac:dyDescent="0.25">
      <c r="B118" t="s">
        <v>25</v>
      </c>
      <c r="G118" s="8">
        <v>139056.34</v>
      </c>
      <c r="J118" s="8">
        <f t="shared" si="4"/>
        <v>139056.34</v>
      </c>
    </row>
    <row r="119" spans="2:10" x14ac:dyDescent="0.25">
      <c r="B119" t="s">
        <v>26</v>
      </c>
      <c r="G119" s="8">
        <v>1366182.2</v>
      </c>
      <c r="J119" s="8">
        <f t="shared" si="4"/>
        <v>1366182.2</v>
      </c>
    </row>
    <row r="120" spans="2:10" x14ac:dyDescent="0.25">
      <c r="B120" t="s">
        <v>27</v>
      </c>
      <c r="G120" s="8">
        <v>-2233.11</v>
      </c>
      <c r="J120" s="8">
        <f t="shared" si="4"/>
        <v>-2233.11</v>
      </c>
    </row>
    <row r="121" spans="2:10" x14ac:dyDescent="0.25">
      <c r="B121" t="s">
        <v>28</v>
      </c>
      <c r="G121" s="8">
        <f>G113*-1</f>
        <v>1062954.4200000002</v>
      </c>
      <c r="J121" s="8">
        <f>G121</f>
        <v>1062954.4200000002</v>
      </c>
    </row>
    <row r="122" spans="2:10" x14ac:dyDescent="0.25">
      <c r="G122" s="8"/>
      <c r="J122" s="8"/>
    </row>
    <row r="123" spans="2:10" x14ac:dyDescent="0.25">
      <c r="B123" t="s">
        <v>29</v>
      </c>
      <c r="G123" s="8">
        <f>G115+SUM(G117:G121)</f>
        <v>12345381.467827903</v>
      </c>
      <c r="J123" s="8">
        <f>J115+SUM(J117:J121)</f>
        <v>13755552.35</v>
      </c>
    </row>
    <row r="124" spans="2:10" x14ac:dyDescent="0.25">
      <c r="G124" s="8"/>
      <c r="J124" s="8"/>
    </row>
    <row r="125" spans="2:10" x14ac:dyDescent="0.25">
      <c r="B125" t="s">
        <v>30</v>
      </c>
      <c r="G125" s="8"/>
      <c r="J125" s="8">
        <f>J123-G123</f>
        <v>1410170.8821720965</v>
      </c>
    </row>
    <row r="126" spans="2:10" x14ac:dyDescent="0.25">
      <c r="B126" t="s">
        <v>31</v>
      </c>
      <c r="J126" s="2">
        <f>J125/G123</f>
        <v>0.11422659444319364</v>
      </c>
    </row>
  </sheetData>
  <pageMargins left="0.7" right="0.7" top="0.75" bottom="0.75" header="0.3" footer="0.3"/>
  <pageSetup scale="59" orientation="landscape" horizontalDpi="0" verticalDpi="0" r:id="rId1"/>
  <rowBreaks count="2" manualBreakCount="2">
    <brk id="37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Willhite</dc:creator>
  <cp:lastModifiedBy>Ron Willhite</cp:lastModifiedBy>
  <cp:lastPrinted>2019-01-23T22:18:03Z</cp:lastPrinted>
  <dcterms:created xsi:type="dcterms:W3CDTF">2019-01-23T15:43:44Z</dcterms:created>
  <dcterms:modified xsi:type="dcterms:W3CDTF">2019-01-27T17:07:40Z</dcterms:modified>
</cp:coreProperties>
</file>